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x-19\home\Gerald.Wuetcher\McCrearyCountyWD_2021RateAdjustment_Sewer\Application\"/>
    </mc:Choice>
  </mc:AlternateContent>
  <xr:revisionPtr revIDLastSave="0" documentId="14_{71DD2687-0E95-4999-82BC-227ECFB000DF}" xr6:coauthVersionLast="36" xr6:coauthVersionMax="36" xr10:uidLastSave="{00000000-0000-0000-0000-000000000000}"/>
  <bookViews>
    <workbookView xWindow="0" yWindow="0" windowWidth="22500" windowHeight="10425" xr2:uid="{BE0883FA-C8AB-4D4B-8921-A77C7E47B6FA}"/>
  </bookViews>
  <sheets>
    <sheet name="temp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P133" i="2" l="1"/>
  <c r="AL133" i="2"/>
  <c r="I130" i="2"/>
  <c r="AP126" i="2"/>
  <c r="T126" i="2"/>
  <c r="N126" i="2"/>
  <c r="L126" i="2"/>
  <c r="G126" i="2"/>
  <c r="D126" i="2"/>
  <c r="AB124" i="2"/>
  <c r="AD124" i="2" s="1"/>
  <c r="AF124" i="2" s="1"/>
  <c r="AH124" i="2" s="1"/>
  <c r="AJ124" i="2" s="1"/>
  <c r="AA124" i="2"/>
  <c r="AC124" i="2" s="1"/>
  <c r="AE124" i="2" s="1"/>
  <c r="Y124" i="2"/>
  <c r="W124" i="2"/>
  <c r="AN123" i="2"/>
  <c r="AL123" i="2"/>
  <c r="AJ123" i="2"/>
  <c r="AH123" i="2"/>
  <c r="AF123" i="2"/>
  <c r="AD123" i="2"/>
  <c r="Y123" i="2"/>
  <c r="AA123" i="2" s="1"/>
  <c r="AC123" i="2" s="1"/>
  <c r="AE123" i="2" s="1"/>
  <c r="X122" i="2"/>
  <c r="V122" i="2"/>
  <c r="V126" i="2" s="1"/>
  <c r="R122" i="2"/>
  <c r="P122" i="2"/>
  <c r="P126" i="2" s="1"/>
  <c r="N122" i="2"/>
  <c r="L122" i="2"/>
  <c r="J122" i="2"/>
  <c r="J126" i="2" s="1"/>
  <c r="I122" i="2"/>
  <c r="K122" i="2" s="1"/>
  <c r="M122" i="2" s="1"/>
  <c r="O122" i="2" s="1"/>
  <c r="Q122" i="2" s="1"/>
  <c r="S122" i="2" s="1"/>
  <c r="U122" i="2" s="1"/>
  <c r="W122" i="2" s="1"/>
  <c r="Y122" i="2" s="1"/>
  <c r="H122" i="2"/>
  <c r="Z121" i="2"/>
  <c r="X121" i="2"/>
  <c r="V121" i="2"/>
  <c r="R121" i="2"/>
  <c r="R126" i="2" s="1"/>
  <c r="P121" i="2"/>
  <c r="N121" i="2"/>
  <c r="L121" i="2"/>
  <c r="J121" i="2"/>
  <c r="H121" i="2"/>
  <c r="AP118" i="2"/>
  <c r="AL118" i="2"/>
  <c r="AJ118" i="2"/>
  <c r="AK118" i="2" s="1"/>
  <c r="AF118" i="2"/>
  <c r="AH118" i="2" s="1"/>
  <c r="AD118" i="2"/>
  <c r="AC118" i="2"/>
  <c r="AE118" i="2" s="1"/>
  <c r="AG118" i="2" s="1"/>
  <c r="AB118" i="2"/>
  <c r="S118" i="2"/>
  <c r="R118" i="2"/>
  <c r="Q118" i="2"/>
  <c r="P118" i="2"/>
  <c r="O118" i="2"/>
  <c r="N118" i="2"/>
  <c r="L118" i="2"/>
  <c r="K118" i="2"/>
  <c r="M118" i="2" s="1"/>
  <c r="J118" i="2"/>
  <c r="I118" i="2"/>
  <c r="H118" i="2"/>
  <c r="G118" i="2"/>
  <c r="D118" i="2"/>
  <c r="AP114" i="2"/>
  <c r="V114" i="2"/>
  <c r="U114" i="2"/>
  <c r="T114" i="2"/>
  <c r="J114" i="2"/>
  <c r="I114" i="2"/>
  <c r="K114" i="2" s="1"/>
  <c r="M114" i="2" s="1"/>
  <c r="D114" i="2"/>
  <c r="AN113" i="2"/>
  <c r="AD113" i="2"/>
  <c r="AF113" i="2" s="1"/>
  <c r="AH113" i="2" s="1"/>
  <c r="AJ113" i="2" s="1"/>
  <c r="AL113" i="2" s="1"/>
  <c r="AC113" i="2"/>
  <c r="AB113" i="2"/>
  <c r="AH112" i="2"/>
  <c r="X112" i="2"/>
  <c r="W112" i="2"/>
  <c r="V112" i="2"/>
  <c r="U112" i="2"/>
  <c r="R112" i="2"/>
  <c r="R114" i="2" s="1"/>
  <c r="P112" i="2"/>
  <c r="Q112" i="2" s="1"/>
  <c r="S112" i="2" s="1"/>
  <c r="O112" i="2"/>
  <c r="N112" i="2"/>
  <c r="AD111" i="2"/>
  <c r="AF111" i="2" s="1"/>
  <c r="AH111" i="2" s="1"/>
  <c r="AJ111" i="2" s="1"/>
  <c r="AL111" i="2" s="1"/>
  <c r="AN111" i="2" s="1"/>
  <c r="AB111" i="2"/>
  <c r="AC111" i="2" s="1"/>
  <c r="U111" i="2"/>
  <c r="R111" i="2"/>
  <c r="P111" i="2"/>
  <c r="O111" i="2"/>
  <c r="Q111" i="2" s="1"/>
  <c r="S111" i="2" s="1"/>
  <c r="N111" i="2"/>
  <c r="L111" i="2"/>
  <c r="J111" i="2"/>
  <c r="I111" i="2"/>
  <c r="K111" i="2" s="1"/>
  <c r="M111" i="2" s="1"/>
  <c r="H111" i="2"/>
  <c r="G111" i="2"/>
  <c r="G114" i="2" s="1"/>
  <c r="AF110" i="2"/>
  <c r="AH110" i="2" s="1"/>
  <c r="AJ110" i="2" s="1"/>
  <c r="AL110" i="2" s="1"/>
  <c r="AN110" i="2" s="1"/>
  <c r="AC110" i="2"/>
  <c r="AB110" i="2"/>
  <c r="AD110" i="2" s="1"/>
  <c r="P110" i="2"/>
  <c r="N110" i="2"/>
  <c r="N114" i="2" s="1"/>
  <c r="L110" i="2"/>
  <c r="L114" i="2" s="1"/>
  <c r="K110" i="2"/>
  <c r="M110" i="2" s="1"/>
  <c r="O110" i="2" s="1"/>
  <c r="J110" i="2"/>
  <c r="H110" i="2"/>
  <c r="H114" i="2" s="1"/>
  <c r="G110" i="2"/>
  <c r="I110" i="2" s="1"/>
  <c r="AP107" i="2"/>
  <c r="X107" i="2"/>
  <c r="P107" i="2"/>
  <c r="L107" i="2"/>
  <c r="G107" i="2"/>
  <c r="D107" i="2"/>
  <c r="AQ106" i="2"/>
  <c r="Z105" i="2"/>
  <c r="Z107" i="2" s="1"/>
  <c r="T105" i="2"/>
  <c r="R105" i="2"/>
  <c r="P105" i="2"/>
  <c r="N105" i="2"/>
  <c r="L105" i="2"/>
  <c r="K105" i="2"/>
  <c r="M105" i="2" s="1"/>
  <c r="O105" i="2" s="1"/>
  <c r="Q105" i="2" s="1"/>
  <c r="J105" i="2"/>
  <c r="J107" i="2" s="1"/>
  <c r="H105" i="2"/>
  <c r="I105" i="2" s="1"/>
  <c r="AH104" i="2"/>
  <c r="AJ104" i="2" s="1"/>
  <c r="AL104" i="2" s="1"/>
  <c r="AN104" i="2" s="1"/>
  <c r="AD104" i="2"/>
  <c r="AF104" i="2" s="1"/>
  <c r="AB104" i="2"/>
  <c r="X104" i="2"/>
  <c r="V104" i="2"/>
  <c r="T104" i="2"/>
  <c r="R104" i="2"/>
  <c r="P104" i="2"/>
  <c r="N104" i="2"/>
  <c r="N107" i="2" s="1"/>
  <c r="L104" i="2"/>
  <c r="J104" i="2"/>
  <c r="H104" i="2"/>
  <c r="G104" i="2"/>
  <c r="AL100" i="2"/>
  <c r="AF100" i="2"/>
  <c r="AD100" i="2"/>
  <c r="Z100" i="2"/>
  <c r="X100" i="2"/>
  <c r="U100" i="2"/>
  <c r="T100" i="2"/>
  <c r="S100" i="2"/>
  <c r="R100" i="2"/>
  <c r="Q100" i="2"/>
  <c r="P100" i="2"/>
  <c r="O100" i="2"/>
  <c r="N100" i="2"/>
  <c r="L100" i="2"/>
  <c r="J100" i="2"/>
  <c r="K100" i="2" s="1"/>
  <c r="M100" i="2" s="1"/>
  <c r="I100" i="2"/>
  <c r="H100" i="2"/>
  <c r="G100" i="2"/>
  <c r="D100" i="2"/>
  <c r="AP98" i="2"/>
  <c r="AN98" i="2"/>
  <c r="AO98" i="2" s="1"/>
  <c r="AL97" i="2"/>
  <c r="AJ97" i="2"/>
  <c r="AH97" i="2"/>
  <c r="AF97" i="2"/>
  <c r="AE97" i="2"/>
  <c r="AG97" i="2" s="1"/>
  <c r="AI97" i="2" s="1"/>
  <c r="AK97" i="2" s="1"/>
  <c r="AM97" i="2" s="1"/>
  <c r="AO97" i="2" s="1"/>
  <c r="AQ97" i="2" s="1"/>
  <c r="AD97" i="2"/>
  <c r="AL96" i="2"/>
  <c r="AJ96" i="2"/>
  <c r="AJ100" i="2" s="1"/>
  <c r="AH96" i="2"/>
  <c r="AH100" i="2" s="1"/>
  <c r="AF96" i="2"/>
  <c r="AD96" i="2"/>
  <c r="AB96" i="2"/>
  <c r="AA96" i="2"/>
  <c r="Y96" i="2"/>
  <c r="AD95" i="2"/>
  <c r="AB95" i="2"/>
  <c r="AB100" i="2" s="1"/>
  <c r="W95" i="2"/>
  <c r="V95" i="2"/>
  <c r="V100" i="2" s="1"/>
  <c r="AP91" i="2"/>
  <c r="X91" i="2"/>
  <c r="T91" i="2"/>
  <c r="R91" i="2"/>
  <c r="J91" i="2"/>
  <c r="G91" i="2"/>
  <c r="D91" i="2"/>
  <c r="Z89" i="2"/>
  <c r="Z91" i="2" s="1"/>
  <c r="T89" i="2"/>
  <c r="R89" i="2"/>
  <c r="P89" i="2"/>
  <c r="P91" i="2" s="1"/>
  <c r="N89" i="2"/>
  <c r="L89" i="2"/>
  <c r="L91" i="2" s="1"/>
  <c r="J89" i="2"/>
  <c r="H89" i="2"/>
  <c r="I89" i="2" s="1"/>
  <c r="K89" i="2" s="1"/>
  <c r="AJ88" i="2"/>
  <c r="AL88" i="2" s="1"/>
  <c r="AN88" i="2" s="1"/>
  <c r="AD88" i="2"/>
  <c r="AF88" i="2" s="1"/>
  <c r="AH88" i="2" s="1"/>
  <c r="AB88" i="2"/>
  <c r="V88" i="2"/>
  <c r="V91" i="2" s="1"/>
  <c r="T88" i="2"/>
  <c r="R88" i="2"/>
  <c r="P88" i="2"/>
  <c r="N88" i="2"/>
  <c r="N91" i="2" s="1"/>
  <c r="L88" i="2"/>
  <c r="J88" i="2"/>
  <c r="H88" i="2"/>
  <c r="G88" i="2"/>
  <c r="V81" i="2"/>
  <c r="X81" i="2" s="1"/>
  <c r="Z81" i="2" s="1"/>
  <c r="AB81" i="2" s="1"/>
  <c r="AD81" i="2" s="1"/>
  <c r="AF81" i="2" s="1"/>
  <c r="AH81" i="2" s="1"/>
  <c r="AJ81" i="2" s="1"/>
  <c r="AL81" i="2" s="1"/>
  <c r="R81" i="2"/>
  <c r="T81" i="2" s="1"/>
  <c r="P81" i="2"/>
  <c r="N81" i="2"/>
  <c r="M81" i="2"/>
  <c r="O81" i="2" s="1"/>
  <c r="Q81" i="2" s="1"/>
  <c r="S81" i="2" s="1"/>
  <c r="U81" i="2" s="1"/>
  <c r="W81" i="2" s="1"/>
  <c r="Y81" i="2" s="1"/>
  <c r="AA81" i="2" s="1"/>
  <c r="L81" i="2"/>
  <c r="J81" i="2"/>
  <c r="I81" i="2"/>
  <c r="K81" i="2" s="1"/>
  <c r="H81" i="2"/>
  <c r="AP77" i="2"/>
  <c r="G77" i="2"/>
  <c r="D77" i="2"/>
  <c r="AD75" i="2"/>
  <c r="AF75" i="2" s="1"/>
  <c r="AH75" i="2" s="1"/>
  <c r="AJ75" i="2" s="1"/>
  <c r="AL75" i="2" s="1"/>
  <c r="AN75" i="2" s="1"/>
  <c r="AB75" i="2"/>
  <c r="W75" i="2"/>
  <c r="Y75" i="2" s="1"/>
  <c r="AA75" i="2" s="1"/>
  <c r="AC75" i="2" s="1"/>
  <c r="X74" i="2"/>
  <c r="Z74" i="2" s="1"/>
  <c r="AB74" i="2" s="1"/>
  <c r="AD74" i="2" s="1"/>
  <c r="AF74" i="2" s="1"/>
  <c r="AH74" i="2" s="1"/>
  <c r="AJ74" i="2" s="1"/>
  <c r="AL74" i="2" s="1"/>
  <c r="AN74" i="2" s="1"/>
  <c r="V74" i="2"/>
  <c r="T74" i="2"/>
  <c r="S74" i="2"/>
  <c r="U74" i="2" s="1"/>
  <c r="W74" i="2" s="1"/>
  <c r="R74" i="2"/>
  <c r="AN73" i="2"/>
  <c r="T73" i="2"/>
  <c r="V73" i="2" s="1"/>
  <c r="X73" i="2" s="1"/>
  <c r="Z73" i="2" s="1"/>
  <c r="AB73" i="2" s="1"/>
  <c r="AD73" i="2" s="1"/>
  <c r="AF73" i="2" s="1"/>
  <c r="AH73" i="2" s="1"/>
  <c r="AJ73" i="2" s="1"/>
  <c r="AL73" i="2" s="1"/>
  <c r="S73" i="2"/>
  <c r="R73" i="2"/>
  <c r="AL72" i="2"/>
  <c r="T72" i="2"/>
  <c r="V72" i="2" s="1"/>
  <c r="X72" i="2" s="1"/>
  <c r="Z72" i="2" s="1"/>
  <c r="AB72" i="2" s="1"/>
  <c r="AD72" i="2" s="1"/>
  <c r="AF72" i="2" s="1"/>
  <c r="AH72" i="2" s="1"/>
  <c r="AJ72" i="2" s="1"/>
  <c r="S72" i="2"/>
  <c r="R72" i="2"/>
  <c r="AD71" i="2"/>
  <c r="AF71" i="2" s="1"/>
  <c r="AH71" i="2" s="1"/>
  <c r="AJ71" i="2" s="1"/>
  <c r="AL71" i="2" s="1"/>
  <c r="AN71" i="2" s="1"/>
  <c r="X71" i="2"/>
  <c r="Z71" i="2" s="1"/>
  <c r="AB71" i="2" s="1"/>
  <c r="T71" i="2"/>
  <c r="V71" i="2" s="1"/>
  <c r="R71" i="2"/>
  <c r="P71" i="2"/>
  <c r="O71" i="2"/>
  <c r="Q71" i="2" s="1"/>
  <c r="S71" i="2" s="1"/>
  <c r="U71" i="2" s="1"/>
  <c r="W71" i="2" s="1"/>
  <c r="Y71" i="2" s="1"/>
  <c r="AA71" i="2" s="1"/>
  <c r="AC71" i="2" s="1"/>
  <c r="N71" i="2"/>
  <c r="L71" i="2"/>
  <c r="M71" i="2" s="1"/>
  <c r="AB70" i="2"/>
  <c r="AD70" i="2" s="1"/>
  <c r="AF70" i="2" s="1"/>
  <c r="AH70" i="2" s="1"/>
  <c r="AJ70" i="2" s="1"/>
  <c r="AL70" i="2" s="1"/>
  <c r="AN70" i="2" s="1"/>
  <c r="Z70" i="2"/>
  <c r="V70" i="2"/>
  <c r="X70" i="2" s="1"/>
  <c r="T70" i="2"/>
  <c r="R70" i="2"/>
  <c r="P70" i="2"/>
  <c r="N70" i="2"/>
  <c r="M70" i="2"/>
  <c r="O70" i="2" s="1"/>
  <c r="Q70" i="2" s="1"/>
  <c r="S70" i="2" s="1"/>
  <c r="U70" i="2" s="1"/>
  <c r="W70" i="2" s="1"/>
  <c r="Y70" i="2" s="1"/>
  <c r="AA70" i="2" s="1"/>
  <c r="AC70" i="2" s="1"/>
  <c r="AE70" i="2" s="1"/>
  <c r="AG70" i="2" s="1"/>
  <c r="AI70" i="2" s="1"/>
  <c r="AK70" i="2" s="1"/>
  <c r="AM70" i="2" s="1"/>
  <c r="AO70" i="2" s="1"/>
  <c r="AQ70" i="2" s="1"/>
  <c r="L70" i="2"/>
  <c r="J70" i="2"/>
  <c r="I70" i="2"/>
  <c r="K70" i="2" s="1"/>
  <c r="H70" i="2"/>
  <c r="X69" i="2"/>
  <c r="Z69" i="2" s="1"/>
  <c r="V69" i="2"/>
  <c r="R69" i="2"/>
  <c r="T69" i="2" s="1"/>
  <c r="P69" i="2"/>
  <c r="O69" i="2"/>
  <c r="Q69" i="2" s="1"/>
  <c r="S69" i="2" s="1"/>
  <c r="U69" i="2" s="1"/>
  <c r="W69" i="2" s="1"/>
  <c r="Y69" i="2" s="1"/>
  <c r="AA69" i="2" s="1"/>
  <c r="N69" i="2"/>
  <c r="L69" i="2"/>
  <c r="J69" i="2"/>
  <c r="H69" i="2"/>
  <c r="I69" i="2" s="1"/>
  <c r="K69" i="2" s="1"/>
  <c r="M69" i="2" s="1"/>
  <c r="AL68" i="2"/>
  <c r="AD68" i="2"/>
  <c r="AF68" i="2" s="1"/>
  <c r="AH68" i="2" s="1"/>
  <c r="AJ68" i="2" s="1"/>
  <c r="AB68" i="2"/>
  <c r="R68" i="2"/>
  <c r="P68" i="2"/>
  <c r="N68" i="2"/>
  <c r="N77" i="2" s="1"/>
  <c r="L68" i="2"/>
  <c r="L77" i="2" s="1"/>
  <c r="J68" i="2"/>
  <c r="J77" i="2" s="1"/>
  <c r="H68" i="2"/>
  <c r="AN67" i="2"/>
  <c r="AB64" i="2"/>
  <c r="AE63" i="2"/>
  <c r="AD63" i="2"/>
  <c r="AC63" i="2"/>
  <c r="AB63" i="2"/>
  <c r="AQ62" i="2"/>
  <c r="T62" i="2"/>
  <c r="V62" i="2" s="1"/>
  <c r="X62" i="2" s="1"/>
  <c r="Z62" i="2" s="1"/>
  <c r="R62" i="2"/>
  <c r="P62" i="2"/>
  <c r="O62" i="2"/>
  <c r="Q62" i="2" s="1"/>
  <c r="S62" i="2" s="1"/>
  <c r="U62" i="2" s="1"/>
  <c r="W62" i="2" s="1"/>
  <c r="Y62" i="2" s="1"/>
  <c r="AA62" i="2" s="1"/>
  <c r="AC62" i="2" s="1"/>
  <c r="AE62" i="2" s="1"/>
  <c r="AG62" i="2" s="1"/>
  <c r="AI62" i="2" s="1"/>
  <c r="AK62" i="2" s="1"/>
  <c r="AM62" i="2" s="1"/>
  <c r="N62" i="2"/>
  <c r="M62" i="2"/>
  <c r="L62" i="2"/>
  <c r="J62" i="2"/>
  <c r="H62" i="2"/>
  <c r="I62" i="2" s="1"/>
  <c r="K62" i="2" s="1"/>
  <c r="AB61" i="2"/>
  <c r="AB60" i="2"/>
  <c r="AD60" i="2" s="1"/>
  <c r="AP59" i="2"/>
  <c r="D59" i="2"/>
  <c r="AN57" i="2"/>
  <c r="AO57" i="2" s="1"/>
  <c r="AQ57" i="2" s="1"/>
  <c r="AO56" i="2"/>
  <c r="AQ56" i="2" s="1"/>
  <c r="AN56" i="2"/>
  <c r="AN55" i="2"/>
  <c r="AL55" i="2"/>
  <c r="AM55" i="2" s="1"/>
  <c r="AO55" i="2" s="1"/>
  <c r="AQ55" i="2" s="1"/>
  <c r="AL54" i="2"/>
  <c r="AN54" i="2" s="1"/>
  <c r="AK54" i="2"/>
  <c r="AM54" i="2" s="1"/>
  <c r="AO54" i="2" s="1"/>
  <c r="AQ54" i="2" s="1"/>
  <c r="AJ54" i="2"/>
  <c r="AL53" i="2"/>
  <c r="AN53" i="2" s="1"/>
  <c r="AJ53" i="2"/>
  <c r="AI53" i="2"/>
  <c r="AK53" i="2" s="1"/>
  <c r="AM53" i="2" s="1"/>
  <c r="AO53" i="2" s="1"/>
  <c r="AQ53" i="2" s="1"/>
  <c r="AH53" i="2"/>
  <c r="AL52" i="2"/>
  <c r="AN52" i="2" s="1"/>
  <c r="AJ52" i="2"/>
  <c r="AK52" i="2" s="1"/>
  <c r="AM52" i="2" s="1"/>
  <c r="AO52" i="2" s="1"/>
  <c r="AQ52" i="2" s="1"/>
  <c r="AI52" i="2"/>
  <c r="AH52" i="2"/>
  <c r="AF52" i="2"/>
  <c r="AN51" i="2"/>
  <c r="AL51" i="2"/>
  <c r="AJ51" i="2"/>
  <c r="AH51" i="2"/>
  <c r="AF51" i="2"/>
  <c r="AE51" i="2"/>
  <c r="AG51" i="2" s="1"/>
  <c r="AI51" i="2" s="1"/>
  <c r="AK51" i="2" s="1"/>
  <c r="AM51" i="2" s="1"/>
  <c r="AO51" i="2" s="1"/>
  <c r="AQ51" i="2" s="1"/>
  <c r="AD51" i="2"/>
  <c r="AB51" i="2"/>
  <c r="AC51" i="2" s="1"/>
  <c r="AL50" i="2"/>
  <c r="AN50" i="2" s="1"/>
  <c r="AK50" i="2"/>
  <c r="AJ50" i="2"/>
  <c r="AH50" i="2"/>
  <c r="AF50" i="2"/>
  <c r="AD50" i="2"/>
  <c r="AE50" i="2" s="1"/>
  <c r="AG50" i="2" s="1"/>
  <c r="AI50" i="2" s="1"/>
  <c r="AB50" i="2"/>
  <c r="AC50" i="2" s="1"/>
  <c r="AN49" i="2"/>
  <c r="AL49" i="2"/>
  <c r="AJ49" i="2"/>
  <c r="AH49" i="2"/>
  <c r="AF49" i="2"/>
  <c r="AD49" i="2"/>
  <c r="AB49" i="2"/>
  <c r="AC49" i="2" s="1"/>
  <c r="AE49" i="2" s="1"/>
  <c r="AG49" i="2" s="1"/>
  <c r="AI49" i="2" s="1"/>
  <c r="AK49" i="2" s="1"/>
  <c r="AM49" i="2" s="1"/>
  <c r="AO49" i="2" s="1"/>
  <c r="AQ49" i="2" s="1"/>
  <c r="AN48" i="2"/>
  <c r="AF48" i="2"/>
  <c r="AH48" i="2" s="1"/>
  <c r="AJ48" i="2" s="1"/>
  <c r="AL48" i="2" s="1"/>
  <c r="AD48" i="2"/>
  <c r="AA48" i="2"/>
  <c r="AC48" i="2" s="1"/>
  <c r="AE48" i="2" s="1"/>
  <c r="AG48" i="2" s="1"/>
  <c r="AI48" i="2" s="1"/>
  <c r="AK48" i="2" s="1"/>
  <c r="AM48" i="2" s="1"/>
  <c r="Z48" i="2"/>
  <c r="AB48" i="2" s="1"/>
  <c r="Y48" i="2"/>
  <c r="AB47" i="2"/>
  <c r="AD47" i="2" s="1"/>
  <c r="AF47" i="2" s="1"/>
  <c r="AH47" i="2" s="1"/>
  <c r="AJ47" i="2" s="1"/>
  <c r="AL47" i="2" s="1"/>
  <c r="AN47" i="2" s="1"/>
  <c r="Y47" i="2"/>
  <c r="AA47" i="2" s="1"/>
  <c r="W47" i="2"/>
  <c r="AN46" i="2"/>
  <c r="AF46" i="2"/>
  <c r="AH46" i="2" s="1"/>
  <c r="AJ46" i="2" s="1"/>
  <c r="AL46" i="2" s="1"/>
  <c r="AB46" i="2"/>
  <c r="AD46" i="2" s="1"/>
  <c r="W46" i="2"/>
  <c r="Y46" i="2" s="1"/>
  <c r="AA46" i="2" s="1"/>
  <c r="AC46" i="2" s="1"/>
  <c r="AE46" i="2" s="1"/>
  <c r="AG46" i="2" s="1"/>
  <c r="AI46" i="2" s="1"/>
  <c r="AK46" i="2" s="1"/>
  <c r="AM46" i="2" s="1"/>
  <c r="AO46" i="2" s="1"/>
  <c r="AQ46" i="2" s="1"/>
  <c r="AH45" i="2"/>
  <c r="AJ45" i="2" s="1"/>
  <c r="AL45" i="2" s="1"/>
  <c r="AN45" i="2" s="1"/>
  <c r="AB45" i="2"/>
  <c r="AD45" i="2" s="1"/>
  <c r="AF45" i="2" s="1"/>
  <c r="Y45" i="2"/>
  <c r="AA45" i="2" s="1"/>
  <c r="AC45" i="2" s="1"/>
  <c r="AE45" i="2" s="1"/>
  <c r="AG45" i="2" s="1"/>
  <c r="AI45" i="2" s="1"/>
  <c r="AK45" i="2" s="1"/>
  <c r="AM45" i="2" s="1"/>
  <c r="AO45" i="2" s="1"/>
  <c r="AQ45" i="2" s="1"/>
  <c r="W45" i="2"/>
  <c r="AH44" i="2"/>
  <c r="AJ44" i="2" s="1"/>
  <c r="AL44" i="2" s="1"/>
  <c r="AF44" i="2"/>
  <c r="AC44" i="2"/>
  <c r="AE44" i="2" s="1"/>
  <c r="AG44" i="2" s="1"/>
  <c r="AB44" i="2"/>
  <c r="AD44" i="2" s="1"/>
  <c r="AA44" i="2"/>
  <c r="W44" i="2"/>
  <c r="Y44" i="2" s="1"/>
  <c r="V44" i="2"/>
  <c r="AL43" i="2"/>
  <c r="V43" i="2"/>
  <c r="X43" i="2" s="1"/>
  <c r="Z43" i="2" s="1"/>
  <c r="AB43" i="2" s="1"/>
  <c r="AD43" i="2" s="1"/>
  <c r="AF43" i="2" s="1"/>
  <c r="AH43" i="2" s="1"/>
  <c r="AJ43" i="2" s="1"/>
  <c r="U43" i="2"/>
  <c r="T43" i="2"/>
  <c r="S43" i="2"/>
  <c r="R43" i="2"/>
  <c r="AN42" i="2"/>
  <c r="AJ42" i="2"/>
  <c r="Z42" i="2"/>
  <c r="AB42" i="2" s="1"/>
  <c r="AD42" i="2" s="1"/>
  <c r="AF42" i="2" s="1"/>
  <c r="AH42" i="2" s="1"/>
  <c r="V42" i="2"/>
  <c r="X42" i="2" s="1"/>
  <c r="T42" i="2"/>
  <c r="S42" i="2"/>
  <c r="U42" i="2" s="1"/>
  <c r="W42" i="2" s="1"/>
  <c r="Y42" i="2" s="1"/>
  <c r="AA42" i="2" s="1"/>
  <c r="AC42" i="2" s="1"/>
  <c r="AE42" i="2" s="1"/>
  <c r="AG42" i="2" s="1"/>
  <c r="AI42" i="2" s="1"/>
  <c r="AK42" i="2" s="1"/>
  <c r="AM42" i="2" s="1"/>
  <c r="AO42" i="2" s="1"/>
  <c r="AQ42" i="2" s="1"/>
  <c r="R42" i="2"/>
  <c r="AN41" i="2"/>
  <c r="AH41" i="2"/>
  <c r="R41" i="2"/>
  <c r="S41" i="2" s="1"/>
  <c r="P41" i="2"/>
  <c r="O41" i="2"/>
  <c r="N41" i="2"/>
  <c r="AN40" i="2"/>
  <c r="AF40" i="2"/>
  <c r="Y40" i="2"/>
  <c r="AA40" i="2" s="1"/>
  <c r="AC40" i="2" s="1"/>
  <c r="AE40" i="2" s="1"/>
  <c r="AG40" i="2" s="1"/>
  <c r="AI40" i="2" s="1"/>
  <c r="AK40" i="2" s="1"/>
  <c r="AM40" i="2" s="1"/>
  <c r="AO40" i="2" s="1"/>
  <c r="AQ40" i="2" s="1"/>
  <c r="V40" i="2"/>
  <c r="X40" i="2" s="1"/>
  <c r="Z40" i="2" s="1"/>
  <c r="AB40" i="2" s="1"/>
  <c r="AD40" i="2" s="1"/>
  <c r="T40" i="2"/>
  <c r="R40" i="2"/>
  <c r="P40" i="2"/>
  <c r="O40" i="2"/>
  <c r="Q40" i="2" s="1"/>
  <c r="S40" i="2" s="1"/>
  <c r="U40" i="2" s="1"/>
  <c r="W40" i="2" s="1"/>
  <c r="N40" i="2"/>
  <c r="M40" i="2"/>
  <c r="AN39" i="2"/>
  <c r="AF39" i="2"/>
  <c r="R39" i="2"/>
  <c r="T39" i="2" s="1"/>
  <c r="V39" i="2" s="1"/>
  <c r="X39" i="2" s="1"/>
  <c r="Z39" i="2" s="1"/>
  <c r="AB39" i="2" s="1"/>
  <c r="AD39" i="2" s="1"/>
  <c r="P39" i="2"/>
  <c r="N39" i="2"/>
  <c r="L39" i="2"/>
  <c r="M39" i="2" s="1"/>
  <c r="O39" i="2" s="1"/>
  <c r="Q39" i="2" s="1"/>
  <c r="S39" i="2" s="1"/>
  <c r="U39" i="2" s="1"/>
  <c r="W39" i="2" s="1"/>
  <c r="Y39" i="2" s="1"/>
  <c r="AA39" i="2" s="1"/>
  <c r="AC39" i="2" s="1"/>
  <c r="AE39" i="2" s="1"/>
  <c r="AG39" i="2" s="1"/>
  <c r="AI39" i="2" s="1"/>
  <c r="AK39" i="2" s="1"/>
  <c r="AM39" i="2" s="1"/>
  <c r="AO39" i="2" s="1"/>
  <c r="AQ39" i="2" s="1"/>
  <c r="AN38" i="2"/>
  <c r="AD38" i="2"/>
  <c r="Z38" i="2"/>
  <c r="AB38" i="2" s="1"/>
  <c r="T38" i="2"/>
  <c r="V38" i="2" s="1"/>
  <c r="X38" i="2" s="1"/>
  <c r="R38" i="2"/>
  <c r="P38" i="2"/>
  <c r="N38" i="2"/>
  <c r="M38" i="2"/>
  <c r="O38" i="2" s="1"/>
  <c r="L38" i="2"/>
  <c r="AN37" i="2"/>
  <c r="AB37" i="2"/>
  <c r="S37" i="2"/>
  <c r="U37" i="2" s="1"/>
  <c r="W37" i="2" s="1"/>
  <c r="Y37" i="2" s="1"/>
  <c r="AA37" i="2" s="1"/>
  <c r="AC37" i="2" s="1"/>
  <c r="AE37" i="2" s="1"/>
  <c r="AG37" i="2" s="1"/>
  <c r="AI37" i="2" s="1"/>
  <c r="AK37" i="2" s="1"/>
  <c r="AM37" i="2" s="1"/>
  <c r="AO37" i="2" s="1"/>
  <c r="AQ37" i="2" s="1"/>
  <c r="R37" i="2"/>
  <c r="T37" i="2" s="1"/>
  <c r="V37" i="2" s="1"/>
  <c r="X37" i="2" s="1"/>
  <c r="Z37" i="2" s="1"/>
  <c r="P37" i="2"/>
  <c r="N37" i="2"/>
  <c r="L37" i="2"/>
  <c r="J37" i="2"/>
  <c r="I37" i="2"/>
  <c r="K37" i="2" s="1"/>
  <c r="M37" i="2" s="1"/>
  <c r="O37" i="2" s="1"/>
  <c r="H37" i="2"/>
  <c r="AN36" i="2"/>
  <c r="Z36" i="2"/>
  <c r="X36" i="2"/>
  <c r="V36" i="2"/>
  <c r="T36" i="2"/>
  <c r="R36" i="2"/>
  <c r="P36" i="2"/>
  <c r="P59" i="2" s="1"/>
  <c r="N36" i="2"/>
  <c r="L36" i="2"/>
  <c r="J36" i="2"/>
  <c r="H36" i="2"/>
  <c r="I36" i="2" s="1"/>
  <c r="K36" i="2" s="1"/>
  <c r="M36" i="2" s="1"/>
  <c r="O36" i="2" s="1"/>
  <c r="Q36" i="2" s="1"/>
  <c r="S36" i="2" s="1"/>
  <c r="U36" i="2" s="1"/>
  <c r="W36" i="2" s="1"/>
  <c r="Y36" i="2" s="1"/>
  <c r="AA36" i="2" s="1"/>
  <c r="AC36" i="2" s="1"/>
  <c r="AE36" i="2" s="1"/>
  <c r="AG36" i="2" s="1"/>
  <c r="AI36" i="2" s="1"/>
  <c r="AK36" i="2" s="1"/>
  <c r="AM36" i="2" s="1"/>
  <c r="AO36" i="2" s="1"/>
  <c r="AQ36" i="2" s="1"/>
  <c r="AH35" i="2"/>
  <c r="AJ35" i="2" s="1"/>
  <c r="AL35" i="2" s="1"/>
  <c r="AN35" i="2" s="1"/>
  <c r="AB35" i="2"/>
  <c r="AD35" i="2" s="1"/>
  <c r="AF35" i="2" s="1"/>
  <c r="X35" i="2"/>
  <c r="T35" i="2"/>
  <c r="V35" i="2" s="1"/>
  <c r="R35" i="2"/>
  <c r="P35" i="2"/>
  <c r="N35" i="2"/>
  <c r="M35" i="2"/>
  <c r="O35" i="2" s="1"/>
  <c r="Q35" i="2" s="1"/>
  <c r="S35" i="2" s="1"/>
  <c r="U35" i="2" s="1"/>
  <c r="W35" i="2" s="1"/>
  <c r="Y35" i="2" s="1"/>
  <c r="AA35" i="2" s="1"/>
  <c r="AC35" i="2" s="1"/>
  <c r="AE35" i="2" s="1"/>
  <c r="AG35" i="2" s="1"/>
  <c r="AI35" i="2" s="1"/>
  <c r="AK35" i="2" s="1"/>
  <c r="AM35" i="2" s="1"/>
  <c r="AO35" i="2" s="1"/>
  <c r="AQ35" i="2" s="1"/>
  <c r="L35" i="2"/>
  <c r="J35" i="2"/>
  <c r="H35" i="2"/>
  <c r="G35" i="2"/>
  <c r="I35" i="2" s="1"/>
  <c r="K35" i="2" s="1"/>
  <c r="AD34" i="2"/>
  <c r="AF34" i="2" s="1"/>
  <c r="AH34" i="2" s="1"/>
  <c r="AJ34" i="2" s="1"/>
  <c r="AL34" i="2" s="1"/>
  <c r="AN34" i="2" s="1"/>
  <c r="AB34" i="2"/>
  <c r="W34" i="2"/>
  <c r="Y34" i="2" s="1"/>
  <c r="AA34" i="2" s="1"/>
  <c r="AC34" i="2" s="1"/>
  <c r="AE34" i="2" s="1"/>
  <c r="AG34" i="2" s="1"/>
  <c r="AI34" i="2" s="1"/>
  <c r="AK34" i="2" s="1"/>
  <c r="AM34" i="2" s="1"/>
  <c r="AO34" i="2" s="1"/>
  <c r="AQ34" i="2" s="1"/>
  <c r="V34" i="2"/>
  <c r="U34" i="2"/>
  <c r="S34" i="2"/>
  <c r="R34" i="2"/>
  <c r="T34" i="2" s="1"/>
  <c r="P34" i="2"/>
  <c r="O34" i="2"/>
  <c r="N34" i="2"/>
  <c r="L34" i="2"/>
  <c r="J34" i="2"/>
  <c r="H34" i="2"/>
  <c r="I34" i="2" s="1"/>
  <c r="K34" i="2" s="1"/>
  <c r="M34" i="2" s="1"/>
  <c r="G34" i="2"/>
  <c r="AB33" i="2"/>
  <c r="AD33" i="2" s="1"/>
  <c r="AF33" i="2" s="1"/>
  <c r="AH33" i="2" s="1"/>
  <c r="AJ33" i="2" s="1"/>
  <c r="AL33" i="2" s="1"/>
  <c r="AN33" i="2" s="1"/>
  <c r="R33" i="2"/>
  <c r="P33" i="2"/>
  <c r="N33" i="2"/>
  <c r="L33" i="2"/>
  <c r="J33" i="2"/>
  <c r="H33" i="2"/>
  <c r="G33" i="2"/>
  <c r="I33" i="2" s="1"/>
  <c r="K33" i="2" s="1"/>
  <c r="M33" i="2" s="1"/>
  <c r="O33" i="2" s="1"/>
  <c r="V32" i="2"/>
  <c r="X32" i="2" s="1"/>
  <c r="Z32" i="2" s="1"/>
  <c r="AB32" i="2" s="1"/>
  <c r="AD32" i="2" s="1"/>
  <c r="AF32" i="2" s="1"/>
  <c r="AH32" i="2" s="1"/>
  <c r="AJ32" i="2" s="1"/>
  <c r="AL32" i="2" s="1"/>
  <c r="AN32" i="2" s="1"/>
  <c r="U32" i="2"/>
  <c r="N32" i="2"/>
  <c r="L32" i="2"/>
  <c r="J32" i="2"/>
  <c r="I32" i="2"/>
  <c r="K32" i="2" s="1"/>
  <c r="M32" i="2" s="1"/>
  <c r="O32" i="2" s="1"/>
  <c r="Q32" i="2" s="1"/>
  <c r="H32" i="2"/>
  <c r="V31" i="2"/>
  <c r="U31" i="2"/>
  <c r="N31" i="2"/>
  <c r="N59" i="2" s="1"/>
  <c r="L31" i="2"/>
  <c r="J31" i="2"/>
  <c r="H31" i="2"/>
  <c r="G31" i="2"/>
  <c r="AB30" i="2"/>
  <c r="AD30" i="2" s="1"/>
  <c r="G29" i="2"/>
  <c r="AL28" i="2"/>
  <c r="AN28" i="2" s="1"/>
  <c r="AJ28" i="2"/>
  <c r="AH28" i="2"/>
  <c r="AF28" i="2"/>
  <c r="AE28" i="2"/>
  <c r="AG28" i="2" s="1"/>
  <c r="AI28" i="2" s="1"/>
  <c r="AK28" i="2" s="1"/>
  <c r="AM28" i="2" s="1"/>
  <c r="AO28" i="2" s="1"/>
  <c r="AQ28" i="2" s="1"/>
  <c r="AD28" i="2"/>
  <c r="AC28" i="2"/>
  <c r="AB28" i="2"/>
  <c r="AB27" i="2"/>
  <c r="AD27" i="2" s="1"/>
  <c r="AF27" i="2" s="1"/>
  <c r="AH27" i="2" s="1"/>
  <c r="AJ27" i="2" s="1"/>
  <c r="AL27" i="2" s="1"/>
  <c r="AN27" i="2" s="1"/>
  <c r="Y27" i="2"/>
  <c r="AA27" i="2" s="1"/>
  <c r="AC27" i="2" s="1"/>
  <c r="AE27" i="2" s="1"/>
  <c r="AG27" i="2" s="1"/>
  <c r="AI27" i="2" s="1"/>
  <c r="AK27" i="2" s="1"/>
  <c r="AM27" i="2" s="1"/>
  <c r="AO27" i="2" s="1"/>
  <c r="AQ27" i="2" s="1"/>
  <c r="W27" i="2"/>
  <c r="AB26" i="2"/>
  <c r="AD26" i="2" s="1"/>
  <c r="AF26" i="2" s="1"/>
  <c r="AH26" i="2" s="1"/>
  <c r="AJ26" i="2" s="1"/>
  <c r="AL26" i="2" s="1"/>
  <c r="AN26" i="2" s="1"/>
  <c r="Y26" i="2"/>
  <c r="AA26" i="2" s="1"/>
  <c r="AC26" i="2" s="1"/>
  <c r="W26" i="2"/>
  <c r="AB25" i="2"/>
  <c r="AD25" i="2" s="1"/>
  <c r="AF25" i="2" s="1"/>
  <c r="AH25" i="2" s="1"/>
  <c r="AJ25" i="2" s="1"/>
  <c r="AL25" i="2" s="1"/>
  <c r="AN25" i="2" s="1"/>
  <c r="Z25" i="2"/>
  <c r="X25" i="2"/>
  <c r="V25" i="2"/>
  <c r="T25" i="2"/>
  <c r="R25" i="2"/>
  <c r="S25" i="2" s="1"/>
  <c r="U25" i="2" s="1"/>
  <c r="W25" i="2" s="1"/>
  <c r="Y25" i="2" s="1"/>
  <c r="AA25" i="2" s="1"/>
  <c r="AC25" i="2" s="1"/>
  <c r="AE25" i="2" s="1"/>
  <c r="AG25" i="2" s="1"/>
  <c r="AI25" i="2" s="1"/>
  <c r="AJ24" i="2"/>
  <c r="AL24" i="2" s="1"/>
  <c r="AN24" i="2" s="1"/>
  <c r="AB24" i="2"/>
  <c r="AD24" i="2" s="1"/>
  <c r="AF24" i="2" s="1"/>
  <c r="AH24" i="2" s="1"/>
  <c r="X24" i="2"/>
  <c r="Z24" i="2" s="1"/>
  <c r="V24" i="2"/>
  <c r="T24" i="2"/>
  <c r="S24" i="2"/>
  <c r="U24" i="2" s="1"/>
  <c r="W24" i="2" s="1"/>
  <c r="Y24" i="2" s="1"/>
  <c r="AA24" i="2" s="1"/>
  <c r="AC24" i="2" s="1"/>
  <c r="AE24" i="2" s="1"/>
  <c r="AG24" i="2" s="1"/>
  <c r="AI24" i="2" s="1"/>
  <c r="AK24" i="2" s="1"/>
  <c r="AM24" i="2" s="1"/>
  <c r="AO24" i="2" s="1"/>
  <c r="AQ24" i="2" s="1"/>
  <c r="R24" i="2"/>
  <c r="R23" i="2"/>
  <c r="T23" i="2" s="1"/>
  <c r="V23" i="2" s="1"/>
  <c r="X23" i="2" s="1"/>
  <c r="Z23" i="2" s="1"/>
  <c r="AB23" i="2" s="1"/>
  <c r="AD23" i="2" s="1"/>
  <c r="AF23" i="2" s="1"/>
  <c r="AH23" i="2" s="1"/>
  <c r="AJ23" i="2" s="1"/>
  <c r="AL23" i="2" s="1"/>
  <c r="AN23" i="2" s="1"/>
  <c r="R22" i="2"/>
  <c r="T22" i="2" s="1"/>
  <c r="V22" i="2" s="1"/>
  <c r="X22" i="2" s="1"/>
  <c r="Z22" i="2" s="1"/>
  <c r="AB22" i="2" s="1"/>
  <c r="AD22" i="2" s="1"/>
  <c r="AF22" i="2" s="1"/>
  <c r="AH22" i="2" s="1"/>
  <c r="AJ22" i="2" s="1"/>
  <c r="AL22" i="2" s="1"/>
  <c r="AN22" i="2" s="1"/>
  <c r="R21" i="2"/>
  <c r="T21" i="2" s="1"/>
  <c r="V21" i="2" s="1"/>
  <c r="X21" i="2" s="1"/>
  <c r="Z21" i="2" s="1"/>
  <c r="AB21" i="2" s="1"/>
  <c r="AD21" i="2" s="1"/>
  <c r="AF21" i="2" s="1"/>
  <c r="AH21" i="2" s="1"/>
  <c r="AJ21" i="2" s="1"/>
  <c r="AL21" i="2" s="1"/>
  <c r="AN21" i="2" s="1"/>
  <c r="P21" i="2"/>
  <c r="N21" i="2"/>
  <c r="O21" i="2" s="1"/>
  <c r="R20" i="2"/>
  <c r="T20" i="2" s="1"/>
  <c r="V20" i="2" s="1"/>
  <c r="X20" i="2" s="1"/>
  <c r="Z20" i="2" s="1"/>
  <c r="AB20" i="2" s="1"/>
  <c r="AD20" i="2" s="1"/>
  <c r="AF20" i="2" s="1"/>
  <c r="AH20" i="2" s="1"/>
  <c r="AJ20" i="2" s="1"/>
  <c r="AL20" i="2" s="1"/>
  <c r="AN20" i="2" s="1"/>
  <c r="P20" i="2"/>
  <c r="N20" i="2"/>
  <c r="M20" i="2"/>
  <c r="O20" i="2" s="1"/>
  <c r="Q20" i="2" s="1"/>
  <c r="S20" i="2" s="1"/>
  <c r="U20" i="2" s="1"/>
  <c r="W20" i="2" s="1"/>
  <c r="Y20" i="2" s="1"/>
  <c r="AA20" i="2" s="1"/>
  <c r="AC20" i="2" s="1"/>
  <c r="L20" i="2"/>
  <c r="T19" i="2"/>
  <c r="V19" i="2" s="1"/>
  <c r="X19" i="2" s="1"/>
  <c r="Z19" i="2" s="1"/>
  <c r="AB19" i="2" s="1"/>
  <c r="AD19" i="2" s="1"/>
  <c r="AF19" i="2" s="1"/>
  <c r="AH19" i="2" s="1"/>
  <c r="AJ19" i="2" s="1"/>
  <c r="AL19" i="2" s="1"/>
  <c r="AN19" i="2" s="1"/>
  <c r="R19" i="2"/>
  <c r="P19" i="2"/>
  <c r="N19" i="2"/>
  <c r="L19" i="2"/>
  <c r="M19" i="2" s="1"/>
  <c r="O19" i="2" s="1"/>
  <c r="Q19" i="2" s="1"/>
  <c r="S19" i="2" s="1"/>
  <c r="U19" i="2" s="1"/>
  <c r="W19" i="2" s="1"/>
  <c r="Y19" i="2" s="1"/>
  <c r="AA19" i="2" s="1"/>
  <c r="AC19" i="2" s="1"/>
  <c r="AE19" i="2" s="1"/>
  <c r="AG19" i="2" s="1"/>
  <c r="AI19" i="2" s="1"/>
  <c r="AK19" i="2" s="1"/>
  <c r="AM19" i="2" s="1"/>
  <c r="AO19" i="2" s="1"/>
  <c r="AQ19" i="2" s="1"/>
  <c r="T18" i="2"/>
  <c r="V18" i="2" s="1"/>
  <c r="X18" i="2" s="1"/>
  <c r="Z18" i="2" s="1"/>
  <c r="AB18" i="2" s="1"/>
  <c r="AD18" i="2" s="1"/>
  <c r="AF18" i="2" s="1"/>
  <c r="AH18" i="2" s="1"/>
  <c r="AJ18" i="2" s="1"/>
  <c r="AL18" i="2" s="1"/>
  <c r="AN18" i="2" s="1"/>
  <c r="R18" i="2"/>
  <c r="Q18" i="2"/>
  <c r="S18" i="2" s="1"/>
  <c r="U18" i="2" s="1"/>
  <c r="P18" i="2"/>
  <c r="O18" i="2"/>
  <c r="N18" i="2"/>
  <c r="M18" i="2"/>
  <c r="L18" i="2"/>
  <c r="AP17" i="2"/>
  <c r="AP29" i="2" s="1"/>
  <c r="D17" i="2"/>
  <c r="L17" i="2" s="1"/>
  <c r="M17" i="2" s="1"/>
  <c r="Z16" i="2"/>
  <c r="AB16" i="2" s="1"/>
  <c r="AD16" i="2" s="1"/>
  <c r="AF16" i="2" s="1"/>
  <c r="AH16" i="2" s="1"/>
  <c r="AJ16" i="2" s="1"/>
  <c r="AL16" i="2" s="1"/>
  <c r="AN16" i="2" s="1"/>
  <c r="V16" i="2"/>
  <c r="X16" i="2" s="1"/>
  <c r="T16" i="2"/>
  <c r="R16" i="2"/>
  <c r="P16" i="2"/>
  <c r="O16" i="2"/>
  <c r="Q16" i="2" s="1"/>
  <c r="S16" i="2" s="1"/>
  <c r="U16" i="2" s="1"/>
  <c r="W16" i="2" s="1"/>
  <c r="Y16" i="2" s="1"/>
  <c r="AA16" i="2" s="1"/>
  <c r="AC16" i="2" s="1"/>
  <c r="AE16" i="2" s="1"/>
  <c r="AG16" i="2" s="1"/>
  <c r="AI16" i="2" s="1"/>
  <c r="AK16" i="2" s="1"/>
  <c r="AM16" i="2" s="1"/>
  <c r="AO16" i="2" s="1"/>
  <c r="AQ16" i="2" s="1"/>
  <c r="N16" i="2"/>
  <c r="M16" i="2"/>
  <c r="L16" i="2"/>
  <c r="R15" i="2"/>
  <c r="P15" i="2"/>
  <c r="N15" i="2"/>
  <c r="L15" i="2"/>
  <c r="J15" i="2"/>
  <c r="I15" i="2"/>
  <c r="K15" i="2" s="1"/>
  <c r="M15" i="2" s="1"/>
  <c r="O15" i="2" s="1"/>
  <c r="Q15" i="2" s="1"/>
  <c r="S15" i="2" s="1"/>
  <c r="H15" i="2"/>
  <c r="Z14" i="2"/>
  <c r="AB14" i="2" s="1"/>
  <c r="AD14" i="2" s="1"/>
  <c r="AF14" i="2" s="1"/>
  <c r="V14" i="2"/>
  <c r="X14" i="2" s="1"/>
  <c r="T14" i="2"/>
  <c r="R14" i="2"/>
  <c r="P14" i="2"/>
  <c r="N14" i="2"/>
  <c r="M14" i="2"/>
  <c r="O14" i="2" s="1"/>
  <c r="L14" i="2"/>
  <c r="K14" i="2"/>
  <c r="K29" i="2" s="1"/>
  <c r="J14" i="2"/>
  <c r="I14" i="2"/>
  <c r="H14" i="2"/>
  <c r="AP11" i="2"/>
  <c r="P11" i="2"/>
  <c r="D11" i="2"/>
  <c r="AB10" i="2"/>
  <c r="AD10" i="2" s="1"/>
  <c r="AF10" i="2" s="1"/>
  <c r="AH10" i="2" s="1"/>
  <c r="AJ10" i="2" s="1"/>
  <c r="AL10" i="2" s="1"/>
  <c r="AN10" i="2" s="1"/>
  <c r="Z10" i="2"/>
  <c r="V10" i="2"/>
  <c r="X10" i="2" s="1"/>
  <c r="T10" i="2"/>
  <c r="R10" i="2"/>
  <c r="P10" i="2"/>
  <c r="O10" i="2"/>
  <c r="Q10" i="2" s="1"/>
  <c r="S10" i="2" s="1"/>
  <c r="U10" i="2" s="1"/>
  <c r="W10" i="2" s="1"/>
  <c r="Y10" i="2" s="1"/>
  <c r="AA10" i="2" s="1"/>
  <c r="AC10" i="2" s="1"/>
  <c r="AE10" i="2" s="1"/>
  <c r="AG10" i="2" s="1"/>
  <c r="AI10" i="2" s="1"/>
  <c r="AK10" i="2" s="1"/>
  <c r="AM10" i="2" s="1"/>
  <c r="AO10" i="2" s="1"/>
  <c r="AQ10" i="2" s="1"/>
  <c r="N10" i="2"/>
  <c r="M10" i="2"/>
  <c r="L10" i="2"/>
  <c r="R9" i="2"/>
  <c r="T9" i="2" s="1"/>
  <c r="V9" i="2" s="1"/>
  <c r="X9" i="2" s="1"/>
  <c r="Z9" i="2" s="1"/>
  <c r="AB9" i="2" s="1"/>
  <c r="AD9" i="2" s="1"/>
  <c r="AF9" i="2" s="1"/>
  <c r="AH9" i="2" s="1"/>
  <c r="AJ9" i="2" s="1"/>
  <c r="AL9" i="2" s="1"/>
  <c r="AN9" i="2" s="1"/>
  <c r="P9" i="2"/>
  <c r="N9" i="2"/>
  <c r="L9" i="2"/>
  <c r="K9" i="2"/>
  <c r="M9" i="2" s="1"/>
  <c r="O9" i="2" s="1"/>
  <c r="Q9" i="2" s="1"/>
  <c r="S9" i="2" s="1"/>
  <c r="J9" i="2"/>
  <c r="I9" i="2"/>
  <c r="H9" i="2"/>
  <c r="T8" i="2"/>
  <c r="V8" i="2" s="1"/>
  <c r="X8" i="2" s="1"/>
  <c r="Z8" i="2" s="1"/>
  <c r="AB8" i="2" s="1"/>
  <c r="AD8" i="2" s="1"/>
  <c r="AF8" i="2" s="1"/>
  <c r="AH8" i="2" s="1"/>
  <c r="AJ8" i="2" s="1"/>
  <c r="AL8" i="2" s="1"/>
  <c r="AN8" i="2" s="1"/>
  <c r="R8" i="2"/>
  <c r="P8" i="2"/>
  <c r="N8" i="2"/>
  <c r="L8" i="2"/>
  <c r="J8" i="2"/>
  <c r="H8" i="2"/>
  <c r="I8" i="2" s="1"/>
  <c r="K8" i="2" s="1"/>
  <c r="M8" i="2" s="1"/>
  <c r="O8" i="2" s="1"/>
  <c r="Q8" i="2" s="1"/>
  <c r="S8" i="2" s="1"/>
  <c r="U8" i="2" s="1"/>
  <c r="W8" i="2" s="1"/>
  <c r="Y8" i="2" s="1"/>
  <c r="AA8" i="2" s="1"/>
  <c r="AC8" i="2" s="1"/>
  <c r="AE8" i="2" s="1"/>
  <c r="AG8" i="2" s="1"/>
  <c r="AI8" i="2" s="1"/>
  <c r="AK8" i="2" s="1"/>
  <c r="AM8" i="2" s="1"/>
  <c r="AO8" i="2" s="1"/>
  <c r="AQ8" i="2" s="1"/>
  <c r="G8" i="2"/>
  <c r="T7" i="2"/>
  <c r="R7" i="2"/>
  <c r="R11" i="2" s="1"/>
  <c r="P7" i="2"/>
  <c r="N7" i="2"/>
  <c r="N11" i="2" s="1"/>
  <c r="L7" i="2"/>
  <c r="L11" i="2" s="1"/>
  <c r="J7" i="2"/>
  <c r="J11" i="2" s="1"/>
  <c r="H7" i="2"/>
  <c r="H11" i="2" s="1"/>
  <c r="G7" i="2"/>
  <c r="G11" i="2" s="1"/>
  <c r="Q14" i="2" l="1"/>
  <c r="AH14" i="2"/>
  <c r="T11" i="2"/>
  <c r="U9" i="2"/>
  <c r="W9" i="2" s="1"/>
  <c r="Y9" i="2" s="1"/>
  <c r="AA9" i="2" s="1"/>
  <c r="AC9" i="2" s="1"/>
  <c r="AE9" i="2" s="1"/>
  <c r="AG9" i="2" s="1"/>
  <c r="AI9" i="2" s="1"/>
  <c r="AK9" i="2" s="1"/>
  <c r="AM9" i="2" s="1"/>
  <c r="AO9" i="2" s="1"/>
  <c r="AQ9" i="2" s="1"/>
  <c r="AK25" i="2"/>
  <c r="AM25" i="2" s="1"/>
  <c r="AO25" i="2" s="1"/>
  <c r="AQ25" i="2" s="1"/>
  <c r="AE20" i="2"/>
  <c r="AG20" i="2" s="1"/>
  <c r="AI20" i="2" s="1"/>
  <c r="AK20" i="2" s="1"/>
  <c r="AM20" i="2" s="1"/>
  <c r="AO20" i="2" s="1"/>
  <c r="AQ20" i="2" s="1"/>
  <c r="O17" i="2"/>
  <c r="Q17" i="2" s="1"/>
  <c r="I7" i="2"/>
  <c r="S22" i="2"/>
  <c r="U22" i="2" s="1"/>
  <c r="W22" i="2" s="1"/>
  <c r="Y22" i="2" s="1"/>
  <c r="AA22" i="2" s="1"/>
  <c r="AC22" i="2" s="1"/>
  <c r="AE22" i="2" s="1"/>
  <c r="AG22" i="2" s="1"/>
  <c r="AI22" i="2" s="1"/>
  <c r="AK22" i="2" s="1"/>
  <c r="AM22" i="2" s="1"/>
  <c r="AO22" i="2" s="1"/>
  <c r="AQ22" i="2" s="1"/>
  <c r="S23" i="2"/>
  <c r="U23" i="2" s="1"/>
  <c r="W23" i="2" s="1"/>
  <c r="Y23" i="2" s="1"/>
  <c r="AA23" i="2" s="1"/>
  <c r="AC23" i="2" s="1"/>
  <c r="AE23" i="2" s="1"/>
  <c r="AG23" i="2" s="1"/>
  <c r="AI23" i="2" s="1"/>
  <c r="AK23" i="2" s="1"/>
  <c r="AM23" i="2" s="1"/>
  <c r="AO23" i="2" s="1"/>
  <c r="AQ23" i="2" s="1"/>
  <c r="W43" i="2"/>
  <c r="Y43" i="2" s="1"/>
  <c r="AA43" i="2" s="1"/>
  <c r="AC43" i="2" s="1"/>
  <c r="AE43" i="2" s="1"/>
  <c r="AG43" i="2" s="1"/>
  <c r="AI43" i="2" s="1"/>
  <c r="AK43" i="2" s="1"/>
  <c r="AM43" i="2" s="1"/>
  <c r="AO43" i="2" s="1"/>
  <c r="AQ43" i="2" s="1"/>
  <c r="AN68" i="2"/>
  <c r="AL77" i="2"/>
  <c r="AC69" i="2"/>
  <c r="AE69" i="2" s="1"/>
  <c r="AG69" i="2" s="1"/>
  <c r="AI69" i="2" s="1"/>
  <c r="AK69" i="2" s="1"/>
  <c r="AM69" i="2" s="1"/>
  <c r="AO69" i="2" s="1"/>
  <c r="AQ69" i="2" s="1"/>
  <c r="N17" i="2"/>
  <c r="D29" i="2"/>
  <c r="V7" i="2"/>
  <c r="I29" i="2"/>
  <c r="W32" i="2"/>
  <c r="Y32" i="2" s="1"/>
  <c r="AA32" i="2" s="1"/>
  <c r="AC32" i="2" s="1"/>
  <c r="AE32" i="2" s="1"/>
  <c r="AG32" i="2" s="1"/>
  <c r="AI32" i="2" s="1"/>
  <c r="AK32" i="2" s="1"/>
  <c r="AM32" i="2" s="1"/>
  <c r="AO32" i="2" s="1"/>
  <c r="AQ32" i="2" s="1"/>
  <c r="AE71" i="2"/>
  <c r="AG71" i="2" s="1"/>
  <c r="AI71" i="2" s="1"/>
  <c r="AK71" i="2" s="1"/>
  <c r="AM71" i="2" s="1"/>
  <c r="AO71" i="2" s="1"/>
  <c r="AQ71" i="2" s="1"/>
  <c r="M29" i="2"/>
  <c r="J29" i="2"/>
  <c r="J128" i="2" s="1"/>
  <c r="J131" i="2" s="1"/>
  <c r="L29" i="2"/>
  <c r="T15" i="2"/>
  <c r="V15" i="2" s="1"/>
  <c r="X15" i="2" s="1"/>
  <c r="Z15" i="2" s="1"/>
  <c r="AB15" i="2" s="1"/>
  <c r="AD15" i="2" s="1"/>
  <c r="AF15" i="2" s="1"/>
  <c r="AH15" i="2" s="1"/>
  <c r="AJ15" i="2" s="1"/>
  <c r="AL15" i="2" s="1"/>
  <c r="AN15" i="2" s="1"/>
  <c r="N29" i="2"/>
  <c r="N128" i="2" s="1"/>
  <c r="N131" i="2" s="1"/>
  <c r="P17" i="2"/>
  <c r="P29" i="2" s="1"/>
  <c r="AO48" i="2"/>
  <c r="AQ48" i="2" s="1"/>
  <c r="AM50" i="2"/>
  <c r="AO50" i="2" s="1"/>
  <c r="AQ50" i="2" s="1"/>
  <c r="W18" i="2"/>
  <c r="Y18" i="2" s="1"/>
  <c r="AA18" i="2" s="1"/>
  <c r="AC18" i="2" s="1"/>
  <c r="AE18" i="2" s="1"/>
  <c r="AG18" i="2" s="1"/>
  <c r="AI18" i="2" s="1"/>
  <c r="AK18" i="2" s="1"/>
  <c r="AM18" i="2" s="1"/>
  <c r="AO18" i="2" s="1"/>
  <c r="AQ18" i="2" s="1"/>
  <c r="R17" i="2"/>
  <c r="T17" i="2" s="1"/>
  <c r="V17" i="2" s="1"/>
  <c r="X17" i="2" s="1"/>
  <c r="Z17" i="2" s="1"/>
  <c r="AB17" i="2" s="1"/>
  <c r="AD17" i="2" s="1"/>
  <c r="AF17" i="2" s="1"/>
  <c r="AH17" i="2" s="1"/>
  <c r="AJ17" i="2" s="1"/>
  <c r="AL17" i="2" s="1"/>
  <c r="AN17" i="2" s="1"/>
  <c r="G59" i="2"/>
  <c r="G128" i="2" s="1"/>
  <c r="G131" i="2" s="1"/>
  <c r="I31" i="2"/>
  <c r="AI44" i="2"/>
  <c r="AK44" i="2" s="1"/>
  <c r="AM44" i="2" s="1"/>
  <c r="AC81" i="2"/>
  <c r="AE81" i="2" s="1"/>
  <c r="AG81" i="2" s="1"/>
  <c r="AI81" i="2" s="1"/>
  <c r="AK81" i="2" s="1"/>
  <c r="AM81" i="2" s="1"/>
  <c r="AO81" i="2" s="1"/>
  <c r="AQ81" i="2" s="1"/>
  <c r="AE26" i="2"/>
  <c r="AG26" i="2" s="1"/>
  <c r="AI26" i="2" s="1"/>
  <c r="AK26" i="2" s="1"/>
  <c r="AM26" i="2" s="1"/>
  <c r="AO26" i="2" s="1"/>
  <c r="AQ26" i="2" s="1"/>
  <c r="AD64" i="2"/>
  <c r="AC64" i="2"/>
  <c r="Q21" i="2"/>
  <c r="S21" i="2" s="1"/>
  <c r="U21" i="2" s="1"/>
  <c r="W21" i="2" s="1"/>
  <c r="Y21" i="2" s="1"/>
  <c r="AA21" i="2" s="1"/>
  <c r="AC21" i="2" s="1"/>
  <c r="AE21" i="2" s="1"/>
  <c r="AG21" i="2" s="1"/>
  <c r="AI21" i="2" s="1"/>
  <c r="AK21" i="2" s="1"/>
  <c r="AM21" i="2" s="1"/>
  <c r="AO21" i="2" s="1"/>
  <c r="AQ21" i="2" s="1"/>
  <c r="H59" i="2"/>
  <c r="AC47" i="2"/>
  <c r="AE47" i="2" s="1"/>
  <c r="AG47" i="2" s="1"/>
  <c r="AI47" i="2" s="1"/>
  <c r="AK47" i="2" s="1"/>
  <c r="AM47" i="2" s="1"/>
  <c r="AO47" i="2" s="1"/>
  <c r="AQ47" i="2" s="1"/>
  <c r="AC61" i="2"/>
  <c r="AE61" i="2" s="1"/>
  <c r="AD61" i="2"/>
  <c r="H29" i="2"/>
  <c r="X31" i="2"/>
  <c r="W31" i="2"/>
  <c r="U72" i="2"/>
  <c r="W72" i="2" s="1"/>
  <c r="Y72" i="2" s="1"/>
  <c r="AA72" i="2" s="1"/>
  <c r="AC72" i="2" s="1"/>
  <c r="AE72" i="2" s="1"/>
  <c r="AG72" i="2" s="1"/>
  <c r="AI72" i="2" s="1"/>
  <c r="AK72" i="2" s="1"/>
  <c r="AM72" i="2" s="1"/>
  <c r="AO72" i="2" s="1"/>
  <c r="AQ72" i="2" s="1"/>
  <c r="V105" i="2"/>
  <c r="T107" i="2"/>
  <c r="J59" i="2"/>
  <c r="Q38" i="2"/>
  <c r="S38" i="2" s="1"/>
  <c r="U38" i="2" s="1"/>
  <c r="W38" i="2" s="1"/>
  <c r="Y38" i="2" s="1"/>
  <c r="AA38" i="2" s="1"/>
  <c r="AC38" i="2" s="1"/>
  <c r="AE38" i="2" s="1"/>
  <c r="AG38" i="2" s="1"/>
  <c r="AI38" i="2" s="1"/>
  <c r="AK38" i="2" s="1"/>
  <c r="AM38" i="2" s="1"/>
  <c r="AO38" i="2" s="1"/>
  <c r="AQ38" i="2" s="1"/>
  <c r="AJ77" i="2"/>
  <c r="Z77" i="2"/>
  <c r="AB77" i="2" s="1"/>
  <c r="AD77" i="2" s="1"/>
  <c r="AF77" i="2" s="1"/>
  <c r="AH77" i="2" s="1"/>
  <c r="AB69" i="2"/>
  <c r="AD69" i="2" s="1"/>
  <c r="AF69" i="2" s="1"/>
  <c r="AH69" i="2" s="1"/>
  <c r="AJ69" i="2" s="1"/>
  <c r="AL69" i="2" s="1"/>
  <c r="AN69" i="2" s="1"/>
  <c r="AE75" i="2"/>
  <c r="AG75" i="2" s="1"/>
  <c r="AI75" i="2" s="1"/>
  <c r="AK75" i="2" s="1"/>
  <c r="AM75" i="2" s="1"/>
  <c r="AO75" i="2" s="1"/>
  <c r="AQ75" i="2" s="1"/>
  <c r="AP100" i="2"/>
  <c r="AQ98" i="2"/>
  <c r="O114" i="2"/>
  <c r="Q110" i="2"/>
  <c r="T68" i="2"/>
  <c r="R77" i="2"/>
  <c r="Y74" i="2"/>
  <c r="AA74" i="2" s="1"/>
  <c r="AC74" i="2" s="1"/>
  <c r="AE74" i="2" s="1"/>
  <c r="AG74" i="2" s="1"/>
  <c r="AI74" i="2" s="1"/>
  <c r="AK74" i="2" s="1"/>
  <c r="AM74" i="2" s="1"/>
  <c r="AO74" i="2" s="1"/>
  <c r="AQ74" i="2" s="1"/>
  <c r="Z122" i="2"/>
  <c r="AA122" i="2" s="1"/>
  <c r="AC122" i="2" s="1"/>
  <c r="AE122" i="2" s="1"/>
  <c r="AG122" i="2" s="1"/>
  <c r="AI122" i="2" s="1"/>
  <c r="AK122" i="2" s="1"/>
  <c r="AM122" i="2" s="1"/>
  <c r="AO122" i="2" s="1"/>
  <c r="AQ122" i="2" s="1"/>
  <c r="X126" i="2"/>
  <c r="L59" i="2"/>
  <c r="L128" i="2" s="1"/>
  <c r="L131" i="2" s="1"/>
  <c r="R59" i="2"/>
  <c r="AN77" i="2"/>
  <c r="AO67" i="2"/>
  <c r="W100" i="2"/>
  <c r="Y95" i="2"/>
  <c r="AC96" i="2"/>
  <c r="AE96" i="2" s="1"/>
  <c r="AG96" i="2" s="1"/>
  <c r="AI96" i="2" s="1"/>
  <c r="AK96" i="2" s="1"/>
  <c r="AM96" i="2" s="1"/>
  <c r="AO96" i="2" s="1"/>
  <c r="AQ96" i="2" s="1"/>
  <c r="I104" i="2"/>
  <c r="H107" i="2"/>
  <c r="AJ126" i="2"/>
  <c r="AL124" i="2"/>
  <c r="AN124" i="2" s="1"/>
  <c r="AN126" i="2" s="1"/>
  <c r="AC30" i="2"/>
  <c r="AE30" i="2" s="1"/>
  <c r="S33" i="2"/>
  <c r="T41" i="2"/>
  <c r="AC60" i="2"/>
  <c r="AE60" i="2" s="1"/>
  <c r="H77" i="2"/>
  <c r="I68" i="2"/>
  <c r="P114" i="2"/>
  <c r="AG123" i="2"/>
  <c r="AI123" i="2" s="1"/>
  <c r="AK123" i="2" s="1"/>
  <c r="AM123" i="2" s="1"/>
  <c r="AO123" i="2" s="1"/>
  <c r="AQ123" i="2" s="1"/>
  <c r="AG124" i="2"/>
  <c r="AI124" i="2" s="1"/>
  <c r="AK124" i="2" s="1"/>
  <c r="AM124" i="2" s="1"/>
  <c r="AO124" i="2" s="1"/>
  <c r="AQ124" i="2" s="1"/>
  <c r="AP128" i="2"/>
  <c r="AP131" i="2" s="1"/>
  <c r="AP135" i="2" s="1"/>
  <c r="AP139" i="2" s="1"/>
  <c r="P77" i="2"/>
  <c r="P128" i="2" s="1"/>
  <c r="P131" i="2" s="1"/>
  <c r="D128" i="2"/>
  <c r="D131" i="2" s="1"/>
  <c r="M89" i="2"/>
  <c r="O89" i="2" s="1"/>
  <c r="Q89" i="2" s="1"/>
  <c r="S89" i="2" s="1"/>
  <c r="U89" i="2" s="1"/>
  <c r="W89" i="2" s="1"/>
  <c r="Y89" i="2" s="1"/>
  <c r="AA89" i="2" s="1"/>
  <c r="AC89" i="2" s="1"/>
  <c r="AE89" i="2" s="1"/>
  <c r="AG89" i="2" s="1"/>
  <c r="AI89" i="2" s="1"/>
  <c r="AK89" i="2" s="1"/>
  <c r="AM89" i="2" s="1"/>
  <c r="AO89" i="2" s="1"/>
  <c r="AQ89" i="2" s="1"/>
  <c r="R107" i="2"/>
  <c r="S105" i="2"/>
  <c r="U105" i="2" s="1"/>
  <c r="W105" i="2" s="1"/>
  <c r="Y105" i="2" s="1"/>
  <c r="AA105" i="2" s="1"/>
  <c r="AC105" i="2" s="1"/>
  <c r="AE105" i="2" s="1"/>
  <c r="AG105" i="2" s="1"/>
  <c r="AI105" i="2" s="1"/>
  <c r="AK105" i="2" s="1"/>
  <c r="AM105" i="2" s="1"/>
  <c r="AO105" i="2" s="1"/>
  <c r="AQ105" i="2" s="1"/>
  <c r="Y112" i="2"/>
  <c r="W114" i="2"/>
  <c r="H91" i="2"/>
  <c r="I88" i="2"/>
  <c r="V107" i="2"/>
  <c r="AE110" i="2"/>
  <c r="AG110" i="2" s="1"/>
  <c r="AI110" i="2" s="1"/>
  <c r="AK110" i="2" s="1"/>
  <c r="AM110" i="2" s="1"/>
  <c r="AO110" i="2" s="1"/>
  <c r="AQ110" i="2" s="1"/>
  <c r="X114" i="2"/>
  <c r="Z112" i="2"/>
  <c r="AE113" i="2"/>
  <c r="AG113" i="2" s="1"/>
  <c r="AI113" i="2" s="1"/>
  <c r="AK113" i="2" s="1"/>
  <c r="AM113" i="2" s="1"/>
  <c r="AO113" i="2" s="1"/>
  <c r="AQ113" i="2" s="1"/>
  <c r="I121" i="2"/>
  <c r="H126" i="2"/>
  <c r="H128" i="2" s="1"/>
  <c r="H131" i="2" s="1"/>
  <c r="AL126" i="2"/>
  <c r="U73" i="2"/>
  <c r="W73" i="2" s="1"/>
  <c r="Y73" i="2" s="1"/>
  <c r="AA73" i="2" s="1"/>
  <c r="AC73" i="2" s="1"/>
  <c r="AE73" i="2" s="1"/>
  <c r="AG73" i="2" s="1"/>
  <c r="AI73" i="2" s="1"/>
  <c r="AK73" i="2" s="1"/>
  <c r="AM73" i="2" s="1"/>
  <c r="AO73" i="2" s="1"/>
  <c r="AQ73" i="2" s="1"/>
  <c r="AE111" i="2"/>
  <c r="AG111" i="2" s="1"/>
  <c r="AI111" i="2" s="1"/>
  <c r="AK111" i="2" s="1"/>
  <c r="AM111" i="2" s="1"/>
  <c r="AO111" i="2" s="1"/>
  <c r="AQ111" i="2" s="1"/>
  <c r="AN100" i="2"/>
  <c r="V11" i="2" l="1"/>
  <c r="X7" i="2"/>
  <c r="S17" i="2"/>
  <c r="U17" i="2" s="1"/>
  <c r="W17" i="2" s="1"/>
  <c r="Y17" i="2" s="1"/>
  <c r="AA17" i="2" s="1"/>
  <c r="AC17" i="2" s="1"/>
  <c r="AE17" i="2" s="1"/>
  <c r="AG17" i="2" s="1"/>
  <c r="AI17" i="2" s="1"/>
  <c r="AK17" i="2" s="1"/>
  <c r="AM17" i="2" s="1"/>
  <c r="AO17" i="2" s="1"/>
  <c r="AQ17" i="2" s="1"/>
  <c r="T128" i="2"/>
  <c r="K121" i="2"/>
  <c r="M121" i="2" s="1"/>
  <c r="O121" i="2" s="1"/>
  <c r="I126" i="2"/>
  <c r="I91" i="2"/>
  <c r="K91" i="2" s="1"/>
  <c r="M91" i="2" s="1"/>
  <c r="K88" i="2"/>
  <c r="M88" i="2" s="1"/>
  <c r="O88" i="2" s="1"/>
  <c r="V41" i="2"/>
  <c r="U41" i="2"/>
  <c r="W41" i="2" s="1"/>
  <c r="I107" i="2"/>
  <c r="K107" i="2" s="1"/>
  <c r="M107" i="2" s="1"/>
  <c r="K104" i="2"/>
  <c r="M104" i="2" s="1"/>
  <c r="O104" i="2" s="1"/>
  <c r="Z31" i="2"/>
  <c r="T59" i="2"/>
  <c r="AF29" i="2"/>
  <c r="T77" i="2"/>
  <c r="V68" i="2"/>
  <c r="AJ14" i="2"/>
  <c r="AH29" i="2"/>
  <c r="Z114" i="2"/>
  <c r="AB114" i="2" s="1"/>
  <c r="AD114" i="2" s="1"/>
  <c r="AF114" i="2" s="1"/>
  <c r="AH114" i="2" s="1"/>
  <c r="AB112" i="2"/>
  <c r="AD112" i="2" s="1"/>
  <c r="AF112" i="2" s="1"/>
  <c r="Y100" i="2"/>
  <c r="AA95" i="2"/>
  <c r="AN44" i="2"/>
  <c r="AO44" i="2" s="1"/>
  <c r="AQ44" i="2" s="1"/>
  <c r="X29" i="2"/>
  <c r="Z29" i="2"/>
  <c r="AB29" i="2" s="1"/>
  <c r="AD29" i="2" s="1"/>
  <c r="U15" i="2"/>
  <c r="W15" i="2" s="1"/>
  <c r="Y15" i="2" s="1"/>
  <c r="AA15" i="2" s="1"/>
  <c r="AC15" i="2" s="1"/>
  <c r="AE15" i="2" s="1"/>
  <c r="AG15" i="2" s="1"/>
  <c r="AI15" i="2" s="1"/>
  <c r="AK15" i="2" s="1"/>
  <c r="AM15" i="2" s="1"/>
  <c r="AO15" i="2" s="1"/>
  <c r="AQ15" i="2" s="1"/>
  <c r="Q29" i="2"/>
  <c r="S14" i="2"/>
  <c r="S59" i="2"/>
  <c r="U33" i="2"/>
  <c r="T29" i="2"/>
  <c r="I77" i="2"/>
  <c r="K68" i="2"/>
  <c r="S110" i="2"/>
  <c r="S114" i="2" s="1"/>
  <c r="Q114" i="2"/>
  <c r="Z126" i="2"/>
  <c r="AB126" i="2" s="1"/>
  <c r="AD126" i="2" s="1"/>
  <c r="AF126" i="2" s="1"/>
  <c r="AH126" i="2" s="1"/>
  <c r="K31" i="2"/>
  <c r="I59" i="2"/>
  <c r="V29" i="2"/>
  <c r="R29" i="2"/>
  <c r="R128" i="2" s="1"/>
  <c r="O29" i="2"/>
  <c r="AA112" i="2"/>
  <c r="Y114" i="2"/>
  <c r="AQ67" i="2"/>
  <c r="Y31" i="2"/>
  <c r="AE64" i="2"/>
  <c r="K7" i="2"/>
  <c r="I11" i="2"/>
  <c r="AA31" i="2" l="1"/>
  <c r="AC112" i="2"/>
  <c r="AE112" i="2" s="1"/>
  <c r="AG112" i="2" s="1"/>
  <c r="AI112" i="2" s="1"/>
  <c r="AK112" i="2" s="1"/>
  <c r="AM112" i="2" s="1"/>
  <c r="AO112" i="2" s="1"/>
  <c r="AQ112" i="2" s="1"/>
  <c r="AA114" i="2"/>
  <c r="AC114" i="2" s="1"/>
  <c r="AE114" i="2" s="1"/>
  <c r="AG114" i="2" s="1"/>
  <c r="AI114" i="2" s="1"/>
  <c r="AK114" i="2" s="1"/>
  <c r="AM114" i="2" s="1"/>
  <c r="AO114" i="2" s="1"/>
  <c r="M31" i="2"/>
  <c r="K59" i="2"/>
  <c r="V77" i="2"/>
  <c r="X68" i="2"/>
  <c r="X77" i="2" s="1"/>
  <c r="O107" i="2"/>
  <c r="Q104" i="2"/>
  <c r="K126" i="2"/>
  <c r="I128" i="2"/>
  <c r="I131" i="2" s="1"/>
  <c r="Q121" i="2"/>
  <c r="O126" i="2"/>
  <c r="W33" i="2"/>
  <c r="U59" i="2"/>
  <c r="X41" i="2"/>
  <c r="Y41" i="2" s="1"/>
  <c r="V59" i="2"/>
  <c r="V128" i="2" s="1"/>
  <c r="K11" i="2"/>
  <c r="M11" i="2" s="1"/>
  <c r="M7" i="2"/>
  <c r="O7" i="2" s="1"/>
  <c r="S29" i="2"/>
  <c r="U14" i="2"/>
  <c r="AB31" i="2"/>
  <c r="O91" i="2"/>
  <c r="Q88" i="2"/>
  <c r="X11" i="2"/>
  <c r="Z7" i="2"/>
  <c r="M68" i="2"/>
  <c r="K77" i="2"/>
  <c r="AC95" i="2"/>
  <c r="AE95" i="2" s="1"/>
  <c r="AA100" i="2"/>
  <c r="AC100" i="2" s="1"/>
  <c r="AJ29" i="2"/>
  <c r="AL14" i="2"/>
  <c r="AA41" i="2" l="1"/>
  <c r="AL29" i="2"/>
  <c r="AN14" i="2"/>
  <c r="AN29" i="2" s="1"/>
  <c r="AB7" i="2"/>
  <c r="AD7" i="2" s="1"/>
  <c r="AF7" i="2" s="1"/>
  <c r="AH7" i="2" s="1"/>
  <c r="AJ7" i="2" s="1"/>
  <c r="Z11" i="2"/>
  <c r="U29" i="2"/>
  <c r="W14" i="2"/>
  <c r="M126" i="2"/>
  <c r="K128" i="2"/>
  <c r="K131" i="2" s="1"/>
  <c r="M131" i="2" s="1"/>
  <c r="O131" i="2" s="1"/>
  <c r="M59" i="2"/>
  <c r="O31" i="2"/>
  <c r="AD31" i="2"/>
  <c r="M77" i="2"/>
  <c r="O68" i="2"/>
  <c r="Z41" i="2"/>
  <c r="X59" i="2"/>
  <c r="X128" i="2"/>
  <c r="S104" i="2"/>
  <c r="Q107" i="2"/>
  <c r="Q91" i="2"/>
  <c r="S88" i="2"/>
  <c r="O11" i="2"/>
  <c r="Q7" i="2"/>
  <c r="Y33" i="2"/>
  <c r="W59" i="2"/>
  <c r="Q126" i="2"/>
  <c r="S121" i="2"/>
  <c r="AE100" i="2"/>
  <c r="AG95" i="2"/>
  <c r="AC31" i="2"/>
  <c r="AC41" i="2" l="1"/>
  <c r="O59" i="2"/>
  <c r="O128" i="2" s="1"/>
  <c r="Q31" i="2"/>
  <c r="Q59" i="2" s="1"/>
  <c r="AB11" i="2"/>
  <c r="Y14" i="2"/>
  <c r="W29" i="2"/>
  <c r="Q11" i="2"/>
  <c r="S7" i="2"/>
  <c r="U121" i="2"/>
  <c r="S126" i="2"/>
  <c r="S91" i="2"/>
  <c r="U88" i="2"/>
  <c r="AB41" i="2"/>
  <c r="Z59" i="2"/>
  <c r="Z128" i="2" s="1"/>
  <c r="AJ11" i="2"/>
  <c r="AL7" i="2"/>
  <c r="AA33" i="2"/>
  <c r="Y59" i="2"/>
  <c r="AF31" i="2"/>
  <c r="AG100" i="2"/>
  <c r="AI95" i="2"/>
  <c r="O77" i="2"/>
  <c r="Q68" i="2"/>
  <c r="S107" i="2"/>
  <c r="U104" i="2"/>
  <c r="AE31" i="2"/>
  <c r="M128" i="2"/>
  <c r="U126" i="2" l="1"/>
  <c r="W121" i="2"/>
  <c r="AL11" i="2"/>
  <c r="AN7" i="2"/>
  <c r="AN11" i="2" s="1"/>
  <c r="U107" i="2"/>
  <c r="W104" i="2"/>
  <c r="AH31" i="2"/>
  <c r="S11" i="2"/>
  <c r="U7" i="2"/>
  <c r="AB128" i="2"/>
  <c r="AD11" i="2"/>
  <c r="AD41" i="2"/>
  <c r="AB59" i="2"/>
  <c r="Q128" i="2"/>
  <c r="AC33" i="2"/>
  <c r="AE33" i="2" s="1"/>
  <c r="AG33" i="2" s="1"/>
  <c r="AI33" i="2" s="1"/>
  <c r="AK33" i="2" s="1"/>
  <c r="AM33" i="2" s="1"/>
  <c r="AO33" i="2" s="1"/>
  <c r="AQ33" i="2" s="1"/>
  <c r="AA59" i="2"/>
  <c r="AC59" i="2" s="1"/>
  <c r="Y29" i="2"/>
  <c r="AA14" i="2"/>
  <c r="AI100" i="2"/>
  <c r="AK95" i="2"/>
  <c r="AG31" i="2"/>
  <c r="Q77" i="2"/>
  <c r="S68" i="2"/>
  <c r="U91" i="2"/>
  <c r="W88" i="2"/>
  <c r="U11" i="2" l="1"/>
  <c r="W7" i="2"/>
  <c r="AH59" i="2"/>
  <c r="AJ31" i="2"/>
  <c r="W126" i="2"/>
  <c r="Y121" i="2"/>
  <c r="AI31" i="2"/>
  <c r="W91" i="2"/>
  <c r="Y88" i="2"/>
  <c r="S77" i="2"/>
  <c r="S128" i="2" s="1"/>
  <c r="U68" i="2"/>
  <c r="AA29" i="2"/>
  <c r="AC29" i="2" s="1"/>
  <c r="AE29" i="2" s="1"/>
  <c r="AC14" i="2"/>
  <c r="AE14" i="2" s="1"/>
  <c r="AG14" i="2" s="1"/>
  <c r="AF41" i="2"/>
  <c r="AF59" i="2" s="1"/>
  <c r="AD59" i="2"/>
  <c r="AD128" i="2" s="1"/>
  <c r="AK100" i="2"/>
  <c r="AM95" i="2"/>
  <c r="AF11" i="2"/>
  <c r="Y104" i="2"/>
  <c r="W107" i="2"/>
  <c r="AE41" i="2"/>
  <c r="AA88" i="2" l="1"/>
  <c r="Y91" i="2"/>
  <c r="AJ59" i="2"/>
  <c r="AJ128" i="2" s="1"/>
  <c r="AL31" i="2"/>
  <c r="AG41" i="2"/>
  <c r="AE59" i="2"/>
  <c r="AF128" i="2"/>
  <c r="AH11" i="2"/>
  <c r="AH128" i="2" s="1"/>
  <c r="AG29" i="2"/>
  <c r="AI14" i="2"/>
  <c r="AK31" i="2"/>
  <c r="W11" i="2"/>
  <c r="Y7" i="2"/>
  <c r="Y107" i="2"/>
  <c r="AA104" i="2"/>
  <c r="AM100" i="2"/>
  <c r="AO95" i="2"/>
  <c r="U77" i="2"/>
  <c r="W68" i="2"/>
  <c r="AA121" i="2"/>
  <c r="Y126" i="2"/>
  <c r="U128" i="2"/>
  <c r="AI41" i="2" l="1"/>
  <c r="AG59" i="2"/>
  <c r="AM31" i="2"/>
  <c r="AA107" i="2"/>
  <c r="AC107" i="2" s="1"/>
  <c r="AE107" i="2" s="1"/>
  <c r="AG107" i="2" s="1"/>
  <c r="AI107" i="2" s="1"/>
  <c r="AK107" i="2" s="1"/>
  <c r="AM107" i="2" s="1"/>
  <c r="AO107" i="2" s="1"/>
  <c r="AQ107" i="2" s="1"/>
  <c r="AC104" i="2"/>
  <c r="AE104" i="2" s="1"/>
  <c r="AG104" i="2" s="1"/>
  <c r="AI104" i="2" s="1"/>
  <c r="AK104" i="2" s="1"/>
  <c r="AM104" i="2" s="1"/>
  <c r="AO104" i="2" s="1"/>
  <c r="AQ104" i="2" s="1"/>
  <c r="AI29" i="2"/>
  <c r="AK14" i="2"/>
  <c r="AN31" i="2"/>
  <c r="AN59" i="2" s="1"/>
  <c r="AN128" i="2" s="1"/>
  <c r="AL59" i="2"/>
  <c r="AL128" i="2" s="1"/>
  <c r="AL131" i="2" s="1"/>
  <c r="AL135" i="2" s="1"/>
  <c r="AL139" i="2" s="1"/>
  <c r="AA126" i="2"/>
  <c r="AC126" i="2" s="1"/>
  <c r="AE126" i="2" s="1"/>
  <c r="AG126" i="2" s="1"/>
  <c r="AI126" i="2" s="1"/>
  <c r="AC121" i="2"/>
  <c r="AE121" i="2" s="1"/>
  <c r="AG121" i="2" s="1"/>
  <c r="AI121" i="2" s="1"/>
  <c r="AK121" i="2" s="1"/>
  <c r="AM121" i="2" s="1"/>
  <c r="AO121" i="2" s="1"/>
  <c r="AQ121" i="2" s="1"/>
  <c r="AQ95" i="2"/>
  <c r="AO100" i="2"/>
  <c r="Y68" i="2"/>
  <c r="W77" i="2"/>
  <c r="Y11" i="2"/>
  <c r="AA7" i="2"/>
  <c r="W128" i="2"/>
  <c r="AA91" i="2"/>
  <c r="AC91" i="2" s="1"/>
  <c r="AE91" i="2" s="1"/>
  <c r="AG91" i="2" s="1"/>
  <c r="AI91" i="2" s="1"/>
  <c r="AK91" i="2" s="1"/>
  <c r="AM91" i="2" s="1"/>
  <c r="AO91" i="2" s="1"/>
  <c r="AC88" i="2"/>
  <c r="AE88" i="2" s="1"/>
  <c r="AG88" i="2" s="1"/>
  <c r="AI88" i="2" s="1"/>
  <c r="AK88" i="2" s="1"/>
  <c r="AM88" i="2" s="1"/>
  <c r="AO88" i="2" s="1"/>
  <c r="AQ88" i="2" s="1"/>
  <c r="Y128" i="2" l="1"/>
  <c r="AK126" i="2"/>
  <c r="AC7" i="2"/>
  <c r="AE7" i="2" s="1"/>
  <c r="AG7" i="2" s="1"/>
  <c r="AI7" i="2" s="1"/>
  <c r="AK7" i="2" s="1"/>
  <c r="AM7" i="2" s="1"/>
  <c r="AA11" i="2"/>
  <c r="Y77" i="2"/>
  <c r="AA68" i="2"/>
  <c r="AO31" i="2"/>
  <c r="AK41" i="2"/>
  <c r="AI59" i="2"/>
  <c r="AM14" i="2"/>
  <c r="AK29" i="2"/>
  <c r="AC11" i="2" l="1"/>
  <c r="AE11" i="2" s="1"/>
  <c r="AG11" i="2" s="1"/>
  <c r="AI11" i="2" s="1"/>
  <c r="AK11" i="2" s="1"/>
  <c r="AM11" i="2"/>
  <c r="AO7" i="2"/>
  <c r="AA77" i="2"/>
  <c r="AC77" i="2" s="1"/>
  <c r="AE77" i="2" s="1"/>
  <c r="AG77" i="2" s="1"/>
  <c r="AC68" i="2"/>
  <c r="AE68" i="2" s="1"/>
  <c r="AG68" i="2" s="1"/>
  <c r="AI68" i="2" s="1"/>
  <c r="AQ31" i="2"/>
  <c r="AM126" i="2"/>
  <c r="AM29" i="2"/>
  <c r="AO14" i="2"/>
  <c r="AM41" i="2"/>
  <c r="AK59" i="2"/>
  <c r="AI77" i="2" l="1"/>
  <c r="AI128" i="2" s="1"/>
  <c r="AK68" i="2"/>
  <c r="AQ14" i="2"/>
  <c r="AO29" i="2"/>
  <c r="AO11" i="2"/>
  <c r="AQ7" i="2"/>
  <c r="AO126" i="2"/>
  <c r="AO41" i="2"/>
  <c r="AM59" i="2"/>
  <c r="AA128" i="2"/>
  <c r="AC128" i="2" s="1"/>
  <c r="AE128" i="2" s="1"/>
  <c r="AG128" i="2" s="1"/>
  <c r="AQ41" i="2" l="1"/>
  <c r="AO59" i="2"/>
  <c r="AK77" i="2"/>
  <c r="AK128" i="2" s="1"/>
  <c r="AM68" i="2"/>
  <c r="AM77" i="2" l="1"/>
  <c r="AM128" i="2" s="1"/>
  <c r="AO68" i="2"/>
  <c r="AQ68" i="2" l="1"/>
  <c r="AO77" i="2"/>
  <c r="AO128" i="2" s="1"/>
  <c r="D133" i="2" s="1"/>
  <c r="D135" i="2" s="1"/>
  <c r="D139" i="2" s="1"/>
</calcChain>
</file>

<file path=xl/sharedStrings.xml><?xml version="1.0" encoding="utf-8"?>
<sst xmlns="http://schemas.openxmlformats.org/spreadsheetml/2006/main" count="244" uniqueCount="94">
  <si>
    <t>MCCREARY CO SEWER</t>
  </si>
  <si>
    <t>WP 311SW</t>
  </si>
  <si>
    <t>RECAP OF PROPERTY &amp; EQUIPMENT</t>
  </si>
  <si>
    <t>vg</t>
  </si>
  <si>
    <t>12.31.20</t>
  </si>
  <si>
    <t>Accumulated</t>
  </si>
  <si>
    <t>Depreciation</t>
  </si>
  <si>
    <t xml:space="preserve">Accumulated </t>
  </si>
  <si>
    <t>ACCT</t>
  </si>
  <si>
    <t>Cost</t>
  </si>
  <si>
    <t>Expense</t>
  </si>
  <si>
    <t xml:space="preserve">Depr </t>
  </si>
  <si>
    <t>BUILDINGS</t>
  </si>
  <si>
    <t>Utility Plant</t>
  </si>
  <si>
    <t>S/L</t>
  </si>
  <si>
    <t>Utility Plant Additions</t>
  </si>
  <si>
    <t>Wastewater Treatment Plant 2(cont 23)</t>
  </si>
  <si>
    <t>2006 Utility Plant Additions</t>
  </si>
  <si>
    <t>COLLECTION SEWERS-FORCE</t>
  </si>
  <si>
    <t>Sewer Transmission Force Main(cont 24)</t>
  </si>
  <si>
    <t>Sewage Lift Station(cont 24)</t>
  </si>
  <si>
    <t>2005 District Additions</t>
  </si>
  <si>
    <t>2006 Marshes Siding Project - Phase I</t>
  </si>
  <si>
    <t>2006 Stearns Sewer, EPA</t>
  </si>
  <si>
    <t>2006 Pine Knot Sewer Project</t>
  </si>
  <si>
    <t>2006 Marshes Siding Project - Phase !!</t>
  </si>
  <si>
    <t>2007 Marshes Siding Project - Phase !!</t>
  </si>
  <si>
    <t>2008 Sterns Sewer Phase II and III</t>
  </si>
  <si>
    <t>2008 Williamsburg Project</t>
  </si>
  <si>
    <t>2009 Sterns Wewer Project EPA Funds</t>
  </si>
  <si>
    <t>2009 Holloway Cemetary Rd.</t>
  </si>
  <si>
    <t>Williamsburg Street</t>
  </si>
  <si>
    <t>Holloway Cemetary Rd</t>
  </si>
  <si>
    <t>Revelo to Stearns Extension</t>
  </si>
  <si>
    <t>SERVICES/METERS</t>
  </si>
  <si>
    <t>Services to Customers</t>
  </si>
  <si>
    <t>2006 District Additions</t>
  </si>
  <si>
    <t>Services to Customers - Big Creek</t>
  </si>
  <si>
    <t>2007 District Additions</t>
  </si>
  <si>
    <t>2008 District Additions</t>
  </si>
  <si>
    <t>2009 District Additions</t>
  </si>
  <si>
    <t>2010 District Additions</t>
  </si>
  <si>
    <t>2011 District Additions</t>
  </si>
  <si>
    <t>2012 District Additions</t>
  </si>
  <si>
    <t>2013 District Additions</t>
  </si>
  <si>
    <t>2014 District Additions</t>
  </si>
  <si>
    <t>2015 District Additions</t>
  </si>
  <si>
    <t>2016 District Additions</t>
  </si>
  <si>
    <t>2017 District Additions</t>
  </si>
  <si>
    <t>2018 District Additions</t>
  </si>
  <si>
    <t>2019 District Additions</t>
  </si>
  <si>
    <t>2020 District AdditionsDaughtery&amp;Pig Skin</t>
  </si>
  <si>
    <t>2020 District Additions</t>
  </si>
  <si>
    <t>FLOW MEASURNING DEVICES</t>
  </si>
  <si>
    <t>Sewage Flow Meter(cont 24)</t>
  </si>
  <si>
    <t>PUMPING EQUIPMENT</t>
  </si>
  <si>
    <t>Transformer from Sewer</t>
  </si>
  <si>
    <t>03/01/2000</t>
  </si>
  <si>
    <t>Equipment</t>
  </si>
  <si>
    <t>24 H.P. Pump</t>
  </si>
  <si>
    <t>Atlas Machine Submersable</t>
  </si>
  <si>
    <t>2006 Pumping Equip - Electric</t>
  </si>
  <si>
    <t>2009 Bypass Mobile Pump EPA Funds</t>
  </si>
  <si>
    <t>2009 Sterns Sewer LIft EPA Funds</t>
  </si>
  <si>
    <t>2009 Holloway Cem RD XS 21147011</t>
  </si>
  <si>
    <t>2009 Holloway Cem Rd</t>
  </si>
  <si>
    <t>PUMPING EQUIPMENT-DIESEL</t>
  </si>
  <si>
    <t>Emergency Generator(cont 27)</t>
  </si>
  <si>
    <t>TREATMENT &amp; DISPOSAL</t>
  </si>
  <si>
    <t>OFFICE FURNITURE AND EQUIP</t>
  </si>
  <si>
    <t>Office Furniture and Equipment</t>
  </si>
  <si>
    <t>Office Furniture</t>
  </si>
  <si>
    <t>TRANSPORTATION EQUIPMENT</t>
  </si>
  <si>
    <t>11 Ford   F150 4x4</t>
  </si>
  <si>
    <t>07 Chevrolet 4x4</t>
  </si>
  <si>
    <t>07/15/2014</t>
  </si>
  <si>
    <t>Ford F-350</t>
  </si>
  <si>
    <t>20 Dodge Ram 3500 Tradesman</t>
  </si>
  <si>
    <t>TOOLS, SHOP &amp; GARAGE EQUIP</t>
  </si>
  <si>
    <t>Wrench</t>
  </si>
  <si>
    <t>Tapping Machine</t>
  </si>
  <si>
    <t>LABORATORY EQUIPMENT</t>
  </si>
  <si>
    <t>Testing Equipment</t>
  </si>
  <si>
    <t>Spectro Lab Equipment</t>
  </si>
  <si>
    <t>COMMUNICATION EQUIP</t>
  </si>
  <si>
    <t>OTHER TANGIBLE PROPERTY</t>
  </si>
  <si>
    <t>Other General Equipment</t>
  </si>
  <si>
    <t>Security System/Digital/Cameras</t>
  </si>
  <si>
    <t>Wireless Alarm</t>
  </si>
  <si>
    <t>TOTAL</t>
  </si>
  <si>
    <t>ACCUMULATED DEP</t>
  </si>
  <si>
    <t>TOTAL PROP &amp; EQUIP NET OF DEPR</t>
  </si>
  <si>
    <t>CONSTRUCTION IN PROCESS</t>
  </si>
  <si>
    <t>TOTAL PROPERTY &amp;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</si>
</sst>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6" formatCode="mm/dd/yyyy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1"/>
    <xf numFmtId="0" fontId="1" fillId="0" borderId="0" xfId="1" applyFont="1" applyAlignment="1">
      <alignment horizontal="left"/>
    </xf>
    <xf numFmtId="0" fontId="1" fillId="0" borderId="0" xfId="1" applyAlignment="1">
      <alignment horizontal="center"/>
    </xf>
    <xf numFmtId="0" fontId="1" fillId="0" borderId="0" xfId="1" applyAlignment="1"/>
    <xf numFmtId="0" fontId="2" fillId="0" borderId="0" xfId="1" applyFont="1" applyAlignment="1"/>
    <xf numFmtId="0" fontId="2" fillId="0" borderId="0" xfId="1" applyFont="1" applyAlignment="1">
      <alignment horizontal="center"/>
    </xf>
    <xf numFmtId="0" fontId="3" fillId="0" borderId="0" xfId="1" applyFont="1" applyAlignment="1"/>
    <xf numFmtId="0" fontId="4" fillId="0" borderId="0" xfId="1" applyFont="1" applyAlignment="1"/>
    <xf numFmtId="166" fontId="1" fillId="0" borderId="0" xfId="1" applyNumberFormat="1" applyAlignment="1">
      <alignment horizontal="center" vertical="center"/>
    </xf>
    <xf numFmtId="166" fontId="2" fillId="0" borderId="0" xfId="1" applyNumberFormat="1" applyFont="1" applyAlignment="1">
      <alignment horizontal="center" vertical="center"/>
    </xf>
    <xf numFmtId="166" fontId="1" fillId="0" borderId="0" xfId="1" applyNumberFormat="1" applyFont="1" applyAlignment="1">
      <alignment horizontal="center" vertical="center"/>
    </xf>
    <xf numFmtId="43" fontId="1" fillId="0" borderId="0" xfId="2" applyFont="1" applyAlignment="1">
      <alignment horizontal="left"/>
    </xf>
    <xf numFmtId="43" fontId="1" fillId="0" borderId="0" xfId="2" applyFont="1" applyAlignment="1">
      <alignment horizontal="center"/>
    </xf>
    <xf numFmtId="43" fontId="1" fillId="0" borderId="0" xfId="2" applyFont="1"/>
    <xf numFmtId="43" fontId="2" fillId="0" borderId="0" xfId="2" applyFont="1" applyAlignment="1"/>
    <xf numFmtId="0" fontId="1" fillId="0" borderId="0" xfId="2" applyNumberFormat="1" applyFont="1" applyAlignment="1">
      <alignment horizontal="center"/>
    </xf>
  </cellXfs>
  <cellStyles count="3">
    <cellStyle name="Comma" xfId="2" builtinId="3"/>
    <cellStyle name="Normal" xfId="0" builtinId="0"/>
    <cellStyle name="Normal 2" xfId="1" xr:uid="{A27A5671-21B8-4049-AA60-1F4B180695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DC00B-AC8A-4BC7-AB0E-FC13249175EE}">
  <dimension ref="A1:AQ139"/>
  <sheetViews>
    <sheetView tabSelected="1" zoomScaleNormal="100" workbookViewId="0">
      <selection activeCell="I7" sqref="I7"/>
    </sheetView>
  </sheetViews>
  <sheetFormatPr defaultColWidth="11.5703125" defaultRowHeight="12.75" x14ac:dyDescent="0.2"/>
  <cols>
    <col min="1" max="1" width="6.42578125" style="1" customWidth="1"/>
    <col min="2" max="2" width="36.7109375" style="1" customWidth="1"/>
    <col min="3" max="3" width="10.7109375" style="9" customWidth="1"/>
    <col min="4" max="4" width="17" style="14" customWidth="1"/>
    <col min="5" max="5" width="4.5703125" style="1" customWidth="1"/>
    <col min="6" max="6" width="3.5703125" style="1" customWidth="1"/>
    <col min="7" max="7" width="12.28515625" style="14" customWidth="1"/>
    <col min="8" max="8" width="12.5703125" style="14" customWidth="1"/>
    <col min="9" max="9" width="12.28515625" style="1" customWidth="1"/>
    <col min="10" max="10" width="11.7109375" style="1" customWidth="1"/>
    <col min="11" max="11" width="13" style="1" customWidth="1"/>
    <col min="12" max="12" width="14" style="1" customWidth="1"/>
    <col min="13" max="13" width="15" style="1" customWidth="1"/>
    <col min="14" max="14" width="13" style="1" customWidth="1"/>
    <col min="15" max="15" width="15" style="1" customWidth="1"/>
    <col min="16" max="16" width="13" style="1" customWidth="1"/>
    <col min="17" max="17" width="14" style="1" customWidth="1"/>
    <col min="18" max="18" width="12.5703125" style="1" customWidth="1"/>
    <col min="19" max="19" width="14" style="1" customWidth="1"/>
    <col min="20" max="20" width="13" style="1" customWidth="1"/>
    <col min="21" max="21" width="15" style="1" customWidth="1"/>
    <col min="22" max="22" width="13" style="1" customWidth="1"/>
    <col min="23" max="23" width="15" style="1" customWidth="1"/>
    <col min="24" max="24" width="13" style="1" customWidth="1"/>
    <col min="25" max="25" width="15" style="1" customWidth="1"/>
    <col min="26" max="26" width="13" style="1" customWidth="1"/>
    <col min="27" max="27" width="15" style="1" customWidth="1"/>
    <col min="28" max="41" width="17" style="1" customWidth="1"/>
    <col min="42" max="42" width="12.5703125" style="1" customWidth="1"/>
    <col min="43" max="43" width="17" style="1" customWidth="1"/>
    <col min="44" max="256" width="11.5703125" style="1"/>
    <col min="257" max="257" width="6.42578125" style="1" customWidth="1"/>
    <col min="258" max="258" width="36.7109375" style="1" customWidth="1"/>
    <col min="259" max="259" width="10.7109375" style="1" customWidth="1"/>
    <col min="260" max="260" width="17" style="1" customWidth="1"/>
    <col min="261" max="261" width="4.5703125" style="1" customWidth="1"/>
    <col min="262" max="262" width="3.5703125" style="1" customWidth="1"/>
    <col min="263" max="263" width="12.28515625" style="1" customWidth="1"/>
    <col min="264" max="264" width="12.5703125" style="1" customWidth="1"/>
    <col min="265" max="265" width="12.28515625" style="1" customWidth="1"/>
    <col min="266" max="266" width="11.7109375" style="1" customWidth="1"/>
    <col min="267" max="267" width="13" style="1" customWidth="1"/>
    <col min="268" max="268" width="14" style="1" customWidth="1"/>
    <col min="269" max="269" width="15" style="1" customWidth="1"/>
    <col min="270" max="270" width="13" style="1" customWidth="1"/>
    <col min="271" max="271" width="15" style="1" customWidth="1"/>
    <col min="272" max="272" width="13" style="1" customWidth="1"/>
    <col min="273" max="273" width="14" style="1" customWidth="1"/>
    <col min="274" max="274" width="12.5703125" style="1" customWidth="1"/>
    <col min="275" max="275" width="14" style="1" customWidth="1"/>
    <col min="276" max="276" width="13" style="1" customWidth="1"/>
    <col min="277" max="277" width="15" style="1" customWidth="1"/>
    <col min="278" max="278" width="13" style="1" customWidth="1"/>
    <col min="279" max="279" width="15" style="1" customWidth="1"/>
    <col min="280" max="280" width="13" style="1" customWidth="1"/>
    <col min="281" max="281" width="15" style="1" customWidth="1"/>
    <col min="282" max="282" width="13" style="1" customWidth="1"/>
    <col min="283" max="283" width="15" style="1" customWidth="1"/>
    <col min="284" max="297" width="17" style="1" customWidth="1"/>
    <col min="298" max="298" width="12.5703125" style="1" customWidth="1"/>
    <col min="299" max="299" width="17" style="1" customWidth="1"/>
    <col min="300" max="512" width="11.5703125" style="1"/>
    <col min="513" max="513" width="6.42578125" style="1" customWidth="1"/>
    <col min="514" max="514" width="36.7109375" style="1" customWidth="1"/>
    <col min="515" max="515" width="10.7109375" style="1" customWidth="1"/>
    <col min="516" max="516" width="17" style="1" customWidth="1"/>
    <col min="517" max="517" width="4.5703125" style="1" customWidth="1"/>
    <col min="518" max="518" width="3.5703125" style="1" customWidth="1"/>
    <col min="519" max="519" width="12.28515625" style="1" customWidth="1"/>
    <col min="520" max="520" width="12.5703125" style="1" customWidth="1"/>
    <col min="521" max="521" width="12.28515625" style="1" customWidth="1"/>
    <col min="522" max="522" width="11.7109375" style="1" customWidth="1"/>
    <col min="523" max="523" width="13" style="1" customWidth="1"/>
    <col min="524" max="524" width="14" style="1" customWidth="1"/>
    <col min="525" max="525" width="15" style="1" customWidth="1"/>
    <col min="526" max="526" width="13" style="1" customWidth="1"/>
    <col min="527" max="527" width="15" style="1" customWidth="1"/>
    <col min="528" max="528" width="13" style="1" customWidth="1"/>
    <col min="529" max="529" width="14" style="1" customWidth="1"/>
    <col min="530" max="530" width="12.5703125" style="1" customWidth="1"/>
    <col min="531" max="531" width="14" style="1" customWidth="1"/>
    <col min="532" max="532" width="13" style="1" customWidth="1"/>
    <col min="533" max="533" width="15" style="1" customWidth="1"/>
    <col min="534" max="534" width="13" style="1" customWidth="1"/>
    <col min="535" max="535" width="15" style="1" customWidth="1"/>
    <col min="536" max="536" width="13" style="1" customWidth="1"/>
    <col min="537" max="537" width="15" style="1" customWidth="1"/>
    <col min="538" max="538" width="13" style="1" customWidth="1"/>
    <col min="539" max="539" width="15" style="1" customWidth="1"/>
    <col min="540" max="553" width="17" style="1" customWidth="1"/>
    <col min="554" max="554" width="12.5703125" style="1" customWidth="1"/>
    <col min="555" max="555" width="17" style="1" customWidth="1"/>
    <col min="556" max="768" width="11.5703125" style="1"/>
    <col min="769" max="769" width="6.42578125" style="1" customWidth="1"/>
    <col min="770" max="770" width="36.7109375" style="1" customWidth="1"/>
    <col min="771" max="771" width="10.7109375" style="1" customWidth="1"/>
    <col min="772" max="772" width="17" style="1" customWidth="1"/>
    <col min="773" max="773" width="4.5703125" style="1" customWidth="1"/>
    <col min="774" max="774" width="3.5703125" style="1" customWidth="1"/>
    <col min="775" max="775" width="12.28515625" style="1" customWidth="1"/>
    <col min="776" max="776" width="12.5703125" style="1" customWidth="1"/>
    <col min="777" max="777" width="12.28515625" style="1" customWidth="1"/>
    <col min="778" max="778" width="11.7109375" style="1" customWidth="1"/>
    <col min="779" max="779" width="13" style="1" customWidth="1"/>
    <col min="780" max="780" width="14" style="1" customWidth="1"/>
    <col min="781" max="781" width="15" style="1" customWidth="1"/>
    <col min="782" max="782" width="13" style="1" customWidth="1"/>
    <col min="783" max="783" width="15" style="1" customWidth="1"/>
    <col min="784" max="784" width="13" style="1" customWidth="1"/>
    <col min="785" max="785" width="14" style="1" customWidth="1"/>
    <col min="786" max="786" width="12.5703125" style="1" customWidth="1"/>
    <col min="787" max="787" width="14" style="1" customWidth="1"/>
    <col min="788" max="788" width="13" style="1" customWidth="1"/>
    <col min="789" max="789" width="15" style="1" customWidth="1"/>
    <col min="790" max="790" width="13" style="1" customWidth="1"/>
    <col min="791" max="791" width="15" style="1" customWidth="1"/>
    <col min="792" max="792" width="13" style="1" customWidth="1"/>
    <col min="793" max="793" width="15" style="1" customWidth="1"/>
    <col min="794" max="794" width="13" style="1" customWidth="1"/>
    <col min="795" max="795" width="15" style="1" customWidth="1"/>
    <col min="796" max="809" width="17" style="1" customWidth="1"/>
    <col min="810" max="810" width="12.5703125" style="1" customWidth="1"/>
    <col min="811" max="811" width="17" style="1" customWidth="1"/>
    <col min="812" max="1024" width="11.5703125" style="1"/>
    <col min="1025" max="1025" width="6.42578125" style="1" customWidth="1"/>
    <col min="1026" max="1026" width="36.7109375" style="1" customWidth="1"/>
    <col min="1027" max="1027" width="10.7109375" style="1" customWidth="1"/>
    <col min="1028" max="1028" width="17" style="1" customWidth="1"/>
    <col min="1029" max="1029" width="4.5703125" style="1" customWidth="1"/>
    <col min="1030" max="1030" width="3.5703125" style="1" customWidth="1"/>
    <col min="1031" max="1031" width="12.28515625" style="1" customWidth="1"/>
    <col min="1032" max="1032" width="12.5703125" style="1" customWidth="1"/>
    <col min="1033" max="1033" width="12.28515625" style="1" customWidth="1"/>
    <col min="1034" max="1034" width="11.7109375" style="1" customWidth="1"/>
    <col min="1035" max="1035" width="13" style="1" customWidth="1"/>
    <col min="1036" max="1036" width="14" style="1" customWidth="1"/>
    <col min="1037" max="1037" width="15" style="1" customWidth="1"/>
    <col min="1038" max="1038" width="13" style="1" customWidth="1"/>
    <col min="1039" max="1039" width="15" style="1" customWidth="1"/>
    <col min="1040" max="1040" width="13" style="1" customWidth="1"/>
    <col min="1041" max="1041" width="14" style="1" customWidth="1"/>
    <col min="1042" max="1042" width="12.5703125" style="1" customWidth="1"/>
    <col min="1043" max="1043" width="14" style="1" customWidth="1"/>
    <col min="1044" max="1044" width="13" style="1" customWidth="1"/>
    <col min="1045" max="1045" width="15" style="1" customWidth="1"/>
    <col min="1046" max="1046" width="13" style="1" customWidth="1"/>
    <col min="1047" max="1047" width="15" style="1" customWidth="1"/>
    <col min="1048" max="1048" width="13" style="1" customWidth="1"/>
    <col min="1049" max="1049" width="15" style="1" customWidth="1"/>
    <col min="1050" max="1050" width="13" style="1" customWidth="1"/>
    <col min="1051" max="1051" width="15" style="1" customWidth="1"/>
    <col min="1052" max="1065" width="17" style="1" customWidth="1"/>
    <col min="1066" max="1066" width="12.5703125" style="1" customWidth="1"/>
    <col min="1067" max="1067" width="17" style="1" customWidth="1"/>
    <col min="1068" max="1280" width="11.5703125" style="1"/>
    <col min="1281" max="1281" width="6.42578125" style="1" customWidth="1"/>
    <col min="1282" max="1282" width="36.7109375" style="1" customWidth="1"/>
    <col min="1283" max="1283" width="10.7109375" style="1" customWidth="1"/>
    <col min="1284" max="1284" width="17" style="1" customWidth="1"/>
    <col min="1285" max="1285" width="4.5703125" style="1" customWidth="1"/>
    <col min="1286" max="1286" width="3.5703125" style="1" customWidth="1"/>
    <col min="1287" max="1287" width="12.28515625" style="1" customWidth="1"/>
    <col min="1288" max="1288" width="12.5703125" style="1" customWidth="1"/>
    <col min="1289" max="1289" width="12.28515625" style="1" customWidth="1"/>
    <col min="1290" max="1290" width="11.7109375" style="1" customWidth="1"/>
    <col min="1291" max="1291" width="13" style="1" customWidth="1"/>
    <col min="1292" max="1292" width="14" style="1" customWidth="1"/>
    <col min="1293" max="1293" width="15" style="1" customWidth="1"/>
    <col min="1294" max="1294" width="13" style="1" customWidth="1"/>
    <col min="1295" max="1295" width="15" style="1" customWidth="1"/>
    <col min="1296" max="1296" width="13" style="1" customWidth="1"/>
    <col min="1297" max="1297" width="14" style="1" customWidth="1"/>
    <col min="1298" max="1298" width="12.5703125" style="1" customWidth="1"/>
    <col min="1299" max="1299" width="14" style="1" customWidth="1"/>
    <col min="1300" max="1300" width="13" style="1" customWidth="1"/>
    <col min="1301" max="1301" width="15" style="1" customWidth="1"/>
    <col min="1302" max="1302" width="13" style="1" customWidth="1"/>
    <col min="1303" max="1303" width="15" style="1" customWidth="1"/>
    <col min="1304" max="1304" width="13" style="1" customWidth="1"/>
    <col min="1305" max="1305" width="15" style="1" customWidth="1"/>
    <col min="1306" max="1306" width="13" style="1" customWidth="1"/>
    <col min="1307" max="1307" width="15" style="1" customWidth="1"/>
    <col min="1308" max="1321" width="17" style="1" customWidth="1"/>
    <col min="1322" max="1322" width="12.5703125" style="1" customWidth="1"/>
    <col min="1323" max="1323" width="17" style="1" customWidth="1"/>
    <col min="1324" max="1536" width="11.5703125" style="1"/>
    <col min="1537" max="1537" width="6.42578125" style="1" customWidth="1"/>
    <col min="1538" max="1538" width="36.7109375" style="1" customWidth="1"/>
    <col min="1539" max="1539" width="10.7109375" style="1" customWidth="1"/>
    <col min="1540" max="1540" width="17" style="1" customWidth="1"/>
    <col min="1541" max="1541" width="4.5703125" style="1" customWidth="1"/>
    <col min="1542" max="1542" width="3.5703125" style="1" customWidth="1"/>
    <col min="1543" max="1543" width="12.28515625" style="1" customWidth="1"/>
    <col min="1544" max="1544" width="12.5703125" style="1" customWidth="1"/>
    <col min="1545" max="1545" width="12.28515625" style="1" customWidth="1"/>
    <col min="1546" max="1546" width="11.7109375" style="1" customWidth="1"/>
    <col min="1547" max="1547" width="13" style="1" customWidth="1"/>
    <col min="1548" max="1548" width="14" style="1" customWidth="1"/>
    <col min="1549" max="1549" width="15" style="1" customWidth="1"/>
    <col min="1550" max="1550" width="13" style="1" customWidth="1"/>
    <col min="1551" max="1551" width="15" style="1" customWidth="1"/>
    <col min="1552" max="1552" width="13" style="1" customWidth="1"/>
    <col min="1553" max="1553" width="14" style="1" customWidth="1"/>
    <col min="1554" max="1554" width="12.5703125" style="1" customWidth="1"/>
    <col min="1555" max="1555" width="14" style="1" customWidth="1"/>
    <col min="1556" max="1556" width="13" style="1" customWidth="1"/>
    <col min="1557" max="1557" width="15" style="1" customWidth="1"/>
    <col min="1558" max="1558" width="13" style="1" customWidth="1"/>
    <col min="1559" max="1559" width="15" style="1" customWidth="1"/>
    <col min="1560" max="1560" width="13" style="1" customWidth="1"/>
    <col min="1561" max="1561" width="15" style="1" customWidth="1"/>
    <col min="1562" max="1562" width="13" style="1" customWidth="1"/>
    <col min="1563" max="1563" width="15" style="1" customWidth="1"/>
    <col min="1564" max="1577" width="17" style="1" customWidth="1"/>
    <col min="1578" max="1578" width="12.5703125" style="1" customWidth="1"/>
    <col min="1579" max="1579" width="17" style="1" customWidth="1"/>
    <col min="1580" max="1792" width="11.5703125" style="1"/>
    <col min="1793" max="1793" width="6.42578125" style="1" customWidth="1"/>
    <col min="1794" max="1794" width="36.7109375" style="1" customWidth="1"/>
    <col min="1795" max="1795" width="10.7109375" style="1" customWidth="1"/>
    <col min="1796" max="1796" width="17" style="1" customWidth="1"/>
    <col min="1797" max="1797" width="4.5703125" style="1" customWidth="1"/>
    <col min="1798" max="1798" width="3.5703125" style="1" customWidth="1"/>
    <col min="1799" max="1799" width="12.28515625" style="1" customWidth="1"/>
    <col min="1800" max="1800" width="12.5703125" style="1" customWidth="1"/>
    <col min="1801" max="1801" width="12.28515625" style="1" customWidth="1"/>
    <col min="1802" max="1802" width="11.7109375" style="1" customWidth="1"/>
    <col min="1803" max="1803" width="13" style="1" customWidth="1"/>
    <col min="1804" max="1804" width="14" style="1" customWidth="1"/>
    <col min="1805" max="1805" width="15" style="1" customWidth="1"/>
    <col min="1806" max="1806" width="13" style="1" customWidth="1"/>
    <col min="1807" max="1807" width="15" style="1" customWidth="1"/>
    <col min="1808" max="1808" width="13" style="1" customWidth="1"/>
    <col min="1809" max="1809" width="14" style="1" customWidth="1"/>
    <col min="1810" max="1810" width="12.5703125" style="1" customWidth="1"/>
    <col min="1811" max="1811" width="14" style="1" customWidth="1"/>
    <col min="1812" max="1812" width="13" style="1" customWidth="1"/>
    <col min="1813" max="1813" width="15" style="1" customWidth="1"/>
    <col min="1814" max="1814" width="13" style="1" customWidth="1"/>
    <col min="1815" max="1815" width="15" style="1" customWidth="1"/>
    <col min="1816" max="1816" width="13" style="1" customWidth="1"/>
    <col min="1817" max="1817" width="15" style="1" customWidth="1"/>
    <col min="1818" max="1818" width="13" style="1" customWidth="1"/>
    <col min="1819" max="1819" width="15" style="1" customWidth="1"/>
    <col min="1820" max="1833" width="17" style="1" customWidth="1"/>
    <col min="1834" max="1834" width="12.5703125" style="1" customWidth="1"/>
    <col min="1835" max="1835" width="17" style="1" customWidth="1"/>
    <col min="1836" max="2048" width="11.5703125" style="1"/>
    <col min="2049" max="2049" width="6.42578125" style="1" customWidth="1"/>
    <col min="2050" max="2050" width="36.7109375" style="1" customWidth="1"/>
    <col min="2051" max="2051" width="10.7109375" style="1" customWidth="1"/>
    <col min="2052" max="2052" width="17" style="1" customWidth="1"/>
    <col min="2053" max="2053" width="4.5703125" style="1" customWidth="1"/>
    <col min="2054" max="2054" width="3.5703125" style="1" customWidth="1"/>
    <col min="2055" max="2055" width="12.28515625" style="1" customWidth="1"/>
    <col min="2056" max="2056" width="12.5703125" style="1" customWidth="1"/>
    <col min="2057" max="2057" width="12.28515625" style="1" customWidth="1"/>
    <col min="2058" max="2058" width="11.7109375" style="1" customWidth="1"/>
    <col min="2059" max="2059" width="13" style="1" customWidth="1"/>
    <col min="2060" max="2060" width="14" style="1" customWidth="1"/>
    <col min="2061" max="2061" width="15" style="1" customWidth="1"/>
    <col min="2062" max="2062" width="13" style="1" customWidth="1"/>
    <col min="2063" max="2063" width="15" style="1" customWidth="1"/>
    <col min="2064" max="2064" width="13" style="1" customWidth="1"/>
    <col min="2065" max="2065" width="14" style="1" customWidth="1"/>
    <col min="2066" max="2066" width="12.5703125" style="1" customWidth="1"/>
    <col min="2067" max="2067" width="14" style="1" customWidth="1"/>
    <col min="2068" max="2068" width="13" style="1" customWidth="1"/>
    <col min="2069" max="2069" width="15" style="1" customWidth="1"/>
    <col min="2070" max="2070" width="13" style="1" customWidth="1"/>
    <col min="2071" max="2071" width="15" style="1" customWidth="1"/>
    <col min="2072" max="2072" width="13" style="1" customWidth="1"/>
    <col min="2073" max="2073" width="15" style="1" customWidth="1"/>
    <col min="2074" max="2074" width="13" style="1" customWidth="1"/>
    <col min="2075" max="2075" width="15" style="1" customWidth="1"/>
    <col min="2076" max="2089" width="17" style="1" customWidth="1"/>
    <col min="2090" max="2090" width="12.5703125" style="1" customWidth="1"/>
    <col min="2091" max="2091" width="17" style="1" customWidth="1"/>
    <col min="2092" max="2304" width="11.5703125" style="1"/>
    <col min="2305" max="2305" width="6.42578125" style="1" customWidth="1"/>
    <col min="2306" max="2306" width="36.7109375" style="1" customWidth="1"/>
    <col min="2307" max="2307" width="10.7109375" style="1" customWidth="1"/>
    <col min="2308" max="2308" width="17" style="1" customWidth="1"/>
    <col min="2309" max="2309" width="4.5703125" style="1" customWidth="1"/>
    <col min="2310" max="2310" width="3.5703125" style="1" customWidth="1"/>
    <col min="2311" max="2311" width="12.28515625" style="1" customWidth="1"/>
    <col min="2312" max="2312" width="12.5703125" style="1" customWidth="1"/>
    <col min="2313" max="2313" width="12.28515625" style="1" customWidth="1"/>
    <col min="2314" max="2314" width="11.7109375" style="1" customWidth="1"/>
    <col min="2315" max="2315" width="13" style="1" customWidth="1"/>
    <col min="2316" max="2316" width="14" style="1" customWidth="1"/>
    <col min="2317" max="2317" width="15" style="1" customWidth="1"/>
    <col min="2318" max="2318" width="13" style="1" customWidth="1"/>
    <col min="2319" max="2319" width="15" style="1" customWidth="1"/>
    <col min="2320" max="2320" width="13" style="1" customWidth="1"/>
    <col min="2321" max="2321" width="14" style="1" customWidth="1"/>
    <col min="2322" max="2322" width="12.5703125" style="1" customWidth="1"/>
    <col min="2323" max="2323" width="14" style="1" customWidth="1"/>
    <col min="2324" max="2324" width="13" style="1" customWidth="1"/>
    <col min="2325" max="2325" width="15" style="1" customWidth="1"/>
    <col min="2326" max="2326" width="13" style="1" customWidth="1"/>
    <col min="2327" max="2327" width="15" style="1" customWidth="1"/>
    <col min="2328" max="2328" width="13" style="1" customWidth="1"/>
    <col min="2329" max="2329" width="15" style="1" customWidth="1"/>
    <col min="2330" max="2330" width="13" style="1" customWidth="1"/>
    <col min="2331" max="2331" width="15" style="1" customWidth="1"/>
    <col min="2332" max="2345" width="17" style="1" customWidth="1"/>
    <col min="2346" max="2346" width="12.5703125" style="1" customWidth="1"/>
    <col min="2347" max="2347" width="17" style="1" customWidth="1"/>
    <col min="2348" max="2560" width="11.5703125" style="1"/>
    <col min="2561" max="2561" width="6.42578125" style="1" customWidth="1"/>
    <col min="2562" max="2562" width="36.7109375" style="1" customWidth="1"/>
    <col min="2563" max="2563" width="10.7109375" style="1" customWidth="1"/>
    <col min="2564" max="2564" width="17" style="1" customWidth="1"/>
    <col min="2565" max="2565" width="4.5703125" style="1" customWidth="1"/>
    <col min="2566" max="2566" width="3.5703125" style="1" customWidth="1"/>
    <col min="2567" max="2567" width="12.28515625" style="1" customWidth="1"/>
    <col min="2568" max="2568" width="12.5703125" style="1" customWidth="1"/>
    <col min="2569" max="2569" width="12.28515625" style="1" customWidth="1"/>
    <col min="2570" max="2570" width="11.7109375" style="1" customWidth="1"/>
    <col min="2571" max="2571" width="13" style="1" customWidth="1"/>
    <col min="2572" max="2572" width="14" style="1" customWidth="1"/>
    <col min="2573" max="2573" width="15" style="1" customWidth="1"/>
    <col min="2574" max="2574" width="13" style="1" customWidth="1"/>
    <col min="2575" max="2575" width="15" style="1" customWidth="1"/>
    <col min="2576" max="2576" width="13" style="1" customWidth="1"/>
    <col min="2577" max="2577" width="14" style="1" customWidth="1"/>
    <col min="2578" max="2578" width="12.5703125" style="1" customWidth="1"/>
    <col min="2579" max="2579" width="14" style="1" customWidth="1"/>
    <col min="2580" max="2580" width="13" style="1" customWidth="1"/>
    <col min="2581" max="2581" width="15" style="1" customWidth="1"/>
    <col min="2582" max="2582" width="13" style="1" customWidth="1"/>
    <col min="2583" max="2583" width="15" style="1" customWidth="1"/>
    <col min="2584" max="2584" width="13" style="1" customWidth="1"/>
    <col min="2585" max="2585" width="15" style="1" customWidth="1"/>
    <col min="2586" max="2586" width="13" style="1" customWidth="1"/>
    <col min="2587" max="2587" width="15" style="1" customWidth="1"/>
    <col min="2588" max="2601" width="17" style="1" customWidth="1"/>
    <col min="2602" max="2602" width="12.5703125" style="1" customWidth="1"/>
    <col min="2603" max="2603" width="17" style="1" customWidth="1"/>
    <col min="2604" max="2816" width="11.5703125" style="1"/>
    <col min="2817" max="2817" width="6.42578125" style="1" customWidth="1"/>
    <col min="2818" max="2818" width="36.7109375" style="1" customWidth="1"/>
    <col min="2819" max="2819" width="10.7109375" style="1" customWidth="1"/>
    <col min="2820" max="2820" width="17" style="1" customWidth="1"/>
    <col min="2821" max="2821" width="4.5703125" style="1" customWidth="1"/>
    <col min="2822" max="2822" width="3.5703125" style="1" customWidth="1"/>
    <col min="2823" max="2823" width="12.28515625" style="1" customWidth="1"/>
    <col min="2824" max="2824" width="12.5703125" style="1" customWidth="1"/>
    <col min="2825" max="2825" width="12.28515625" style="1" customWidth="1"/>
    <col min="2826" max="2826" width="11.7109375" style="1" customWidth="1"/>
    <col min="2827" max="2827" width="13" style="1" customWidth="1"/>
    <col min="2828" max="2828" width="14" style="1" customWidth="1"/>
    <col min="2829" max="2829" width="15" style="1" customWidth="1"/>
    <col min="2830" max="2830" width="13" style="1" customWidth="1"/>
    <col min="2831" max="2831" width="15" style="1" customWidth="1"/>
    <col min="2832" max="2832" width="13" style="1" customWidth="1"/>
    <col min="2833" max="2833" width="14" style="1" customWidth="1"/>
    <col min="2834" max="2834" width="12.5703125" style="1" customWidth="1"/>
    <col min="2835" max="2835" width="14" style="1" customWidth="1"/>
    <col min="2836" max="2836" width="13" style="1" customWidth="1"/>
    <col min="2837" max="2837" width="15" style="1" customWidth="1"/>
    <col min="2838" max="2838" width="13" style="1" customWidth="1"/>
    <col min="2839" max="2839" width="15" style="1" customWidth="1"/>
    <col min="2840" max="2840" width="13" style="1" customWidth="1"/>
    <col min="2841" max="2841" width="15" style="1" customWidth="1"/>
    <col min="2842" max="2842" width="13" style="1" customWidth="1"/>
    <col min="2843" max="2843" width="15" style="1" customWidth="1"/>
    <col min="2844" max="2857" width="17" style="1" customWidth="1"/>
    <col min="2858" max="2858" width="12.5703125" style="1" customWidth="1"/>
    <col min="2859" max="2859" width="17" style="1" customWidth="1"/>
    <col min="2860" max="3072" width="11.5703125" style="1"/>
    <col min="3073" max="3073" width="6.42578125" style="1" customWidth="1"/>
    <col min="3074" max="3074" width="36.7109375" style="1" customWidth="1"/>
    <col min="3075" max="3075" width="10.7109375" style="1" customWidth="1"/>
    <col min="3076" max="3076" width="17" style="1" customWidth="1"/>
    <col min="3077" max="3077" width="4.5703125" style="1" customWidth="1"/>
    <col min="3078" max="3078" width="3.5703125" style="1" customWidth="1"/>
    <col min="3079" max="3079" width="12.28515625" style="1" customWidth="1"/>
    <col min="3080" max="3080" width="12.5703125" style="1" customWidth="1"/>
    <col min="3081" max="3081" width="12.28515625" style="1" customWidth="1"/>
    <col min="3082" max="3082" width="11.7109375" style="1" customWidth="1"/>
    <col min="3083" max="3083" width="13" style="1" customWidth="1"/>
    <col min="3084" max="3084" width="14" style="1" customWidth="1"/>
    <col min="3085" max="3085" width="15" style="1" customWidth="1"/>
    <col min="3086" max="3086" width="13" style="1" customWidth="1"/>
    <col min="3087" max="3087" width="15" style="1" customWidth="1"/>
    <col min="3088" max="3088" width="13" style="1" customWidth="1"/>
    <col min="3089" max="3089" width="14" style="1" customWidth="1"/>
    <col min="3090" max="3090" width="12.5703125" style="1" customWidth="1"/>
    <col min="3091" max="3091" width="14" style="1" customWidth="1"/>
    <col min="3092" max="3092" width="13" style="1" customWidth="1"/>
    <col min="3093" max="3093" width="15" style="1" customWidth="1"/>
    <col min="3094" max="3094" width="13" style="1" customWidth="1"/>
    <col min="3095" max="3095" width="15" style="1" customWidth="1"/>
    <col min="3096" max="3096" width="13" style="1" customWidth="1"/>
    <col min="3097" max="3097" width="15" style="1" customWidth="1"/>
    <col min="3098" max="3098" width="13" style="1" customWidth="1"/>
    <col min="3099" max="3099" width="15" style="1" customWidth="1"/>
    <col min="3100" max="3113" width="17" style="1" customWidth="1"/>
    <col min="3114" max="3114" width="12.5703125" style="1" customWidth="1"/>
    <col min="3115" max="3115" width="17" style="1" customWidth="1"/>
    <col min="3116" max="3328" width="11.5703125" style="1"/>
    <col min="3329" max="3329" width="6.42578125" style="1" customWidth="1"/>
    <col min="3330" max="3330" width="36.7109375" style="1" customWidth="1"/>
    <col min="3331" max="3331" width="10.7109375" style="1" customWidth="1"/>
    <col min="3332" max="3332" width="17" style="1" customWidth="1"/>
    <col min="3333" max="3333" width="4.5703125" style="1" customWidth="1"/>
    <col min="3334" max="3334" width="3.5703125" style="1" customWidth="1"/>
    <col min="3335" max="3335" width="12.28515625" style="1" customWidth="1"/>
    <col min="3336" max="3336" width="12.5703125" style="1" customWidth="1"/>
    <col min="3337" max="3337" width="12.28515625" style="1" customWidth="1"/>
    <col min="3338" max="3338" width="11.7109375" style="1" customWidth="1"/>
    <col min="3339" max="3339" width="13" style="1" customWidth="1"/>
    <col min="3340" max="3340" width="14" style="1" customWidth="1"/>
    <col min="3341" max="3341" width="15" style="1" customWidth="1"/>
    <col min="3342" max="3342" width="13" style="1" customWidth="1"/>
    <col min="3343" max="3343" width="15" style="1" customWidth="1"/>
    <col min="3344" max="3344" width="13" style="1" customWidth="1"/>
    <col min="3345" max="3345" width="14" style="1" customWidth="1"/>
    <col min="3346" max="3346" width="12.5703125" style="1" customWidth="1"/>
    <col min="3347" max="3347" width="14" style="1" customWidth="1"/>
    <col min="3348" max="3348" width="13" style="1" customWidth="1"/>
    <col min="3349" max="3349" width="15" style="1" customWidth="1"/>
    <col min="3350" max="3350" width="13" style="1" customWidth="1"/>
    <col min="3351" max="3351" width="15" style="1" customWidth="1"/>
    <col min="3352" max="3352" width="13" style="1" customWidth="1"/>
    <col min="3353" max="3353" width="15" style="1" customWidth="1"/>
    <col min="3354" max="3354" width="13" style="1" customWidth="1"/>
    <col min="3355" max="3355" width="15" style="1" customWidth="1"/>
    <col min="3356" max="3369" width="17" style="1" customWidth="1"/>
    <col min="3370" max="3370" width="12.5703125" style="1" customWidth="1"/>
    <col min="3371" max="3371" width="17" style="1" customWidth="1"/>
    <col min="3372" max="3584" width="11.5703125" style="1"/>
    <col min="3585" max="3585" width="6.42578125" style="1" customWidth="1"/>
    <col min="3586" max="3586" width="36.7109375" style="1" customWidth="1"/>
    <col min="3587" max="3587" width="10.7109375" style="1" customWidth="1"/>
    <col min="3588" max="3588" width="17" style="1" customWidth="1"/>
    <col min="3589" max="3589" width="4.5703125" style="1" customWidth="1"/>
    <col min="3590" max="3590" width="3.5703125" style="1" customWidth="1"/>
    <col min="3591" max="3591" width="12.28515625" style="1" customWidth="1"/>
    <col min="3592" max="3592" width="12.5703125" style="1" customWidth="1"/>
    <col min="3593" max="3593" width="12.28515625" style="1" customWidth="1"/>
    <col min="3594" max="3594" width="11.7109375" style="1" customWidth="1"/>
    <col min="3595" max="3595" width="13" style="1" customWidth="1"/>
    <col min="3596" max="3596" width="14" style="1" customWidth="1"/>
    <col min="3597" max="3597" width="15" style="1" customWidth="1"/>
    <col min="3598" max="3598" width="13" style="1" customWidth="1"/>
    <col min="3599" max="3599" width="15" style="1" customWidth="1"/>
    <col min="3600" max="3600" width="13" style="1" customWidth="1"/>
    <col min="3601" max="3601" width="14" style="1" customWidth="1"/>
    <col min="3602" max="3602" width="12.5703125" style="1" customWidth="1"/>
    <col min="3603" max="3603" width="14" style="1" customWidth="1"/>
    <col min="3604" max="3604" width="13" style="1" customWidth="1"/>
    <col min="3605" max="3605" width="15" style="1" customWidth="1"/>
    <col min="3606" max="3606" width="13" style="1" customWidth="1"/>
    <col min="3607" max="3607" width="15" style="1" customWidth="1"/>
    <col min="3608" max="3608" width="13" style="1" customWidth="1"/>
    <col min="3609" max="3609" width="15" style="1" customWidth="1"/>
    <col min="3610" max="3610" width="13" style="1" customWidth="1"/>
    <col min="3611" max="3611" width="15" style="1" customWidth="1"/>
    <col min="3612" max="3625" width="17" style="1" customWidth="1"/>
    <col min="3626" max="3626" width="12.5703125" style="1" customWidth="1"/>
    <col min="3627" max="3627" width="17" style="1" customWidth="1"/>
    <col min="3628" max="3840" width="11.5703125" style="1"/>
    <col min="3841" max="3841" width="6.42578125" style="1" customWidth="1"/>
    <col min="3842" max="3842" width="36.7109375" style="1" customWidth="1"/>
    <col min="3843" max="3843" width="10.7109375" style="1" customWidth="1"/>
    <col min="3844" max="3844" width="17" style="1" customWidth="1"/>
    <col min="3845" max="3845" width="4.5703125" style="1" customWidth="1"/>
    <col min="3846" max="3846" width="3.5703125" style="1" customWidth="1"/>
    <col min="3847" max="3847" width="12.28515625" style="1" customWidth="1"/>
    <col min="3848" max="3848" width="12.5703125" style="1" customWidth="1"/>
    <col min="3849" max="3849" width="12.28515625" style="1" customWidth="1"/>
    <col min="3850" max="3850" width="11.7109375" style="1" customWidth="1"/>
    <col min="3851" max="3851" width="13" style="1" customWidth="1"/>
    <col min="3852" max="3852" width="14" style="1" customWidth="1"/>
    <col min="3853" max="3853" width="15" style="1" customWidth="1"/>
    <col min="3854" max="3854" width="13" style="1" customWidth="1"/>
    <col min="3855" max="3855" width="15" style="1" customWidth="1"/>
    <col min="3856" max="3856" width="13" style="1" customWidth="1"/>
    <col min="3857" max="3857" width="14" style="1" customWidth="1"/>
    <col min="3858" max="3858" width="12.5703125" style="1" customWidth="1"/>
    <col min="3859" max="3859" width="14" style="1" customWidth="1"/>
    <col min="3860" max="3860" width="13" style="1" customWidth="1"/>
    <col min="3861" max="3861" width="15" style="1" customWidth="1"/>
    <col min="3862" max="3862" width="13" style="1" customWidth="1"/>
    <col min="3863" max="3863" width="15" style="1" customWidth="1"/>
    <col min="3864" max="3864" width="13" style="1" customWidth="1"/>
    <col min="3865" max="3865" width="15" style="1" customWidth="1"/>
    <col min="3866" max="3866" width="13" style="1" customWidth="1"/>
    <col min="3867" max="3867" width="15" style="1" customWidth="1"/>
    <col min="3868" max="3881" width="17" style="1" customWidth="1"/>
    <col min="3882" max="3882" width="12.5703125" style="1" customWidth="1"/>
    <col min="3883" max="3883" width="17" style="1" customWidth="1"/>
    <col min="3884" max="4096" width="11.5703125" style="1"/>
    <col min="4097" max="4097" width="6.42578125" style="1" customWidth="1"/>
    <col min="4098" max="4098" width="36.7109375" style="1" customWidth="1"/>
    <col min="4099" max="4099" width="10.7109375" style="1" customWidth="1"/>
    <col min="4100" max="4100" width="17" style="1" customWidth="1"/>
    <col min="4101" max="4101" width="4.5703125" style="1" customWidth="1"/>
    <col min="4102" max="4102" width="3.5703125" style="1" customWidth="1"/>
    <col min="4103" max="4103" width="12.28515625" style="1" customWidth="1"/>
    <col min="4104" max="4104" width="12.5703125" style="1" customWidth="1"/>
    <col min="4105" max="4105" width="12.28515625" style="1" customWidth="1"/>
    <col min="4106" max="4106" width="11.7109375" style="1" customWidth="1"/>
    <col min="4107" max="4107" width="13" style="1" customWidth="1"/>
    <col min="4108" max="4108" width="14" style="1" customWidth="1"/>
    <col min="4109" max="4109" width="15" style="1" customWidth="1"/>
    <col min="4110" max="4110" width="13" style="1" customWidth="1"/>
    <col min="4111" max="4111" width="15" style="1" customWidth="1"/>
    <col min="4112" max="4112" width="13" style="1" customWidth="1"/>
    <col min="4113" max="4113" width="14" style="1" customWidth="1"/>
    <col min="4114" max="4114" width="12.5703125" style="1" customWidth="1"/>
    <col min="4115" max="4115" width="14" style="1" customWidth="1"/>
    <col min="4116" max="4116" width="13" style="1" customWidth="1"/>
    <col min="4117" max="4117" width="15" style="1" customWidth="1"/>
    <col min="4118" max="4118" width="13" style="1" customWidth="1"/>
    <col min="4119" max="4119" width="15" style="1" customWidth="1"/>
    <col min="4120" max="4120" width="13" style="1" customWidth="1"/>
    <col min="4121" max="4121" width="15" style="1" customWidth="1"/>
    <col min="4122" max="4122" width="13" style="1" customWidth="1"/>
    <col min="4123" max="4123" width="15" style="1" customWidth="1"/>
    <col min="4124" max="4137" width="17" style="1" customWidth="1"/>
    <col min="4138" max="4138" width="12.5703125" style="1" customWidth="1"/>
    <col min="4139" max="4139" width="17" style="1" customWidth="1"/>
    <col min="4140" max="4352" width="11.5703125" style="1"/>
    <col min="4353" max="4353" width="6.42578125" style="1" customWidth="1"/>
    <col min="4354" max="4354" width="36.7109375" style="1" customWidth="1"/>
    <col min="4355" max="4355" width="10.7109375" style="1" customWidth="1"/>
    <col min="4356" max="4356" width="17" style="1" customWidth="1"/>
    <col min="4357" max="4357" width="4.5703125" style="1" customWidth="1"/>
    <col min="4358" max="4358" width="3.5703125" style="1" customWidth="1"/>
    <col min="4359" max="4359" width="12.28515625" style="1" customWidth="1"/>
    <col min="4360" max="4360" width="12.5703125" style="1" customWidth="1"/>
    <col min="4361" max="4361" width="12.28515625" style="1" customWidth="1"/>
    <col min="4362" max="4362" width="11.7109375" style="1" customWidth="1"/>
    <col min="4363" max="4363" width="13" style="1" customWidth="1"/>
    <col min="4364" max="4364" width="14" style="1" customWidth="1"/>
    <col min="4365" max="4365" width="15" style="1" customWidth="1"/>
    <col min="4366" max="4366" width="13" style="1" customWidth="1"/>
    <col min="4367" max="4367" width="15" style="1" customWidth="1"/>
    <col min="4368" max="4368" width="13" style="1" customWidth="1"/>
    <col min="4369" max="4369" width="14" style="1" customWidth="1"/>
    <col min="4370" max="4370" width="12.5703125" style="1" customWidth="1"/>
    <col min="4371" max="4371" width="14" style="1" customWidth="1"/>
    <col min="4372" max="4372" width="13" style="1" customWidth="1"/>
    <col min="4373" max="4373" width="15" style="1" customWidth="1"/>
    <col min="4374" max="4374" width="13" style="1" customWidth="1"/>
    <col min="4375" max="4375" width="15" style="1" customWidth="1"/>
    <col min="4376" max="4376" width="13" style="1" customWidth="1"/>
    <col min="4377" max="4377" width="15" style="1" customWidth="1"/>
    <col min="4378" max="4378" width="13" style="1" customWidth="1"/>
    <col min="4379" max="4379" width="15" style="1" customWidth="1"/>
    <col min="4380" max="4393" width="17" style="1" customWidth="1"/>
    <col min="4394" max="4394" width="12.5703125" style="1" customWidth="1"/>
    <col min="4395" max="4395" width="17" style="1" customWidth="1"/>
    <col min="4396" max="4608" width="11.5703125" style="1"/>
    <col min="4609" max="4609" width="6.42578125" style="1" customWidth="1"/>
    <col min="4610" max="4610" width="36.7109375" style="1" customWidth="1"/>
    <col min="4611" max="4611" width="10.7109375" style="1" customWidth="1"/>
    <col min="4612" max="4612" width="17" style="1" customWidth="1"/>
    <col min="4613" max="4613" width="4.5703125" style="1" customWidth="1"/>
    <col min="4614" max="4614" width="3.5703125" style="1" customWidth="1"/>
    <col min="4615" max="4615" width="12.28515625" style="1" customWidth="1"/>
    <col min="4616" max="4616" width="12.5703125" style="1" customWidth="1"/>
    <col min="4617" max="4617" width="12.28515625" style="1" customWidth="1"/>
    <col min="4618" max="4618" width="11.7109375" style="1" customWidth="1"/>
    <col min="4619" max="4619" width="13" style="1" customWidth="1"/>
    <col min="4620" max="4620" width="14" style="1" customWidth="1"/>
    <col min="4621" max="4621" width="15" style="1" customWidth="1"/>
    <col min="4622" max="4622" width="13" style="1" customWidth="1"/>
    <col min="4623" max="4623" width="15" style="1" customWidth="1"/>
    <col min="4624" max="4624" width="13" style="1" customWidth="1"/>
    <col min="4625" max="4625" width="14" style="1" customWidth="1"/>
    <col min="4626" max="4626" width="12.5703125" style="1" customWidth="1"/>
    <col min="4627" max="4627" width="14" style="1" customWidth="1"/>
    <col min="4628" max="4628" width="13" style="1" customWidth="1"/>
    <col min="4629" max="4629" width="15" style="1" customWidth="1"/>
    <col min="4630" max="4630" width="13" style="1" customWidth="1"/>
    <col min="4631" max="4631" width="15" style="1" customWidth="1"/>
    <col min="4632" max="4632" width="13" style="1" customWidth="1"/>
    <col min="4633" max="4633" width="15" style="1" customWidth="1"/>
    <col min="4634" max="4634" width="13" style="1" customWidth="1"/>
    <col min="4635" max="4635" width="15" style="1" customWidth="1"/>
    <col min="4636" max="4649" width="17" style="1" customWidth="1"/>
    <col min="4650" max="4650" width="12.5703125" style="1" customWidth="1"/>
    <col min="4651" max="4651" width="17" style="1" customWidth="1"/>
    <col min="4652" max="4864" width="11.5703125" style="1"/>
    <col min="4865" max="4865" width="6.42578125" style="1" customWidth="1"/>
    <col min="4866" max="4866" width="36.7109375" style="1" customWidth="1"/>
    <col min="4867" max="4867" width="10.7109375" style="1" customWidth="1"/>
    <col min="4868" max="4868" width="17" style="1" customWidth="1"/>
    <col min="4869" max="4869" width="4.5703125" style="1" customWidth="1"/>
    <col min="4870" max="4870" width="3.5703125" style="1" customWidth="1"/>
    <col min="4871" max="4871" width="12.28515625" style="1" customWidth="1"/>
    <col min="4872" max="4872" width="12.5703125" style="1" customWidth="1"/>
    <col min="4873" max="4873" width="12.28515625" style="1" customWidth="1"/>
    <col min="4874" max="4874" width="11.7109375" style="1" customWidth="1"/>
    <col min="4875" max="4875" width="13" style="1" customWidth="1"/>
    <col min="4876" max="4876" width="14" style="1" customWidth="1"/>
    <col min="4877" max="4877" width="15" style="1" customWidth="1"/>
    <col min="4878" max="4878" width="13" style="1" customWidth="1"/>
    <col min="4879" max="4879" width="15" style="1" customWidth="1"/>
    <col min="4880" max="4880" width="13" style="1" customWidth="1"/>
    <col min="4881" max="4881" width="14" style="1" customWidth="1"/>
    <col min="4882" max="4882" width="12.5703125" style="1" customWidth="1"/>
    <col min="4883" max="4883" width="14" style="1" customWidth="1"/>
    <col min="4884" max="4884" width="13" style="1" customWidth="1"/>
    <col min="4885" max="4885" width="15" style="1" customWidth="1"/>
    <col min="4886" max="4886" width="13" style="1" customWidth="1"/>
    <col min="4887" max="4887" width="15" style="1" customWidth="1"/>
    <col min="4888" max="4888" width="13" style="1" customWidth="1"/>
    <col min="4889" max="4889" width="15" style="1" customWidth="1"/>
    <col min="4890" max="4890" width="13" style="1" customWidth="1"/>
    <col min="4891" max="4891" width="15" style="1" customWidth="1"/>
    <col min="4892" max="4905" width="17" style="1" customWidth="1"/>
    <col min="4906" max="4906" width="12.5703125" style="1" customWidth="1"/>
    <col min="4907" max="4907" width="17" style="1" customWidth="1"/>
    <col min="4908" max="5120" width="11.5703125" style="1"/>
    <col min="5121" max="5121" width="6.42578125" style="1" customWidth="1"/>
    <col min="5122" max="5122" width="36.7109375" style="1" customWidth="1"/>
    <col min="5123" max="5123" width="10.7109375" style="1" customWidth="1"/>
    <col min="5124" max="5124" width="17" style="1" customWidth="1"/>
    <col min="5125" max="5125" width="4.5703125" style="1" customWidth="1"/>
    <col min="5126" max="5126" width="3.5703125" style="1" customWidth="1"/>
    <col min="5127" max="5127" width="12.28515625" style="1" customWidth="1"/>
    <col min="5128" max="5128" width="12.5703125" style="1" customWidth="1"/>
    <col min="5129" max="5129" width="12.28515625" style="1" customWidth="1"/>
    <col min="5130" max="5130" width="11.7109375" style="1" customWidth="1"/>
    <col min="5131" max="5131" width="13" style="1" customWidth="1"/>
    <col min="5132" max="5132" width="14" style="1" customWidth="1"/>
    <col min="5133" max="5133" width="15" style="1" customWidth="1"/>
    <col min="5134" max="5134" width="13" style="1" customWidth="1"/>
    <col min="5135" max="5135" width="15" style="1" customWidth="1"/>
    <col min="5136" max="5136" width="13" style="1" customWidth="1"/>
    <col min="5137" max="5137" width="14" style="1" customWidth="1"/>
    <col min="5138" max="5138" width="12.5703125" style="1" customWidth="1"/>
    <col min="5139" max="5139" width="14" style="1" customWidth="1"/>
    <col min="5140" max="5140" width="13" style="1" customWidth="1"/>
    <col min="5141" max="5141" width="15" style="1" customWidth="1"/>
    <col min="5142" max="5142" width="13" style="1" customWidth="1"/>
    <col min="5143" max="5143" width="15" style="1" customWidth="1"/>
    <col min="5144" max="5144" width="13" style="1" customWidth="1"/>
    <col min="5145" max="5145" width="15" style="1" customWidth="1"/>
    <col min="5146" max="5146" width="13" style="1" customWidth="1"/>
    <col min="5147" max="5147" width="15" style="1" customWidth="1"/>
    <col min="5148" max="5161" width="17" style="1" customWidth="1"/>
    <col min="5162" max="5162" width="12.5703125" style="1" customWidth="1"/>
    <col min="5163" max="5163" width="17" style="1" customWidth="1"/>
    <col min="5164" max="5376" width="11.5703125" style="1"/>
    <col min="5377" max="5377" width="6.42578125" style="1" customWidth="1"/>
    <col min="5378" max="5378" width="36.7109375" style="1" customWidth="1"/>
    <col min="5379" max="5379" width="10.7109375" style="1" customWidth="1"/>
    <col min="5380" max="5380" width="17" style="1" customWidth="1"/>
    <col min="5381" max="5381" width="4.5703125" style="1" customWidth="1"/>
    <col min="5382" max="5382" width="3.5703125" style="1" customWidth="1"/>
    <col min="5383" max="5383" width="12.28515625" style="1" customWidth="1"/>
    <col min="5384" max="5384" width="12.5703125" style="1" customWidth="1"/>
    <col min="5385" max="5385" width="12.28515625" style="1" customWidth="1"/>
    <col min="5386" max="5386" width="11.7109375" style="1" customWidth="1"/>
    <col min="5387" max="5387" width="13" style="1" customWidth="1"/>
    <col min="5388" max="5388" width="14" style="1" customWidth="1"/>
    <col min="5389" max="5389" width="15" style="1" customWidth="1"/>
    <col min="5390" max="5390" width="13" style="1" customWidth="1"/>
    <col min="5391" max="5391" width="15" style="1" customWidth="1"/>
    <col min="5392" max="5392" width="13" style="1" customWidth="1"/>
    <col min="5393" max="5393" width="14" style="1" customWidth="1"/>
    <col min="5394" max="5394" width="12.5703125" style="1" customWidth="1"/>
    <col min="5395" max="5395" width="14" style="1" customWidth="1"/>
    <col min="5396" max="5396" width="13" style="1" customWidth="1"/>
    <col min="5397" max="5397" width="15" style="1" customWidth="1"/>
    <col min="5398" max="5398" width="13" style="1" customWidth="1"/>
    <col min="5399" max="5399" width="15" style="1" customWidth="1"/>
    <col min="5400" max="5400" width="13" style="1" customWidth="1"/>
    <col min="5401" max="5401" width="15" style="1" customWidth="1"/>
    <col min="5402" max="5402" width="13" style="1" customWidth="1"/>
    <col min="5403" max="5403" width="15" style="1" customWidth="1"/>
    <col min="5404" max="5417" width="17" style="1" customWidth="1"/>
    <col min="5418" max="5418" width="12.5703125" style="1" customWidth="1"/>
    <col min="5419" max="5419" width="17" style="1" customWidth="1"/>
    <col min="5420" max="5632" width="11.5703125" style="1"/>
    <col min="5633" max="5633" width="6.42578125" style="1" customWidth="1"/>
    <col min="5634" max="5634" width="36.7109375" style="1" customWidth="1"/>
    <col min="5635" max="5635" width="10.7109375" style="1" customWidth="1"/>
    <col min="5636" max="5636" width="17" style="1" customWidth="1"/>
    <col min="5637" max="5637" width="4.5703125" style="1" customWidth="1"/>
    <col min="5638" max="5638" width="3.5703125" style="1" customWidth="1"/>
    <col min="5639" max="5639" width="12.28515625" style="1" customWidth="1"/>
    <col min="5640" max="5640" width="12.5703125" style="1" customWidth="1"/>
    <col min="5641" max="5641" width="12.28515625" style="1" customWidth="1"/>
    <col min="5642" max="5642" width="11.7109375" style="1" customWidth="1"/>
    <col min="5643" max="5643" width="13" style="1" customWidth="1"/>
    <col min="5644" max="5644" width="14" style="1" customWidth="1"/>
    <col min="5645" max="5645" width="15" style="1" customWidth="1"/>
    <col min="5646" max="5646" width="13" style="1" customWidth="1"/>
    <col min="5647" max="5647" width="15" style="1" customWidth="1"/>
    <col min="5648" max="5648" width="13" style="1" customWidth="1"/>
    <col min="5649" max="5649" width="14" style="1" customWidth="1"/>
    <col min="5650" max="5650" width="12.5703125" style="1" customWidth="1"/>
    <col min="5651" max="5651" width="14" style="1" customWidth="1"/>
    <col min="5652" max="5652" width="13" style="1" customWidth="1"/>
    <col min="5653" max="5653" width="15" style="1" customWidth="1"/>
    <col min="5654" max="5654" width="13" style="1" customWidth="1"/>
    <col min="5655" max="5655" width="15" style="1" customWidth="1"/>
    <col min="5656" max="5656" width="13" style="1" customWidth="1"/>
    <col min="5657" max="5657" width="15" style="1" customWidth="1"/>
    <col min="5658" max="5658" width="13" style="1" customWidth="1"/>
    <col min="5659" max="5659" width="15" style="1" customWidth="1"/>
    <col min="5660" max="5673" width="17" style="1" customWidth="1"/>
    <col min="5674" max="5674" width="12.5703125" style="1" customWidth="1"/>
    <col min="5675" max="5675" width="17" style="1" customWidth="1"/>
    <col min="5676" max="5888" width="11.5703125" style="1"/>
    <col min="5889" max="5889" width="6.42578125" style="1" customWidth="1"/>
    <col min="5890" max="5890" width="36.7109375" style="1" customWidth="1"/>
    <col min="5891" max="5891" width="10.7109375" style="1" customWidth="1"/>
    <col min="5892" max="5892" width="17" style="1" customWidth="1"/>
    <col min="5893" max="5893" width="4.5703125" style="1" customWidth="1"/>
    <col min="5894" max="5894" width="3.5703125" style="1" customWidth="1"/>
    <col min="5895" max="5895" width="12.28515625" style="1" customWidth="1"/>
    <col min="5896" max="5896" width="12.5703125" style="1" customWidth="1"/>
    <col min="5897" max="5897" width="12.28515625" style="1" customWidth="1"/>
    <col min="5898" max="5898" width="11.7109375" style="1" customWidth="1"/>
    <col min="5899" max="5899" width="13" style="1" customWidth="1"/>
    <col min="5900" max="5900" width="14" style="1" customWidth="1"/>
    <col min="5901" max="5901" width="15" style="1" customWidth="1"/>
    <col min="5902" max="5902" width="13" style="1" customWidth="1"/>
    <col min="5903" max="5903" width="15" style="1" customWidth="1"/>
    <col min="5904" max="5904" width="13" style="1" customWidth="1"/>
    <col min="5905" max="5905" width="14" style="1" customWidth="1"/>
    <col min="5906" max="5906" width="12.5703125" style="1" customWidth="1"/>
    <col min="5907" max="5907" width="14" style="1" customWidth="1"/>
    <col min="5908" max="5908" width="13" style="1" customWidth="1"/>
    <col min="5909" max="5909" width="15" style="1" customWidth="1"/>
    <col min="5910" max="5910" width="13" style="1" customWidth="1"/>
    <col min="5911" max="5911" width="15" style="1" customWidth="1"/>
    <col min="5912" max="5912" width="13" style="1" customWidth="1"/>
    <col min="5913" max="5913" width="15" style="1" customWidth="1"/>
    <col min="5914" max="5914" width="13" style="1" customWidth="1"/>
    <col min="5915" max="5915" width="15" style="1" customWidth="1"/>
    <col min="5916" max="5929" width="17" style="1" customWidth="1"/>
    <col min="5930" max="5930" width="12.5703125" style="1" customWidth="1"/>
    <col min="5931" max="5931" width="17" style="1" customWidth="1"/>
    <col min="5932" max="6144" width="11.5703125" style="1"/>
    <col min="6145" max="6145" width="6.42578125" style="1" customWidth="1"/>
    <col min="6146" max="6146" width="36.7109375" style="1" customWidth="1"/>
    <col min="6147" max="6147" width="10.7109375" style="1" customWidth="1"/>
    <col min="6148" max="6148" width="17" style="1" customWidth="1"/>
    <col min="6149" max="6149" width="4.5703125" style="1" customWidth="1"/>
    <col min="6150" max="6150" width="3.5703125" style="1" customWidth="1"/>
    <col min="6151" max="6151" width="12.28515625" style="1" customWidth="1"/>
    <col min="6152" max="6152" width="12.5703125" style="1" customWidth="1"/>
    <col min="6153" max="6153" width="12.28515625" style="1" customWidth="1"/>
    <col min="6154" max="6154" width="11.7109375" style="1" customWidth="1"/>
    <col min="6155" max="6155" width="13" style="1" customWidth="1"/>
    <col min="6156" max="6156" width="14" style="1" customWidth="1"/>
    <col min="6157" max="6157" width="15" style="1" customWidth="1"/>
    <col min="6158" max="6158" width="13" style="1" customWidth="1"/>
    <col min="6159" max="6159" width="15" style="1" customWidth="1"/>
    <col min="6160" max="6160" width="13" style="1" customWidth="1"/>
    <col min="6161" max="6161" width="14" style="1" customWidth="1"/>
    <col min="6162" max="6162" width="12.5703125" style="1" customWidth="1"/>
    <col min="6163" max="6163" width="14" style="1" customWidth="1"/>
    <col min="6164" max="6164" width="13" style="1" customWidth="1"/>
    <col min="6165" max="6165" width="15" style="1" customWidth="1"/>
    <col min="6166" max="6166" width="13" style="1" customWidth="1"/>
    <col min="6167" max="6167" width="15" style="1" customWidth="1"/>
    <col min="6168" max="6168" width="13" style="1" customWidth="1"/>
    <col min="6169" max="6169" width="15" style="1" customWidth="1"/>
    <col min="6170" max="6170" width="13" style="1" customWidth="1"/>
    <col min="6171" max="6171" width="15" style="1" customWidth="1"/>
    <col min="6172" max="6185" width="17" style="1" customWidth="1"/>
    <col min="6186" max="6186" width="12.5703125" style="1" customWidth="1"/>
    <col min="6187" max="6187" width="17" style="1" customWidth="1"/>
    <col min="6188" max="6400" width="11.5703125" style="1"/>
    <col min="6401" max="6401" width="6.42578125" style="1" customWidth="1"/>
    <col min="6402" max="6402" width="36.7109375" style="1" customWidth="1"/>
    <col min="6403" max="6403" width="10.7109375" style="1" customWidth="1"/>
    <col min="6404" max="6404" width="17" style="1" customWidth="1"/>
    <col min="6405" max="6405" width="4.5703125" style="1" customWidth="1"/>
    <col min="6406" max="6406" width="3.5703125" style="1" customWidth="1"/>
    <col min="6407" max="6407" width="12.28515625" style="1" customWidth="1"/>
    <col min="6408" max="6408" width="12.5703125" style="1" customWidth="1"/>
    <col min="6409" max="6409" width="12.28515625" style="1" customWidth="1"/>
    <col min="6410" max="6410" width="11.7109375" style="1" customWidth="1"/>
    <col min="6411" max="6411" width="13" style="1" customWidth="1"/>
    <col min="6412" max="6412" width="14" style="1" customWidth="1"/>
    <col min="6413" max="6413" width="15" style="1" customWidth="1"/>
    <col min="6414" max="6414" width="13" style="1" customWidth="1"/>
    <col min="6415" max="6415" width="15" style="1" customWidth="1"/>
    <col min="6416" max="6416" width="13" style="1" customWidth="1"/>
    <col min="6417" max="6417" width="14" style="1" customWidth="1"/>
    <col min="6418" max="6418" width="12.5703125" style="1" customWidth="1"/>
    <col min="6419" max="6419" width="14" style="1" customWidth="1"/>
    <col min="6420" max="6420" width="13" style="1" customWidth="1"/>
    <col min="6421" max="6421" width="15" style="1" customWidth="1"/>
    <col min="6422" max="6422" width="13" style="1" customWidth="1"/>
    <col min="6423" max="6423" width="15" style="1" customWidth="1"/>
    <col min="6424" max="6424" width="13" style="1" customWidth="1"/>
    <col min="6425" max="6425" width="15" style="1" customWidth="1"/>
    <col min="6426" max="6426" width="13" style="1" customWidth="1"/>
    <col min="6427" max="6427" width="15" style="1" customWidth="1"/>
    <col min="6428" max="6441" width="17" style="1" customWidth="1"/>
    <col min="6442" max="6442" width="12.5703125" style="1" customWidth="1"/>
    <col min="6443" max="6443" width="17" style="1" customWidth="1"/>
    <col min="6444" max="6656" width="11.5703125" style="1"/>
    <col min="6657" max="6657" width="6.42578125" style="1" customWidth="1"/>
    <col min="6658" max="6658" width="36.7109375" style="1" customWidth="1"/>
    <col min="6659" max="6659" width="10.7109375" style="1" customWidth="1"/>
    <col min="6660" max="6660" width="17" style="1" customWidth="1"/>
    <col min="6661" max="6661" width="4.5703125" style="1" customWidth="1"/>
    <col min="6662" max="6662" width="3.5703125" style="1" customWidth="1"/>
    <col min="6663" max="6663" width="12.28515625" style="1" customWidth="1"/>
    <col min="6664" max="6664" width="12.5703125" style="1" customWidth="1"/>
    <col min="6665" max="6665" width="12.28515625" style="1" customWidth="1"/>
    <col min="6666" max="6666" width="11.7109375" style="1" customWidth="1"/>
    <col min="6667" max="6667" width="13" style="1" customWidth="1"/>
    <col min="6668" max="6668" width="14" style="1" customWidth="1"/>
    <col min="6669" max="6669" width="15" style="1" customWidth="1"/>
    <col min="6670" max="6670" width="13" style="1" customWidth="1"/>
    <col min="6671" max="6671" width="15" style="1" customWidth="1"/>
    <col min="6672" max="6672" width="13" style="1" customWidth="1"/>
    <col min="6673" max="6673" width="14" style="1" customWidth="1"/>
    <col min="6674" max="6674" width="12.5703125" style="1" customWidth="1"/>
    <col min="6675" max="6675" width="14" style="1" customWidth="1"/>
    <col min="6676" max="6676" width="13" style="1" customWidth="1"/>
    <col min="6677" max="6677" width="15" style="1" customWidth="1"/>
    <col min="6678" max="6678" width="13" style="1" customWidth="1"/>
    <col min="6679" max="6679" width="15" style="1" customWidth="1"/>
    <col min="6680" max="6680" width="13" style="1" customWidth="1"/>
    <col min="6681" max="6681" width="15" style="1" customWidth="1"/>
    <col min="6682" max="6682" width="13" style="1" customWidth="1"/>
    <col min="6683" max="6683" width="15" style="1" customWidth="1"/>
    <col min="6684" max="6697" width="17" style="1" customWidth="1"/>
    <col min="6698" max="6698" width="12.5703125" style="1" customWidth="1"/>
    <col min="6699" max="6699" width="17" style="1" customWidth="1"/>
    <col min="6700" max="6912" width="11.5703125" style="1"/>
    <col min="6913" max="6913" width="6.42578125" style="1" customWidth="1"/>
    <col min="6914" max="6914" width="36.7109375" style="1" customWidth="1"/>
    <col min="6915" max="6915" width="10.7109375" style="1" customWidth="1"/>
    <col min="6916" max="6916" width="17" style="1" customWidth="1"/>
    <col min="6917" max="6917" width="4.5703125" style="1" customWidth="1"/>
    <col min="6918" max="6918" width="3.5703125" style="1" customWidth="1"/>
    <col min="6919" max="6919" width="12.28515625" style="1" customWidth="1"/>
    <col min="6920" max="6920" width="12.5703125" style="1" customWidth="1"/>
    <col min="6921" max="6921" width="12.28515625" style="1" customWidth="1"/>
    <col min="6922" max="6922" width="11.7109375" style="1" customWidth="1"/>
    <col min="6923" max="6923" width="13" style="1" customWidth="1"/>
    <col min="6924" max="6924" width="14" style="1" customWidth="1"/>
    <col min="6925" max="6925" width="15" style="1" customWidth="1"/>
    <col min="6926" max="6926" width="13" style="1" customWidth="1"/>
    <col min="6927" max="6927" width="15" style="1" customWidth="1"/>
    <col min="6928" max="6928" width="13" style="1" customWidth="1"/>
    <col min="6929" max="6929" width="14" style="1" customWidth="1"/>
    <col min="6930" max="6930" width="12.5703125" style="1" customWidth="1"/>
    <col min="6931" max="6931" width="14" style="1" customWidth="1"/>
    <col min="6932" max="6932" width="13" style="1" customWidth="1"/>
    <col min="6933" max="6933" width="15" style="1" customWidth="1"/>
    <col min="6934" max="6934" width="13" style="1" customWidth="1"/>
    <col min="6935" max="6935" width="15" style="1" customWidth="1"/>
    <col min="6936" max="6936" width="13" style="1" customWidth="1"/>
    <col min="6937" max="6937" width="15" style="1" customWidth="1"/>
    <col min="6938" max="6938" width="13" style="1" customWidth="1"/>
    <col min="6939" max="6939" width="15" style="1" customWidth="1"/>
    <col min="6940" max="6953" width="17" style="1" customWidth="1"/>
    <col min="6954" max="6954" width="12.5703125" style="1" customWidth="1"/>
    <col min="6955" max="6955" width="17" style="1" customWidth="1"/>
    <col min="6956" max="7168" width="11.5703125" style="1"/>
    <col min="7169" max="7169" width="6.42578125" style="1" customWidth="1"/>
    <col min="7170" max="7170" width="36.7109375" style="1" customWidth="1"/>
    <col min="7171" max="7171" width="10.7109375" style="1" customWidth="1"/>
    <col min="7172" max="7172" width="17" style="1" customWidth="1"/>
    <col min="7173" max="7173" width="4.5703125" style="1" customWidth="1"/>
    <col min="7174" max="7174" width="3.5703125" style="1" customWidth="1"/>
    <col min="7175" max="7175" width="12.28515625" style="1" customWidth="1"/>
    <col min="7176" max="7176" width="12.5703125" style="1" customWidth="1"/>
    <col min="7177" max="7177" width="12.28515625" style="1" customWidth="1"/>
    <col min="7178" max="7178" width="11.7109375" style="1" customWidth="1"/>
    <col min="7179" max="7179" width="13" style="1" customWidth="1"/>
    <col min="7180" max="7180" width="14" style="1" customWidth="1"/>
    <col min="7181" max="7181" width="15" style="1" customWidth="1"/>
    <col min="7182" max="7182" width="13" style="1" customWidth="1"/>
    <col min="7183" max="7183" width="15" style="1" customWidth="1"/>
    <col min="7184" max="7184" width="13" style="1" customWidth="1"/>
    <col min="7185" max="7185" width="14" style="1" customWidth="1"/>
    <col min="7186" max="7186" width="12.5703125" style="1" customWidth="1"/>
    <col min="7187" max="7187" width="14" style="1" customWidth="1"/>
    <col min="7188" max="7188" width="13" style="1" customWidth="1"/>
    <col min="7189" max="7189" width="15" style="1" customWidth="1"/>
    <col min="7190" max="7190" width="13" style="1" customWidth="1"/>
    <col min="7191" max="7191" width="15" style="1" customWidth="1"/>
    <col min="7192" max="7192" width="13" style="1" customWidth="1"/>
    <col min="7193" max="7193" width="15" style="1" customWidth="1"/>
    <col min="7194" max="7194" width="13" style="1" customWidth="1"/>
    <col min="7195" max="7195" width="15" style="1" customWidth="1"/>
    <col min="7196" max="7209" width="17" style="1" customWidth="1"/>
    <col min="7210" max="7210" width="12.5703125" style="1" customWidth="1"/>
    <col min="7211" max="7211" width="17" style="1" customWidth="1"/>
    <col min="7212" max="7424" width="11.5703125" style="1"/>
    <col min="7425" max="7425" width="6.42578125" style="1" customWidth="1"/>
    <col min="7426" max="7426" width="36.7109375" style="1" customWidth="1"/>
    <col min="7427" max="7427" width="10.7109375" style="1" customWidth="1"/>
    <col min="7428" max="7428" width="17" style="1" customWidth="1"/>
    <col min="7429" max="7429" width="4.5703125" style="1" customWidth="1"/>
    <col min="7430" max="7430" width="3.5703125" style="1" customWidth="1"/>
    <col min="7431" max="7431" width="12.28515625" style="1" customWidth="1"/>
    <col min="7432" max="7432" width="12.5703125" style="1" customWidth="1"/>
    <col min="7433" max="7433" width="12.28515625" style="1" customWidth="1"/>
    <col min="7434" max="7434" width="11.7109375" style="1" customWidth="1"/>
    <col min="7435" max="7435" width="13" style="1" customWidth="1"/>
    <col min="7436" max="7436" width="14" style="1" customWidth="1"/>
    <col min="7437" max="7437" width="15" style="1" customWidth="1"/>
    <col min="7438" max="7438" width="13" style="1" customWidth="1"/>
    <col min="7439" max="7439" width="15" style="1" customWidth="1"/>
    <col min="7440" max="7440" width="13" style="1" customWidth="1"/>
    <col min="7441" max="7441" width="14" style="1" customWidth="1"/>
    <col min="7442" max="7442" width="12.5703125" style="1" customWidth="1"/>
    <col min="7443" max="7443" width="14" style="1" customWidth="1"/>
    <col min="7444" max="7444" width="13" style="1" customWidth="1"/>
    <col min="7445" max="7445" width="15" style="1" customWidth="1"/>
    <col min="7446" max="7446" width="13" style="1" customWidth="1"/>
    <col min="7447" max="7447" width="15" style="1" customWidth="1"/>
    <col min="7448" max="7448" width="13" style="1" customWidth="1"/>
    <col min="7449" max="7449" width="15" style="1" customWidth="1"/>
    <col min="7450" max="7450" width="13" style="1" customWidth="1"/>
    <col min="7451" max="7451" width="15" style="1" customWidth="1"/>
    <col min="7452" max="7465" width="17" style="1" customWidth="1"/>
    <col min="7466" max="7466" width="12.5703125" style="1" customWidth="1"/>
    <col min="7467" max="7467" width="17" style="1" customWidth="1"/>
    <col min="7468" max="7680" width="11.5703125" style="1"/>
    <col min="7681" max="7681" width="6.42578125" style="1" customWidth="1"/>
    <col min="7682" max="7682" width="36.7109375" style="1" customWidth="1"/>
    <col min="7683" max="7683" width="10.7109375" style="1" customWidth="1"/>
    <col min="7684" max="7684" width="17" style="1" customWidth="1"/>
    <col min="7685" max="7685" width="4.5703125" style="1" customWidth="1"/>
    <col min="7686" max="7686" width="3.5703125" style="1" customWidth="1"/>
    <col min="7687" max="7687" width="12.28515625" style="1" customWidth="1"/>
    <col min="7688" max="7688" width="12.5703125" style="1" customWidth="1"/>
    <col min="7689" max="7689" width="12.28515625" style="1" customWidth="1"/>
    <col min="7690" max="7690" width="11.7109375" style="1" customWidth="1"/>
    <col min="7691" max="7691" width="13" style="1" customWidth="1"/>
    <col min="7692" max="7692" width="14" style="1" customWidth="1"/>
    <col min="7693" max="7693" width="15" style="1" customWidth="1"/>
    <col min="7694" max="7694" width="13" style="1" customWidth="1"/>
    <col min="7695" max="7695" width="15" style="1" customWidth="1"/>
    <col min="7696" max="7696" width="13" style="1" customWidth="1"/>
    <col min="7697" max="7697" width="14" style="1" customWidth="1"/>
    <col min="7698" max="7698" width="12.5703125" style="1" customWidth="1"/>
    <col min="7699" max="7699" width="14" style="1" customWidth="1"/>
    <col min="7700" max="7700" width="13" style="1" customWidth="1"/>
    <col min="7701" max="7701" width="15" style="1" customWidth="1"/>
    <col min="7702" max="7702" width="13" style="1" customWidth="1"/>
    <col min="7703" max="7703" width="15" style="1" customWidth="1"/>
    <col min="7704" max="7704" width="13" style="1" customWidth="1"/>
    <col min="7705" max="7705" width="15" style="1" customWidth="1"/>
    <col min="7706" max="7706" width="13" style="1" customWidth="1"/>
    <col min="7707" max="7707" width="15" style="1" customWidth="1"/>
    <col min="7708" max="7721" width="17" style="1" customWidth="1"/>
    <col min="7722" max="7722" width="12.5703125" style="1" customWidth="1"/>
    <col min="7723" max="7723" width="17" style="1" customWidth="1"/>
    <col min="7724" max="7936" width="11.5703125" style="1"/>
    <col min="7937" max="7937" width="6.42578125" style="1" customWidth="1"/>
    <col min="7938" max="7938" width="36.7109375" style="1" customWidth="1"/>
    <col min="7939" max="7939" width="10.7109375" style="1" customWidth="1"/>
    <col min="7940" max="7940" width="17" style="1" customWidth="1"/>
    <col min="7941" max="7941" width="4.5703125" style="1" customWidth="1"/>
    <col min="7942" max="7942" width="3.5703125" style="1" customWidth="1"/>
    <col min="7943" max="7943" width="12.28515625" style="1" customWidth="1"/>
    <col min="7944" max="7944" width="12.5703125" style="1" customWidth="1"/>
    <col min="7945" max="7945" width="12.28515625" style="1" customWidth="1"/>
    <col min="7946" max="7946" width="11.7109375" style="1" customWidth="1"/>
    <col min="7947" max="7947" width="13" style="1" customWidth="1"/>
    <col min="7948" max="7948" width="14" style="1" customWidth="1"/>
    <col min="7949" max="7949" width="15" style="1" customWidth="1"/>
    <col min="7950" max="7950" width="13" style="1" customWidth="1"/>
    <col min="7951" max="7951" width="15" style="1" customWidth="1"/>
    <col min="7952" max="7952" width="13" style="1" customWidth="1"/>
    <col min="7953" max="7953" width="14" style="1" customWidth="1"/>
    <col min="7954" max="7954" width="12.5703125" style="1" customWidth="1"/>
    <col min="7955" max="7955" width="14" style="1" customWidth="1"/>
    <col min="7956" max="7956" width="13" style="1" customWidth="1"/>
    <col min="7957" max="7957" width="15" style="1" customWidth="1"/>
    <col min="7958" max="7958" width="13" style="1" customWidth="1"/>
    <col min="7959" max="7959" width="15" style="1" customWidth="1"/>
    <col min="7960" max="7960" width="13" style="1" customWidth="1"/>
    <col min="7961" max="7961" width="15" style="1" customWidth="1"/>
    <col min="7962" max="7962" width="13" style="1" customWidth="1"/>
    <col min="7963" max="7963" width="15" style="1" customWidth="1"/>
    <col min="7964" max="7977" width="17" style="1" customWidth="1"/>
    <col min="7978" max="7978" width="12.5703125" style="1" customWidth="1"/>
    <col min="7979" max="7979" width="17" style="1" customWidth="1"/>
    <col min="7980" max="8192" width="11.5703125" style="1"/>
    <col min="8193" max="8193" width="6.42578125" style="1" customWidth="1"/>
    <col min="8194" max="8194" width="36.7109375" style="1" customWidth="1"/>
    <col min="8195" max="8195" width="10.7109375" style="1" customWidth="1"/>
    <col min="8196" max="8196" width="17" style="1" customWidth="1"/>
    <col min="8197" max="8197" width="4.5703125" style="1" customWidth="1"/>
    <col min="8198" max="8198" width="3.5703125" style="1" customWidth="1"/>
    <col min="8199" max="8199" width="12.28515625" style="1" customWidth="1"/>
    <col min="8200" max="8200" width="12.5703125" style="1" customWidth="1"/>
    <col min="8201" max="8201" width="12.28515625" style="1" customWidth="1"/>
    <col min="8202" max="8202" width="11.7109375" style="1" customWidth="1"/>
    <col min="8203" max="8203" width="13" style="1" customWidth="1"/>
    <col min="8204" max="8204" width="14" style="1" customWidth="1"/>
    <col min="8205" max="8205" width="15" style="1" customWidth="1"/>
    <col min="8206" max="8206" width="13" style="1" customWidth="1"/>
    <col min="8207" max="8207" width="15" style="1" customWidth="1"/>
    <col min="8208" max="8208" width="13" style="1" customWidth="1"/>
    <col min="8209" max="8209" width="14" style="1" customWidth="1"/>
    <col min="8210" max="8210" width="12.5703125" style="1" customWidth="1"/>
    <col min="8211" max="8211" width="14" style="1" customWidth="1"/>
    <col min="8212" max="8212" width="13" style="1" customWidth="1"/>
    <col min="8213" max="8213" width="15" style="1" customWidth="1"/>
    <col min="8214" max="8214" width="13" style="1" customWidth="1"/>
    <col min="8215" max="8215" width="15" style="1" customWidth="1"/>
    <col min="8216" max="8216" width="13" style="1" customWidth="1"/>
    <col min="8217" max="8217" width="15" style="1" customWidth="1"/>
    <col min="8218" max="8218" width="13" style="1" customWidth="1"/>
    <col min="8219" max="8219" width="15" style="1" customWidth="1"/>
    <col min="8220" max="8233" width="17" style="1" customWidth="1"/>
    <col min="8234" max="8234" width="12.5703125" style="1" customWidth="1"/>
    <col min="8235" max="8235" width="17" style="1" customWidth="1"/>
    <col min="8236" max="8448" width="11.5703125" style="1"/>
    <col min="8449" max="8449" width="6.42578125" style="1" customWidth="1"/>
    <col min="8450" max="8450" width="36.7109375" style="1" customWidth="1"/>
    <col min="8451" max="8451" width="10.7109375" style="1" customWidth="1"/>
    <col min="8452" max="8452" width="17" style="1" customWidth="1"/>
    <col min="8453" max="8453" width="4.5703125" style="1" customWidth="1"/>
    <col min="8454" max="8454" width="3.5703125" style="1" customWidth="1"/>
    <col min="8455" max="8455" width="12.28515625" style="1" customWidth="1"/>
    <col min="8456" max="8456" width="12.5703125" style="1" customWidth="1"/>
    <col min="8457" max="8457" width="12.28515625" style="1" customWidth="1"/>
    <col min="8458" max="8458" width="11.7109375" style="1" customWidth="1"/>
    <col min="8459" max="8459" width="13" style="1" customWidth="1"/>
    <col min="8460" max="8460" width="14" style="1" customWidth="1"/>
    <col min="8461" max="8461" width="15" style="1" customWidth="1"/>
    <col min="8462" max="8462" width="13" style="1" customWidth="1"/>
    <col min="8463" max="8463" width="15" style="1" customWidth="1"/>
    <col min="8464" max="8464" width="13" style="1" customWidth="1"/>
    <col min="8465" max="8465" width="14" style="1" customWidth="1"/>
    <col min="8466" max="8466" width="12.5703125" style="1" customWidth="1"/>
    <col min="8467" max="8467" width="14" style="1" customWidth="1"/>
    <col min="8468" max="8468" width="13" style="1" customWidth="1"/>
    <col min="8469" max="8469" width="15" style="1" customWidth="1"/>
    <col min="8470" max="8470" width="13" style="1" customWidth="1"/>
    <col min="8471" max="8471" width="15" style="1" customWidth="1"/>
    <col min="8472" max="8472" width="13" style="1" customWidth="1"/>
    <col min="8473" max="8473" width="15" style="1" customWidth="1"/>
    <col min="8474" max="8474" width="13" style="1" customWidth="1"/>
    <col min="8475" max="8475" width="15" style="1" customWidth="1"/>
    <col min="8476" max="8489" width="17" style="1" customWidth="1"/>
    <col min="8490" max="8490" width="12.5703125" style="1" customWidth="1"/>
    <col min="8491" max="8491" width="17" style="1" customWidth="1"/>
    <col min="8492" max="8704" width="11.5703125" style="1"/>
    <col min="8705" max="8705" width="6.42578125" style="1" customWidth="1"/>
    <col min="8706" max="8706" width="36.7109375" style="1" customWidth="1"/>
    <col min="8707" max="8707" width="10.7109375" style="1" customWidth="1"/>
    <col min="8708" max="8708" width="17" style="1" customWidth="1"/>
    <col min="8709" max="8709" width="4.5703125" style="1" customWidth="1"/>
    <col min="8710" max="8710" width="3.5703125" style="1" customWidth="1"/>
    <col min="8711" max="8711" width="12.28515625" style="1" customWidth="1"/>
    <col min="8712" max="8712" width="12.5703125" style="1" customWidth="1"/>
    <col min="8713" max="8713" width="12.28515625" style="1" customWidth="1"/>
    <col min="8714" max="8714" width="11.7109375" style="1" customWidth="1"/>
    <col min="8715" max="8715" width="13" style="1" customWidth="1"/>
    <col min="8716" max="8716" width="14" style="1" customWidth="1"/>
    <col min="8717" max="8717" width="15" style="1" customWidth="1"/>
    <col min="8718" max="8718" width="13" style="1" customWidth="1"/>
    <col min="8719" max="8719" width="15" style="1" customWidth="1"/>
    <col min="8720" max="8720" width="13" style="1" customWidth="1"/>
    <col min="8721" max="8721" width="14" style="1" customWidth="1"/>
    <col min="8722" max="8722" width="12.5703125" style="1" customWidth="1"/>
    <col min="8723" max="8723" width="14" style="1" customWidth="1"/>
    <col min="8724" max="8724" width="13" style="1" customWidth="1"/>
    <col min="8725" max="8725" width="15" style="1" customWidth="1"/>
    <col min="8726" max="8726" width="13" style="1" customWidth="1"/>
    <col min="8727" max="8727" width="15" style="1" customWidth="1"/>
    <col min="8728" max="8728" width="13" style="1" customWidth="1"/>
    <col min="8729" max="8729" width="15" style="1" customWidth="1"/>
    <col min="8730" max="8730" width="13" style="1" customWidth="1"/>
    <col min="8731" max="8731" width="15" style="1" customWidth="1"/>
    <col min="8732" max="8745" width="17" style="1" customWidth="1"/>
    <col min="8746" max="8746" width="12.5703125" style="1" customWidth="1"/>
    <col min="8747" max="8747" width="17" style="1" customWidth="1"/>
    <col min="8748" max="8960" width="11.5703125" style="1"/>
    <col min="8961" max="8961" width="6.42578125" style="1" customWidth="1"/>
    <col min="8962" max="8962" width="36.7109375" style="1" customWidth="1"/>
    <col min="8963" max="8963" width="10.7109375" style="1" customWidth="1"/>
    <col min="8964" max="8964" width="17" style="1" customWidth="1"/>
    <col min="8965" max="8965" width="4.5703125" style="1" customWidth="1"/>
    <col min="8966" max="8966" width="3.5703125" style="1" customWidth="1"/>
    <col min="8967" max="8967" width="12.28515625" style="1" customWidth="1"/>
    <col min="8968" max="8968" width="12.5703125" style="1" customWidth="1"/>
    <col min="8969" max="8969" width="12.28515625" style="1" customWidth="1"/>
    <col min="8970" max="8970" width="11.7109375" style="1" customWidth="1"/>
    <col min="8971" max="8971" width="13" style="1" customWidth="1"/>
    <col min="8972" max="8972" width="14" style="1" customWidth="1"/>
    <col min="8973" max="8973" width="15" style="1" customWidth="1"/>
    <col min="8974" max="8974" width="13" style="1" customWidth="1"/>
    <col min="8975" max="8975" width="15" style="1" customWidth="1"/>
    <col min="8976" max="8976" width="13" style="1" customWidth="1"/>
    <col min="8977" max="8977" width="14" style="1" customWidth="1"/>
    <col min="8978" max="8978" width="12.5703125" style="1" customWidth="1"/>
    <col min="8979" max="8979" width="14" style="1" customWidth="1"/>
    <col min="8980" max="8980" width="13" style="1" customWidth="1"/>
    <col min="8981" max="8981" width="15" style="1" customWidth="1"/>
    <col min="8982" max="8982" width="13" style="1" customWidth="1"/>
    <col min="8983" max="8983" width="15" style="1" customWidth="1"/>
    <col min="8984" max="8984" width="13" style="1" customWidth="1"/>
    <col min="8985" max="8985" width="15" style="1" customWidth="1"/>
    <col min="8986" max="8986" width="13" style="1" customWidth="1"/>
    <col min="8987" max="8987" width="15" style="1" customWidth="1"/>
    <col min="8988" max="9001" width="17" style="1" customWidth="1"/>
    <col min="9002" max="9002" width="12.5703125" style="1" customWidth="1"/>
    <col min="9003" max="9003" width="17" style="1" customWidth="1"/>
    <col min="9004" max="9216" width="11.5703125" style="1"/>
    <col min="9217" max="9217" width="6.42578125" style="1" customWidth="1"/>
    <col min="9218" max="9218" width="36.7109375" style="1" customWidth="1"/>
    <col min="9219" max="9219" width="10.7109375" style="1" customWidth="1"/>
    <col min="9220" max="9220" width="17" style="1" customWidth="1"/>
    <col min="9221" max="9221" width="4.5703125" style="1" customWidth="1"/>
    <col min="9222" max="9222" width="3.5703125" style="1" customWidth="1"/>
    <col min="9223" max="9223" width="12.28515625" style="1" customWidth="1"/>
    <col min="9224" max="9224" width="12.5703125" style="1" customWidth="1"/>
    <col min="9225" max="9225" width="12.28515625" style="1" customWidth="1"/>
    <col min="9226" max="9226" width="11.7109375" style="1" customWidth="1"/>
    <col min="9227" max="9227" width="13" style="1" customWidth="1"/>
    <col min="9228" max="9228" width="14" style="1" customWidth="1"/>
    <col min="9229" max="9229" width="15" style="1" customWidth="1"/>
    <col min="9230" max="9230" width="13" style="1" customWidth="1"/>
    <col min="9231" max="9231" width="15" style="1" customWidth="1"/>
    <col min="9232" max="9232" width="13" style="1" customWidth="1"/>
    <col min="9233" max="9233" width="14" style="1" customWidth="1"/>
    <col min="9234" max="9234" width="12.5703125" style="1" customWidth="1"/>
    <col min="9235" max="9235" width="14" style="1" customWidth="1"/>
    <col min="9236" max="9236" width="13" style="1" customWidth="1"/>
    <col min="9237" max="9237" width="15" style="1" customWidth="1"/>
    <col min="9238" max="9238" width="13" style="1" customWidth="1"/>
    <col min="9239" max="9239" width="15" style="1" customWidth="1"/>
    <col min="9240" max="9240" width="13" style="1" customWidth="1"/>
    <col min="9241" max="9241" width="15" style="1" customWidth="1"/>
    <col min="9242" max="9242" width="13" style="1" customWidth="1"/>
    <col min="9243" max="9243" width="15" style="1" customWidth="1"/>
    <col min="9244" max="9257" width="17" style="1" customWidth="1"/>
    <col min="9258" max="9258" width="12.5703125" style="1" customWidth="1"/>
    <col min="9259" max="9259" width="17" style="1" customWidth="1"/>
    <col min="9260" max="9472" width="11.5703125" style="1"/>
    <col min="9473" max="9473" width="6.42578125" style="1" customWidth="1"/>
    <col min="9474" max="9474" width="36.7109375" style="1" customWidth="1"/>
    <col min="9475" max="9475" width="10.7109375" style="1" customWidth="1"/>
    <col min="9476" max="9476" width="17" style="1" customWidth="1"/>
    <col min="9477" max="9477" width="4.5703125" style="1" customWidth="1"/>
    <col min="9478" max="9478" width="3.5703125" style="1" customWidth="1"/>
    <col min="9479" max="9479" width="12.28515625" style="1" customWidth="1"/>
    <col min="9480" max="9480" width="12.5703125" style="1" customWidth="1"/>
    <col min="9481" max="9481" width="12.28515625" style="1" customWidth="1"/>
    <col min="9482" max="9482" width="11.7109375" style="1" customWidth="1"/>
    <col min="9483" max="9483" width="13" style="1" customWidth="1"/>
    <col min="9484" max="9484" width="14" style="1" customWidth="1"/>
    <col min="9485" max="9485" width="15" style="1" customWidth="1"/>
    <col min="9486" max="9486" width="13" style="1" customWidth="1"/>
    <col min="9487" max="9487" width="15" style="1" customWidth="1"/>
    <col min="9488" max="9488" width="13" style="1" customWidth="1"/>
    <col min="9489" max="9489" width="14" style="1" customWidth="1"/>
    <col min="9490" max="9490" width="12.5703125" style="1" customWidth="1"/>
    <col min="9491" max="9491" width="14" style="1" customWidth="1"/>
    <col min="9492" max="9492" width="13" style="1" customWidth="1"/>
    <col min="9493" max="9493" width="15" style="1" customWidth="1"/>
    <col min="9494" max="9494" width="13" style="1" customWidth="1"/>
    <col min="9495" max="9495" width="15" style="1" customWidth="1"/>
    <col min="9496" max="9496" width="13" style="1" customWidth="1"/>
    <col min="9497" max="9497" width="15" style="1" customWidth="1"/>
    <col min="9498" max="9498" width="13" style="1" customWidth="1"/>
    <col min="9499" max="9499" width="15" style="1" customWidth="1"/>
    <col min="9500" max="9513" width="17" style="1" customWidth="1"/>
    <col min="9514" max="9514" width="12.5703125" style="1" customWidth="1"/>
    <col min="9515" max="9515" width="17" style="1" customWidth="1"/>
    <col min="9516" max="9728" width="11.5703125" style="1"/>
    <col min="9729" max="9729" width="6.42578125" style="1" customWidth="1"/>
    <col min="9730" max="9730" width="36.7109375" style="1" customWidth="1"/>
    <col min="9731" max="9731" width="10.7109375" style="1" customWidth="1"/>
    <col min="9732" max="9732" width="17" style="1" customWidth="1"/>
    <col min="9733" max="9733" width="4.5703125" style="1" customWidth="1"/>
    <col min="9734" max="9734" width="3.5703125" style="1" customWidth="1"/>
    <col min="9735" max="9735" width="12.28515625" style="1" customWidth="1"/>
    <col min="9736" max="9736" width="12.5703125" style="1" customWidth="1"/>
    <col min="9737" max="9737" width="12.28515625" style="1" customWidth="1"/>
    <col min="9738" max="9738" width="11.7109375" style="1" customWidth="1"/>
    <col min="9739" max="9739" width="13" style="1" customWidth="1"/>
    <col min="9740" max="9740" width="14" style="1" customWidth="1"/>
    <col min="9741" max="9741" width="15" style="1" customWidth="1"/>
    <col min="9742" max="9742" width="13" style="1" customWidth="1"/>
    <col min="9743" max="9743" width="15" style="1" customWidth="1"/>
    <col min="9744" max="9744" width="13" style="1" customWidth="1"/>
    <col min="9745" max="9745" width="14" style="1" customWidth="1"/>
    <col min="9746" max="9746" width="12.5703125" style="1" customWidth="1"/>
    <col min="9747" max="9747" width="14" style="1" customWidth="1"/>
    <col min="9748" max="9748" width="13" style="1" customWidth="1"/>
    <col min="9749" max="9749" width="15" style="1" customWidth="1"/>
    <col min="9750" max="9750" width="13" style="1" customWidth="1"/>
    <col min="9751" max="9751" width="15" style="1" customWidth="1"/>
    <col min="9752" max="9752" width="13" style="1" customWidth="1"/>
    <col min="9753" max="9753" width="15" style="1" customWidth="1"/>
    <col min="9754" max="9754" width="13" style="1" customWidth="1"/>
    <col min="9755" max="9755" width="15" style="1" customWidth="1"/>
    <col min="9756" max="9769" width="17" style="1" customWidth="1"/>
    <col min="9770" max="9770" width="12.5703125" style="1" customWidth="1"/>
    <col min="9771" max="9771" width="17" style="1" customWidth="1"/>
    <col min="9772" max="9984" width="11.5703125" style="1"/>
    <col min="9985" max="9985" width="6.42578125" style="1" customWidth="1"/>
    <col min="9986" max="9986" width="36.7109375" style="1" customWidth="1"/>
    <col min="9987" max="9987" width="10.7109375" style="1" customWidth="1"/>
    <col min="9988" max="9988" width="17" style="1" customWidth="1"/>
    <col min="9989" max="9989" width="4.5703125" style="1" customWidth="1"/>
    <col min="9990" max="9990" width="3.5703125" style="1" customWidth="1"/>
    <col min="9991" max="9991" width="12.28515625" style="1" customWidth="1"/>
    <col min="9992" max="9992" width="12.5703125" style="1" customWidth="1"/>
    <col min="9993" max="9993" width="12.28515625" style="1" customWidth="1"/>
    <col min="9994" max="9994" width="11.7109375" style="1" customWidth="1"/>
    <col min="9995" max="9995" width="13" style="1" customWidth="1"/>
    <col min="9996" max="9996" width="14" style="1" customWidth="1"/>
    <col min="9997" max="9997" width="15" style="1" customWidth="1"/>
    <col min="9998" max="9998" width="13" style="1" customWidth="1"/>
    <col min="9999" max="9999" width="15" style="1" customWidth="1"/>
    <col min="10000" max="10000" width="13" style="1" customWidth="1"/>
    <col min="10001" max="10001" width="14" style="1" customWidth="1"/>
    <col min="10002" max="10002" width="12.5703125" style="1" customWidth="1"/>
    <col min="10003" max="10003" width="14" style="1" customWidth="1"/>
    <col min="10004" max="10004" width="13" style="1" customWidth="1"/>
    <col min="10005" max="10005" width="15" style="1" customWidth="1"/>
    <col min="10006" max="10006" width="13" style="1" customWidth="1"/>
    <col min="10007" max="10007" width="15" style="1" customWidth="1"/>
    <col min="10008" max="10008" width="13" style="1" customWidth="1"/>
    <col min="10009" max="10009" width="15" style="1" customWidth="1"/>
    <col min="10010" max="10010" width="13" style="1" customWidth="1"/>
    <col min="10011" max="10011" width="15" style="1" customWidth="1"/>
    <col min="10012" max="10025" width="17" style="1" customWidth="1"/>
    <col min="10026" max="10026" width="12.5703125" style="1" customWidth="1"/>
    <col min="10027" max="10027" width="17" style="1" customWidth="1"/>
    <col min="10028" max="10240" width="11.5703125" style="1"/>
    <col min="10241" max="10241" width="6.42578125" style="1" customWidth="1"/>
    <col min="10242" max="10242" width="36.7109375" style="1" customWidth="1"/>
    <col min="10243" max="10243" width="10.7109375" style="1" customWidth="1"/>
    <col min="10244" max="10244" width="17" style="1" customWidth="1"/>
    <col min="10245" max="10245" width="4.5703125" style="1" customWidth="1"/>
    <col min="10246" max="10246" width="3.5703125" style="1" customWidth="1"/>
    <col min="10247" max="10247" width="12.28515625" style="1" customWidth="1"/>
    <col min="10248" max="10248" width="12.5703125" style="1" customWidth="1"/>
    <col min="10249" max="10249" width="12.28515625" style="1" customWidth="1"/>
    <col min="10250" max="10250" width="11.7109375" style="1" customWidth="1"/>
    <col min="10251" max="10251" width="13" style="1" customWidth="1"/>
    <col min="10252" max="10252" width="14" style="1" customWidth="1"/>
    <col min="10253" max="10253" width="15" style="1" customWidth="1"/>
    <col min="10254" max="10254" width="13" style="1" customWidth="1"/>
    <col min="10255" max="10255" width="15" style="1" customWidth="1"/>
    <col min="10256" max="10256" width="13" style="1" customWidth="1"/>
    <col min="10257" max="10257" width="14" style="1" customWidth="1"/>
    <col min="10258" max="10258" width="12.5703125" style="1" customWidth="1"/>
    <col min="10259" max="10259" width="14" style="1" customWidth="1"/>
    <col min="10260" max="10260" width="13" style="1" customWidth="1"/>
    <col min="10261" max="10261" width="15" style="1" customWidth="1"/>
    <col min="10262" max="10262" width="13" style="1" customWidth="1"/>
    <col min="10263" max="10263" width="15" style="1" customWidth="1"/>
    <col min="10264" max="10264" width="13" style="1" customWidth="1"/>
    <col min="10265" max="10265" width="15" style="1" customWidth="1"/>
    <col min="10266" max="10266" width="13" style="1" customWidth="1"/>
    <col min="10267" max="10267" width="15" style="1" customWidth="1"/>
    <col min="10268" max="10281" width="17" style="1" customWidth="1"/>
    <col min="10282" max="10282" width="12.5703125" style="1" customWidth="1"/>
    <col min="10283" max="10283" width="17" style="1" customWidth="1"/>
    <col min="10284" max="10496" width="11.5703125" style="1"/>
    <col min="10497" max="10497" width="6.42578125" style="1" customWidth="1"/>
    <col min="10498" max="10498" width="36.7109375" style="1" customWidth="1"/>
    <col min="10499" max="10499" width="10.7109375" style="1" customWidth="1"/>
    <col min="10500" max="10500" width="17" style="1" customWidth="1"/>
    <col min="10501" max="10501" width="4.5703125" style="1" customWidth="1"/>
    <col min="10502" max="10502" width="3.5703125" style="1" customWidth="1"/>
    <col min="10503" max="10503" width="12.28515625" style="1" customWidth="1"/>
    <col min="10504" max="10504" width="12.5703125" style="1" customWidth="1"/>
    <col min="10505" max="10505" width="12.28515625" style="1" customWidth="1"/>
    <col min="10506" max="10506" width="11.7109375" style="1" customWidth="1"/>
    <col min="10507" max="10507" width="13" style="1" customWidth="1"/>
    <col min="10508" max="10508" width="14" style="1" customWidth="1"/>
    <col min="10509" max="10509" width="15" style="1" customWidth="1"/>
    <col min="10510" max="10510" width="13" style="1" customWidth="1"/>
    <col min="10511" max="10511" width="15" style="1" customWidth="1"/>
    <col min="10512" max="10512" width="13" style="1" customWidth="1"/>
    <col min="10513" max="10513" width="14" style="1" customWidth="1"/>
    <col min="10514" max="10514" width="12.5703125" style="1" customWidth="1"/>
    <col min="10515" max="10515" width="14" style="1" customWidth="1"/>
    <col min="10516" max="10516" width="13" style="1" customWidth="1"/>
    <col min="10517" max="10517" width="15" style="1" customWidth="1"/>
    <col min="10518" max="10518" width="13" style="1" customWidth="1"/>
    <col min="10519" max="10519" width="15" style="1" customWidth="1"/>
    <col min="10520" max="10520" width="13" style="1" customWidth="1"/>
    <col min="10521" max="10521" width="15" style="1" customWidth="1"/>
    <col min="10522" max="10522" width="13" style="1" customWidth="1"/>
    <col min="10523" max="10523" width="15" style="1" customWidth="1"/>
    <col min="10524" max="10537" width="17" style="1" customWidth="1"/>
    <col min="10538" max="10538" width="12.5703125" style="1" customWidth="1"/>
    <col min="10539" max="10539" width="17" style="1" customWidth="1"/>
    <col min="10540" max="10752" width="11.5703125" style="1"/>
    <col min="10753" max="10753" width="6.42578125" style="1" customWidth="1"/>
    <col min="10754" max="10754" width="36.7109375" style="1" customWidth="1"/>
    <col min="10755" max="10755" width="10.7109375" style="1" customWidth="1"/>
    <col min="10756" max="10756" width="17" style="1" customWidth="1"/>
    <col min="10757" max="10757" width="4.5703125" style="1" customWidth="1"/>
    <col min="10758" max="10758" width="3.5703125" style="1" customWidth="1"/>
    <col min="10759" max="10759" width="12.28515625" style="1" customWidth="1"/>
    <col min="10760" max="10760" width="12.5703125" style="1" customWidth="1"/>
    <col min="10761" max="10761" width="12.28515625" style="1" customWidth="1"/>
    <col min="10762" max="10762" width="11.7109375" style="1" customWidth="1"/>
    <col min="10763" max="10763" width="13" style="1" customWidth="1"/>
    <col min="10764" max="10764" width="14" style="1" customWidth="1"/>
    <col min="10765" max="10765" width="15" style="1" customWidth="1"/>
    <col min="10766" max="10766" width="13" style="1" customWidth="1"/>
    <col min="10767" max="10767" width="15" style="1" customWidth="1"/>
    <col min="10768" max="10768" width="13" style="1" customWidth="1"/>
    <col min="10769" max="10769" width="14" style="1" customWidth="1"/>
    <col min="10770" max="10770" width="12.5703125" style="1" customWidth="1"/>
    <col min="10771" max="10771" width="14" style="1" customWidth="1"/>
    <col min="10772" max="10772" width="13" style="1" customWidth="1"/>
    <col min="10773" max="10773" width="15" style="1" customWidth="1"/>
    <col min="10774" max="10774" width="13" style="1" customWidth="1"/>
    <col min="10775" max="10775" width="15" style="1" customWidth="1"/>
    <col min="10776" max="10776" width="13" style="1" customWidth="1"/>
    <col min="10777" max="10777" width="15" style="1" customWidth="1"/>
    <col min="10778" max="10778" width="13" style="1" customWidth="1"/>
    <col min="10779" max="10779" width="15" style="1" customWidth="1"/>
    <col min="10780" max="10793" width="17" style="1" customWidth="1"/>
    <col min="10794" max="10794" width="12.5703125" style="1" customWidth="1"/>
    <col min="10795" max="10795" width="17" style="1" customWidth="1"/>
    <col min="10796" max="11008" width="11.5703125" style="1"/>
    <col min="11009" max="11009" width="6.42578125" style="1" customWidth="1"/>
    <col min="11010" max="11010" width="36.7109375" style="1" customWidth="1"/>
    <col min="11011" max="11011" width="10.7109375" style="1" customWidth="1"/>
    <col min="11012" max="11012" width="17" style="1" customWidth="1"/>
    <col min="11013" max="11013" width="4.5703125" style="1" customWidth="1"/>
    <col min="11014" max="11014" width="3.5703125" style="1" customWidth="1"/>
    <col min="11015" max="11015" width="12.28515625" style="1" customWidth="1"/>
    <col min="11016" max="11016" width="12.5703125" style="1" customWidth="1"/>
    <col min="11017" max="11017" width="12.28515625" style="1" customWidth="1"/>
    <col min="11018" max="11018" width="11.7109375" style="1" customWidth="1"/>
    <col min="11019" max="11019" width="13" style="1" customWidth="1"/>
    <col min="11020" max="11020" width="14" style="1" customWidth="1"/>
    <col min="11021" max="11021" width="15" style="1" customWidth="1"/>
    <col min="11022" max="11022" width="13" style="1" customWidth="1"/>
    <col min="11023" max="11023" width="15" style="1" customWidth="1"/>
    <col min="11024" max="11024" width="13" style="1" customWidth="1"/>
    <col min="11025" max="11025" width="14" style="1" customWidth="1"/>
    <col min="11026" max="11026" width="12.5703125" style="1" customWidth="1"/>
    <col min="11027" max="11027" width="14" style="1" customWidth="1"/>
    <col min="11028" max="11028" width="13" style="1" customWidth="1"/>
    <col min="11029" max="11029" width="15" style="1" customWidth="1"/>
    <col min="11030" max="11030" width="13" style="1" customWidth="1"/>
    <col min="11031" max="11031" width="15" style="1" customWidth="1"/>
    <col min="11032" max="11032" width="13" style="1" customWidth="1"/>
    <col min="11033" max="11033" width="15" style="1" customWidth="1"/>
    <col min="11034" max="11034" width="13" style="1" customWidth="1"/>
    <col min="11035" max="11035" width="15" style="1" customWidth="1"/>
    <col min="11036" max="11049" width="17" style="1" customWidth="1"/>
    <col min="11050" max="11050" width="12.5703125" style="1" customWidth="1"/>
    <col min="11051" max="11051" width="17" style="1" customWidth="1"/>
    <col min="11052" max="11264" width="11.5703125" style="1"/>
    <col min="11265" max="11265" width="6.42578125" style="1" customWidth="1"/>
    <col min="11266" max="11266" width="36.7109375" style="1" customWidth="1"/>
    <col min="11267" max="11267" width="10.7109375" style="1" customWidth="1"/>
    <col min="11268" max="11268" width="17" style="1" customWidth="1"/>
    <col min="11269" max="11269" width="4.5703125" style="1" customWidth="1"/>
    <col min="11270" max="11270" width="3.5703125" style="1" customWidth="1"/>
    <col min="11271" max="11271" width="12.28515625" style="1" customWidth="1"/>
    <col min="11272" max="11272" width="12.5703125" style="1" customWidth="1"/>
    <col min="11273" max="11273" width="12.28515625" style="1" customWidth="1"/>
    <col min="11274" max="11274" width="11.7109375" style="1" customWidth="1"/>
    <col min="11275" max="11275" width="13" style="1" customWidth="1"/>
    <col min="11276" max="11276" width="14" style="1" customWidth="1"/>
    <col min="11277" max="11277" width="15" style="1" customWidth="1"/>
    <col min="11278" max="11278" width="13" style="1" customWidth="1"/>
    <col min="11279" max="11279" width="15" style="1" customWidth="1"/>
    <col min="11280" max="11280" width="13" style="1" customWidth="1"/>
    <col min="11281" max="11281" width="14" style="1" customWidth="1"/>
    <col min="11282" max="11282" width="12.5703125" style="1" customWidth="1"/>
    <col min="11283" max="11283" width="14" style="1" customWidth="1"/>
    <col min="11284" max="11284" width="13" style="1" customWidth="1"/>
    <col min="11285" max="11285" width="15" style="1" customWidth="1"/>
    <col min="11286" max="11286" width="13" style="1" customWidth="1"/>
    <col min="11287" max="11287" width="15" style="1" customWidth="1"/>
    <col min="11288" max="11288" width="13" style="1" customWidth="1"/>
    <col min="11289" max="11289" width="15" style="1" customWidth="1"/>
    <col min="11290" max="11290" width="13" style="1" customWidth="1"/>
    <col min="11291" max="11291" width="15" style="1" customWidth="1"/>
    <col min="11292" max="11305" width="17" style="1" customWidth="1"/>
    <col min="11306" max="11306" width="12.5703125" style="1" customWidth="1"/>
    <col min="11307" max="11307" width="17" style="1" customWidth="1"/>
    <col min="11308" max="11520" width="11.5703125" style="1"/>
    <col min="11521" max="11521" width="6.42578125" style="1" customWidth="1"/>
    <col min="11522" max="11522" width="36.7109375" style="1" customWidth="1"/>
    <col min="11523" max="11523" width="10.7109375" style="1" customWidth="1"/>
    <col min="11524" max="11524" width="17" style="1" customWidth="1"/>
    <col min="11525" max="11525" width="4.5703125" style="1" customWidth="1"/>
    <col min="11526" max="11526" width="3.5703125" style="1" customWidth="1"/>
    <col min="11527" max="11527" width="12.28515625" style="1" customWidth="1"/>
    <col min="11528" max="11528" width="12.5703125" style="1" customWidth="1"/>
    <col min="11529" max="11529" width="12.28515625" style="1" customWidth="1"/>
    <col min="11530" max="11530" width="11.7109375" style="1" customWidth="1"/>
    <col min="11531" max="11531" width="13" style="1" customWidth="1"/>
    <col min="11532" max="11532" width="14" style="1" customWidth="1"/>
    <col min="11533" max="11533" width="15" style="1" customWidth="1"/>
    <col min="11534" max="11534" width="13" style="1" customWidth="1"/>
    <col min="11535" max="11535" width="15" style="1" customWidth="1"/>
    <col min="11536" max="11536" width="13" style="1" customWidth="1"/>
    <col min="11537" max="11537" width="14" style="1" customWidth="1"/>
    <col min="11538" max="11538" width="12.5703125" style="1" customWidth="1"/>
    <col min="11539" max="11539" width="14" style="1" customWidth="1"/>
    <col min="11540" max="11540" width="13" style="1" customWidth="1"/>
    <col min="11541" max="11541" width="15" style="1" customWidth="1"/>
    <col min="11542" max="11542" width="13" style="1" customWidth="1"/>
    <col min="11543" max="11543" width="15" style="1" customWidth="1"/>
    <col min="11544" max="11544" width="13" style="1" customWidth="1"/>
    <col min="11545" max="11545" width="15" style="1" customWidth="1"/>
    <col min="11546" max="11546" width="13" style="1" customWidth="1"/>
    <col min="11547" max="11547" width="15" style="1" customWidth="1"/>
    <col min="11548" max="11561" width="17" style="1" customWidth="1"/>
    <col min="11562" max="11562" width="12.5703125" style="1" customWidth="1"/>
    <col min="11563" max="11563" width="17" style="1" customWidth="1"/>
    <col min="11564" max="11776" width="11.5703125" style="1"/>
    <col min="11777" max="11777" width="6.42578125" style="1" customWidth="1"/>
    <col min="11778" max="11778" width="36.7109375" style="1" customWidth="1"/>
    <col min="11779" max="11779" width="10.7109375" style="1" customWidth="1"/>
    <col min="11780" max="11780" width="17" style="1" customWidth="1"/>
    <col min="11781" max="11781" width="4.5703125" style="1" customWidth="1"/>
    <col min="11782" max="11782" width="3.5703125" style="1" customWidth="1"/>
    <col min="11783" max="11783" width="12.28515625" style="1" customWidth="1"/>
    <col min="11784" max="11784" width="12.5703125" style="1" customWidth="1"/>
    <col min="11785" max="11785" width="12.28515625" style="1" customWidth="1"/>
    <col min="11786" max="11786" width="11.7109375" style="1" customWidth="1"/>
    <col min="11787" max="11787" width="13" style="1" customWidth="1"/>
    <col min="11788" max="11788" width="14" style="1" customWidth="1"/>
    <col min="11789" max="11789" width="15" style="1" customWidth="1"/>
    <col min="11790" max="11790" width="13" style="1" customWidth="1"/>
    <col min="11791" max="11791" width="15" style="1" customWidth="1"/>
    <col min="11792" max="11792" width="13" style="1" customWidth="1"/>
    <col min="11793" max="11793" width="14" style="1" customWidth="1"/>
    <col min="11794" max="11794" width="12.5703125" style="1" customWidth="1"/>
    <col min="11795" max="11795" width="14" style="1" customWidth="1"/>
    <col min="11796" max="11796" width="13" style="1" customWidth="1"/>
    <col min="11797" max="11797" width="15" style="1" customWidth="1"/>
    <col min="11798" max="11798" width="13" style="1" customWidth="1"/>
    <col min="11799" max="11799" width="15" style="1" customWidth="1"/>
    <col min="11800" max="11800" width="13" style="1" customWidth="1"/>
    <col min="11801" max="11801" width="15" style="1" customWidth="1"/>
    <col min="11802" max="11802" width="13" style="1" customWidth="1"/>
    <col min="11803" max="11803" width="15" style="1" customWidth="1"/>
    <col min="11804" max="11817" width="17" style="1" customWidth="1"/>
    <col min="11818" max="11818" width="12.5703125" style="1" customWidth="1"/>
    <col min="11819" max="11819" width="17" style="1" customWidth="1"/>
    <col min="11820" max="12032" width="11.5703125" style="1"/>
    <col min="12033" max="12033" width="6.42578125" style="1" customWidth="1"/>
    <col min="12034" max="12034" width="36.7109375" style="1" customWidth="1"/>
    <col min="12035" max="12035" width="10.7109375" style="1" customWidth="1"/>
    <col min="12036" max="12036" width="17" style="1" customWidth="1"/>
    <col min="12037" max="12037" width="4.5703125" style="1" customWidth="1"/>
    <col min="12038" max="12038" width="3.5703125" style="1" customWidth="1"/>
    <col min="12039" max="12039" width="12.28515625" style="1" customWidth="1"/>
    <col min="12040" max="12040" width="12.5703125" style="1" customWidth="1"/>
    <col min="12041" max="12041" width="12.28515625" style="1" customWidth="1"/>
    <col min="12042" max="12042" width="11.7109375" style="1" customWidth="1"/>
    <col min="12043" max="12043" width="13" style="1" customWidth="1"/>
    <col min="12044" max="12044" width="14" style="1" customWidth="1"/>
    <col min="12045" max="12045" width="15" style="1" customWidth="1"/>
    <col min="12046" max="12046" width="13" style="1" customWidth="1"/>
    <col min="12047" max="12047" width="15" style="1" customWidth="1"/>
    <col min="12048" max="12048" width="13" style="1" customWidth="1"/>
    <col min="12049" max="12049" width="14" style="1" customWidth="1"/>
    <col min="12050" max="12050" width="12.5703125" style="1" customWidth="1"/>
    <col min="12051" max="12051" width="14" style="1" customWidth="1"/>
    <col min="12052" max="12052" width="13" style="1" customWidth="1"/>
    <col min="12053" max="12053" width="15" style="1" customWidth="1"/>
    <col min="12054" max="12054" width="13" style="1" customWidth="1"/>
    <col min="12055" max="12055" width="15" style="1" customWidth="1"/>
    <col min="12056" max="12056" width="13" style="1" customWidth="1"/>
    <col min="12057" max="12057" width="15" style="1" customWidth="1"/>
    <col min="12058" max="12058" width="13" style="1" customWidth="1"/>
    <col min="12059" max="12059" width="15" style="1" customWidth="1"/>
    <col min="12060" max="12073" width="17" style="1" customWidth="1"/>
    <col min="12074" max="12074" width="12.5703125" style="1" customWidth="1"/>
    <col min="12075" max="12075" width="17" style="1" customWidth="1"/>
    <col min="12076" max="12288" width="11.5703125" style="1"/>
    <col min="12289" max="12289" width="6.42578125" style="1" customWidth="1"/>
    <col min="12290" max="12290" width="36.7109375" style="1" customWidth="1"/>
    <col min="12291" max="12291" width="10.7109375" style="1" customWidth="1"/>
    <col min="12292" max="12292" width="17" style="1" customWidth="1"/>
    <col min="12293" max="12293" width="4.5703125" style="1" customWidth="1"/>
    <col min="12294" max="12294" width="3.5703125" style="1" customWidth="1"/>
    <col min="12295" max="12295" width="12.28515625" style="1" customWidth="1"/>
    <col min="12296" max="12296" width="12.5703125" style="1" customWidth="1"/>
    <col min="12297" max="12297" width="12.28515625" style="1" customWidth="1"/>
    <col min="12298" max="12298" width="11.7109375" style="1" customWidth="1"/>
    <col min="12299" max="12299" width="13" style="1" customWidth="1"/>
    <col min="12300" max="12300" width="14" style="1" customWidth="1"/>
    <col min="12301" max="12301" width="15" style="1" customWidth="1"/>
    <col min="12302" max="12302" width="13" style="1" customWidth="1"/>
    <col min="12303" max="12303" width="15" style="1" customWidth="1"/>
    <col min="12304" max="12304" width="13" style="1" customWidth="1"/>
    <col min="12305" max="12305" width="14" style="1" customWidth="1"/>
    <col min="12306" max="12306" width="12.5703125" style="1" customWidth="1"/>
    <col min="12307" max="12307" width="14" style="1" customWidth="1"/>
    <col min="12308" max="12308" width="13" style="1" customWidth="1"/>
    <col min="12309" max="12309" width="15" style="1" customWidth="1"/>
    <col min="12310" max="12310" width="13" style="1" customWidth="1"/>
    <col min="12311" max="12311" width="15" style="1" customWidth="1"/>
    <col min="12312" max="12312" width="13" style="1" customWidth="1"/>
    <col min="12313" max="12313" width="15" style="1" customWidth="1"/>
    <col min="12314" max="12314" width="13" style="1" customWidth="1"/>
    <col min="12315" max="12315" width="15" style="1" customWidth="1"/>
    <col min="12316" max="12329" width="17" style="1" customWidth="1"/>
    <col min="12330" max="12330" width="12.5703125" style="1" customWidth="1"/>
    <col min="12331" max="12331" width="17" style="1" customWidth="1"/>
    <col min="12332" max="12544" width="11.5703125" style="1"/>
    <col min="12545" max="12545" width="6.42578125" style="1" customWidth="1"/>
    <col min="12546" max="12546" width="36.7109375" style="1" customWidth="1"/>
    <col min="12547" max="12547" width="10.7109375" style="1" customWidth="1"/>
    <col min="12548" max="12548" width="17" style="1" customWidth="1"/>
    <col min="12549" max="12549" width="4.5703125" style="1" customWidth="1"/>
    <col min="12550" max="12550" width="3.5703125" style="1" customWidth="1"/>
    <col min="12551" max="12551" width="12.28515625" style="1" customWidth="1"/>
    <col min="12552" max="12552" width="12.5703125" style="1" customWidth="1"/>
    <col min="12553" max="12553" width="12.28515625" style="1" customWidth="1"/>
    <col min="12554" max="12554" width="11.7109375" style="1" customWidth="1"/>
    <col min="12555" max="12555" width="13" style="1" customWidth="1"/>
    <col min="12556" max="12556" width="14" style="1" customWidth="1"/>
    <col min="12557" max="12557" width="15" style="1" customWidth="1"/>
    <col min="12558" max="12558" width="13" style="1" customWidth="1"/>
    <col min="12559" max="12559" width="15" style="1" customWidth="1"/>
    <col min="12560" max="12560" width="13" style="1" customWidth="1"/>
    <col min="12561" max="12561" width="14" style="1" customWidth="1"/>
    <col min="12562" max="12562" width="12.5703125" style="1" customWidth="1"/>
    <col min="12563" max="12563" width="14" style="1" customWidth="1"/>
    <col min="12564" max="12564" width="13" style="1" customWidth="1"/>
    <col min="12565" max="12565" width="15" style="1" customWidth="1"/>
    <col min="12566" max="12566" width="13" style="1" customWidth="1"/>
    <col min="12567" max="12567" width="15" style="1" customWidth="1"/>
    <col min="12568" max="12568" width="13" style="1" customWidth="1"/>
    <col min="12569" max="12569" width="15" style="1" customWidth="1"/>
    <col min="12570" max="12570" width="13" style="1" customWidth="1"/>
    <col min="12571" max="12571" width="15" style="1" customWidth="1"/>
    <col min="12572" max="12585" width="17" style="1" customWidth="1"/>
    <col min="12586" max="12586" width="12.5703125" style="1" customWidth="1"/>
    <col min="12587" max="12587" width="17" style="1" customWidth="1"/>
    <col min="12588" max="12800" width="11.5703125" style="1"/>
    <col min="12801" max="12801" width="6.42578125" style="1" customWidth="1"/>
    <col min="12802" max="12802" width="36.7109375" style="1" customWidth="1"/>
    <col min="12803" max="12803" width="10.7109375" style="1" customWidth="1"/>
    <col min="12804" max="12804" width="17" style="1" customWidth="1"/>
    <col min="12805" max="12805" width="4.5703125" style="1" customWidth="1"/>
    <col min="12806" max="12806" width="3.5703125" style="1" customWidth="1"/>
    <col min="12807" max="12807" width="12.28515625" style="1" customWidth="1"/>
    <col min="12808" max="12808" width="12.5703125" style="1" customWidth="1"/>
    <col min="12809" max="12809" width="12.28515625" style="1" customWidth="1"/>
    <col min="12810" max="12810" width="11.7109375" style="1" customWidth="1"/>
    <col min="12811" max="12811" width="13" style="1" customWidth="1"/>
    <col min="12812" max="12812" width="14" style="1" customWidth="1"/>
    <col min="12813" max="12813" width="15" style="1" customWidth="1"/>
    <col min="12814" max="12814" width="13" style="1" customWidth="1"/>
    <col min="12815" max="12815" width="15" style="1" customWidth="1"/>
    <col min="12816" max="12816" width="13" style="1" customWidth="1"/>
    <col min="12817" max="12817" width="14" style="1" customWidth="1"/>
    <col min="12818" max="12818" width="12.5703125" style="1" customWidth="1"/>
    <col min="12819" max="12819" width="14" style="1" customWidth="1"/>
    <col min="12820" max="12820" width="13" style="1" customWidth="1"/>
    <col min="12821" max="12821" width="15" style="1" customWidth="1"/>
    <col min="12822" max="12822" width="13" style="1" customWidth="1"/>
    <col min="12823" max="12823" width="15" style="1" customWidth="1"/>
    <col min="12824" max="12824" width="13" style="1" customWidth="1"/>
    <col min="12825" max="12825" width="15" style="1" customWidth="1"/>
    <col min="12826" max="12826" width="13" style="1" customWidth="1"/>
    <col min="12827" max="12827" width="15" style="1" customWidth="1"/>
    <col min="12828" max="12841" width="17" style="1" customWidth="1"/>
    <col min="12842" max="12842" width="12.5703125" style="1" customWidth="1"/>
    <col min="12843" max="12843" width="17" style="1" customWidth="1"/>
    <col min="12844" max="13056" width="11.5703125" style="1"/>
    <col min="13057" max="13057" width="6.42578125" style="1" customWidth="1"/>
    <col min="13058" max="13058" width="36.7109375" style="1" customWidth="1"/>
    <col min="13059" max="13059" width="10.7109375" style="1" customWidth="1"/>
    <col min="13060" max="13060" width="17" style="1" customWidth="1"/>
    <col min="13061" max="13061" width="4.5703125" style="1" customWidth="1"/>
    <col min="13062" max="13062" width="3.5703125" style="1" customWidth="1"/>
    <col min="13063" max="13063" width="12.28515625" style="1" customWidth="1"/>
    <col min="13064" max="13064" width="12.5703125" style="1" customWidth="1"/>
    <col min="13065" max="13065" width="12.28515625" style="1" customWidth="1"/>
    <col min="13066" max="13066" width="11.7109375" style="1" customWidth="1"/>
    <col min="13067" max="13067" width="13" style="1" customWidth="1"/>
    <col min="13068" max="13068" width="14" style="1" customWidth="1"/>
    <col min="13069" max="13069" width="15" style="1" customWidth="1"/>
    <col min="13070" max="13070" width="13" style="1" customWidth="1"/>
    <col min="13071" max="13071" width="15" style="1" customWidth="1"/>
    <col min="13072" max="13072" width="13" style="1" customWidth="1"/>
    <col min="13073" max="13073" width="14" style="1" customWidth="1"/>
    <col min="13074" max="13074" width="12.5703125" style="1" customWidth="1"/>
    <col min="13075" max="13075" width="14" style="1" customWidth="1"/>
    <col min="13076" max="13076" width="13" style="1" customWidth="1"/>
    <col min="13077" max="13077" width="15" style="1" customWidth="1"/>
    <col min="13078" max="13078" width="13" style="1" customWidth="1"/>
    <col min="13079" max="13079" width="15" style="1" customWidth="1"/>
    <col min="13080" max="13080" width="13" style="1" customWidth="1"/>
    <col min="13081" max="13081" width="15" style="1" customWidth="1"/>
    <col min="13082" max="13082" width="13" style="1" customWidth="1"/>
    <col min="13083" max="13083" width="15" style="1" customWidth="1"/>
    <col min="13084" max="13097" width="17" style="1" customWidth="1"/>
    <col min="13098" max="13098" width="12.5703125" style="1" customWidth="1"/>
    <col min="13099" max="13099" width="17" style="1" customWidth="1"/>
    <col min="13100" max="13312" width="11.5703125" style="1"/>
    <col min="13313" max="13313" width="6.42578125" style="1" customWidth="1"/>
    <col min="13314" max="13314" width="36.7109375" style="1" customWidth="1"/>
    <col min="13315" max="13315" width="10.7109375" style="1" customWidth="1"/>
    <col min="13316" max="13316" width="17" style="1" customWidth="1"/>
    <col min="13317" max="13317" width="4.5703125" style="1" customWidth="1"/>
    <col min="13318" max="13318" width="3.5703125" style="1" customWidth="1"/>
    <col min="13319" max="13319" width="12.28515625" style="1" customWidth="1"/>
    <col min="13320" max="13320" width="12.5703125" style="1" customWidth="1"/>
    <col min="13321" max="13321" width="12.28515625" style="1" customWidth="1"/>
    <col min="13322" max="13322" width="11.7109375" style="1" customWidth="1"/>
    <col min="13323" max="13323" width="13" style="1" customWidth="1"/>
    <col min="13324" max="13324" width="14" style="1" customWidth="1"/>
    <col min="13325" max="13325" width="15" style="1" customWidth="1"/>
    <col min="13326" max="13326" width="13" style="1" customWidth="1"/>
    <col min="13327" max="13327" width="15" style="1" customWidth="1"/>
    <col min="13328" max="13328" width="13" style="1" customWidth="1"/>
    <col min="13329" max="13329" width="14" style="1" customWidth="1"/>
    <col min="13330" max="13330" width="12.5703125" style="1" customWidth="1"/>
    <col min="13331" max="13331" width="14" style="1" customWidth="1"/>
    <col min="13332" max="13332" width="13" style="1" customWidth="1"/>
    <col min="13333" max="13333" width="15" style="1" customWidth="1"/>
    <col min="13334" max="13334" width="13" style="1" customWidth="1"/>
    <col min="13335" max="13335" width="15" style="1" customWidth="1"/>
    <col min="13336" max="13336" width="13" style="1" customWidth="1"/>
    <col min="13337" max="13337" width="15" style="1" customWidth="1"/>
    <col min="13338" max="13338" width="13" style="1" customWidth="1"/>
    <col min="13339" max="13339" width="15" style="1" customWidth="1"/>
    <col min="13340" max="13353" width="17" style="1" customWidth="1"/>
    <col min="13354" max="13354" width="12.5703125" style="1" customWidth="1"/>
    <col min="13355" max="13355" width="17" style="1" customWidth="1"/>
    <col min="13356" max="13568" width="11.5703125" style="1"/>
    <col min="13569" max="13569" width="6.42578125" style="1" customWidth="1"/>
    <col min="13570" max="13570" width="36.7109375" style="1" customWidth="1"/>
    <col min="13571" max="13571" width="10.7109375" style="1" customWidth="1"/>
    <col min="13572" max="13572" width="17" style="1" customWidth="1"/>
    <col min="13573" max="13573" width="4.5703125" style="1" customWidth="1"/>
    <col min="13574" max="13574" width="3.5703125" style="1" customWidth="1"/>
    <col min="13575" max="13575" width="12.28515625" style="1" customWidth="1"/>
    <col min="13576" max="13576" width="12.5703125" style="1" customWidth="1"/>
    <col min="13577" max="13577" width="12.28515625" style="1" customWidth="1"/>
    <col min="13578" max="13578" width="11.7109375" style="1" customWidth="1"/>
    <col min="13579" max="13579" width="13" style="1" customWidth="1"/>
    <col min="13580" max="13580" width="14" style="1" customWidth="1"/>
    <col min="13581" max="13581" width="15" style="1" customWidth="1"/>
    <col min="13582" max="13582" width="13" style="1" customWidth="1"/>
    <col min="13583" max="13583" width="15" style="1" customWidth="1"/>
    <col min="13584" max="13584" width="13" style="1" customWidth="1"/>
    <col min="13585" max="13585" width="14" style="1" customWidth="1"/>
    <col min="13586" max="13586" width="12.5703125" style="1" customWidth="1"/>
    <col min="13587" max="13587" width="14" style="1" customWidth="1"/>
    <col min="13588" max="13588" width="13" style="1" customWidth="1"/>
    <col min="13589" max="13589" width="15" style="1" customWidth="1"/>
    <col min="13590" max="13590" width="13" style="1" customWidth="1"/>
    <col min="13591" max="13591" width="15" style="1" customWidth="1"/>
    <col min="13592" max="13592" width="13" style="1" customWidth="1"/>
    <col min="13593" max="13593" width="15" style="1" customWidth="1"/>
    <col min="13594" max="13594" width="13" style="1" customWidth="1"/>
    <col min="13595" max="13595" width="15" style="1" customWidth="1"/>
    <col min="13596" max="13609" width="17" style="1" customWidth="1"/>
    <col min="13610" max="13610" width="12.5703125" style="1" customWidth="1"/>
    <col min="13611" max="13611" width="17" style="1" customWidth="1"/>
    <col min="13612" max="13824" width="11.5703125" style="1"/>
    <col min="13825" max="13825" width="6.42578125" style="1" customWidth="1"/>
    <col min="13826" max="13826" width="36.7109375" style="1" customWidth="1"/>
    <col min="13827" max="13827" width="10.7109375" style="1" customWidth="1"/>
    <col min="13828" max="13828" width="17" style="1" customWidth="1"/>
    <col min="13829" max="13829" width="4.5703125" style="1" customWidth="1"/>
    <col min="13830" max="13830" width="3.5703125" style="1" customWidth="1"/>
    <col min="13831" max="13831" width="12.28515625" style="1" customWidth="1"/>
    <col min="13832" max="13832" width="12.5703125" style="1" customWidth="1"/>
    <col min="13833" max="13833" width="12.28515625" style="1" customWidth="1"/>
    <col min="13834" max="13834" width="11.7109375" style="1" customWidth="1"/>
    <col min="13835" max="13835" width="13" style="1" customWidth="1"/>
    <col min="13836" max="13836" width="14" style="1" customWidth="1"/>
    <col min="13837" max="13837" width="15" style="1" customWidth="1"/>
    <col min="13838" max="13838" width="13" style="1" customWidth="1"/>
    <col min="13839" max="13839" width="15" style="1" customWidth="1"/>
    <col min="13840" max="13840" width="13" style="1" customWidth="1"/>
    <col min="13841" max="13841" width="14" style="1" customWidth="1"/>
    <col min="13842" max="13842" width="12.5703125" style="1" customWidth="1"/>
    <col min="13843" max="13843" width="14" style="1" customWidth="1"/>
    <col min="13844" max="13844" width="13" style="1" customWidth="1"/>
    <col min="13845" max="13845" width="15" style="1" customWidth="1"/>
    <col min="13846" max="13846" width="13" style="1" customWidth="1"/>
    <col min="13847" max="13847" width="15" style="1" customWidth="1"/>
    <col min="13848" max="13848" width="13" style="1" customWidth="1"/>
    <col min="13849" max="13849" width="15" style="1" customWidth="1"/>
    <col min="13850" max="13850" width="13" style="1" customWidth="1"/>
    <col min="13851" max="13851" width="15" style="1" customWidth="1"/>
    <col min="13852" max="13865" width="17" style="1" customWidth="1"/>
    <col min="13866" max="13866" width="12.5703125" style="1" customWidth="1"/>
    <col min="13867" max="13867" width="17" style="1" customWidth="1"/>
    <col min="13868" max="14080" width="11.5703125" style="1"/>
    <col min="14081" max="14081" width="6.42578125" style="1" customWidth="1"/>
    <col min="14082" max="14082" width="36.7109375" style="1" customWidth="1"/>
    <col min="14083" max="14083" width="10.7109375" style="1" customWidth="1"/>
    <col min="14084" max="14084" width="17" style="1" customWidth="1"/>
    <col min="14085" max="14085" width="4.5703125" style="1" customWidth="1"/>
    <col min="14086" max="14086" width="3.5703125" style="1" customWidth="1"/>
    <col min="14087" max="14087" width="12.28515625" style="1" customWidth="1"/>
    <col min="14088" max="14088" width="12.5703125" style="1" customWidth="1"/>
    <col min="14089" max="14089" width="12.28515625" style="1" customWidth="1"/>
    <col min="14090" max="14090" width="11.7109375" style="1" customWidth="1"/>
    <col min="14091" max="14091" width="13" style="1" customWidth="1"/>
    <col min="14092" max="14092" width="14" style="1" customWidth="1"/>
    <col min="14093" max="14093" width="15" style="1" customWidth="1"/>
    <col min="14094" max="14094" width="13" style="1" customWidth="1"/>
    <col min="14095" max="14095" width="15" style="1" customWidth="1"/>
    <col min="14096" max="14096" width="13" style="1" customWidth="1"/>
    <col min="14097" max="14097" width="14" style="1" customWidth="1"/>
    <col min="14098" max="14098" width="12.5703125" style="1" customWidth="1"/>
    <col min="14099" max="14099" width="14" style="1" customWidth="1"/>
    <col min="14100" max="14100" width="13" style="1" customWidth="1"/>
    <col min="14101" max="14101" width="15" style="1" customWidth="1"/>
    <col min="14102" max="14102" width="13" style="1" customWidth="1"/>
    <col min="14103" max="14103" width="15" style="1" customWidth="1"/>
    <col min="14104" max="14104" width="13" style="1" customWidth="1"/>
    <col min="14105" max="14105" width="15" style="1" customWidth="1"/>
    <col min="14106" max="14106" width="13" style="1" customWidth="1"/>
    <col min="14107" max="14107" width="15" style="1" customWidth="1"/>
    <col min="14108" max="14121" width="17" style="1" customWidth="1"/>
    <col min="14122" max="14122" width="12.5703125" style="1" customWidth="1"/>
    <col min="14123" max="14123" width="17" style="1" customWidth="1"/>
    <col min="14124" max="14336" width="11.5703125" style="1"/>
    <col min="14337" max="14337" width="6.42578125" style="1" customWidth="1"/>
    <col min="14338" max="14338" width="36.7109375" style="1" customWidth="1"/>
    <col min="14339" max="14339" width="10.7109375" style="1" customWidth="1"/>
    <col min="14340" max="14340" width="17" style="1" customWidth="1"/>
    <col min="14341" max="14341" width="4.5703125" style="1" customWidth="1"/>
    <col min="14342" max="14342" width="3.5703125" style="1" customWidth="1"/>
    <col min="14343" max="14343" width="12.28515625" style="1" customWidth="1"/>
    <col min="14344" max="14344" width="12.5703125" style="1" customWidth="1"/>
    <col min="14345" max="14345" width="12.28515625" style="1" customWidth="1"/>
    <col min="14346" max="14346" width="11.7109375" style="1" customWidth="1"/>
    <col min="14347" max="14347" width="13" style="1" customWidth="1"/>
    <col min="14348" max="14348" width="14" style="1" customWidth="1"/>
    <col min="14349" max="14349" width="15" style="1" customWidth="1"/>
    <col min="14350" max="14350" width="13" style="1" customWidth="1"/>
    <col min="14351" max="14351" width="15" style="1" customWidth="1"/>
    <col min="14352" max="14352" width="13" style="1" customWidth="1"/>
    <col min="14353" max="14353" width="14" style="1" customWidth="1"/>
    <col min="14354" max="14354" width="12.5703125" style="1" customWidth="1"/>
    <col min="14355" max="14355" width="14" style="1" customWidth="1"/>
    <col min="14356" max="14356" width="13" style="1" customWidth="1"/>
    <col min="14357" max="14357" width="15" style="1" customWidth="1"/>
    <col min="14358" max="14358" width="13" style="1" customWidth="1"/>
    <col min="14359" max="14359" width="15" style="1" customWidth="1"/>
    <col min="14360" max="14360" width="13" style="1" customWidth="1"/>
    <col min="14361" max="14361" width="15" style="1" customWidth="1"/>
    <col min="14362" max="14362" width="13" style="1" customWidth="1"/>
    <col min="14363" max="14363" width="15" style="1" customWidth="1"/>
    <col min="14364" max="14377" width="17" style="1" customWidth="1"/>
    <col min="14378" max="14378" width="12.5703125" style="1" customWidth="1"/>
    <col min="14379" max="14379" width="17" style="1" customWidth="1"/>
    <col min="14380" max="14592" width="11.5703125" style="1"/>
    <col min="14593" max="14593" width="6.42578125" style="1" customWidth="1"/>
    <col min="14594" max="14594" width="36.7109375" style="1" customWidth="1"/>
    <col min="14595" max="14595" width="10.7109375" style="1" customWidth="1"/>
    <col min="14596" max="14596" width="17" style="1" customWidth="1"/>
    <col min="14597" max="14597" width="4.5703125" style="1" customWidth="1"/>
    <col min="14598" max="14598" width="3.5703125" style="1" customWidth="1"/>
    <col min="14599" max="14599" width="12.28515625" style="1" customWidth="1"/>
    <col min="14600" max="14600" width="12.5703125" style="1" customWidth="1"/>
    <col min="14601" max="14601" width="12.28515625" style="1" customWidth="1"/>
    <col min="14602" max="14602" width="11.7109375" style="1" customWidth="1"/>
    <col min="14603" max="14603" width="13" style="1" customWidth="1"/>
    <col min="14604" max="14604" width="14" style="1" customWidth="1"/>
    <col min="14605" max="14605" width="15" style="1" customWidth="1"/>
    <col min="14606" max="14606" width="13" style="1" customWidth="1"/>
    <col min="14607" max="14607" width="15" style="1" customWidth="1"/>
    <col min="14608" max="14608" width="13" style="1" customWidth="1"/>
    <col min="14609" max="14609" width="14" style="1" customWidth="1"/>
    <col min="14610" max="14610" width="12.5703125" style="1" customWidth="1"/>
    <col min="14611" max="14611" width="14" style="1" customWidth="1"/>
    <col min="14612" max="14612" width="13" style="1" customWidth="1"/>
    <col min="14613" max="14613" width="15" style="1" customWidth="1"/>
    <col min="14614" max="14614" width="13" style="1" customWidth="1"/>
    <col min="14615" max="14615" width="15" style="1" customWidth="1"/>
    <col min="14616" max="14616" width="13" style="1" customWidth="1"/>
    <col min="14617" max="14617" width="15" style="1" customWidth="1"/>
    <col min="14618" max="14618" width="13" style="1" customWidth="1"/>
    <col min="14619" max="14619" width="15" style="1" customWidth="1"/>
    <col min="14620" max="14633" width="17" style="1" customWidth="1"/>
    <col min="14634" max="14634" width="12.5703125" style="1" customWidth="1"/>
    <col min="14635" max="14635" width="17" style="1" customWidth="1"/>
    <col min="14636" max="14848" width="11.5703125" style="1"/>
    <col min="14849" max="14849" width="6.42578125" style="1" customWidth="1"/>
    <col min="14850" max="14850" width="36.7109375" style="1" customWidth="1"/>
    <col min="14851" max="14851" width="10.7109375" style="1" customWidth="1"/>
    <col min="14852" max="14852" width="17" style="1" customWidth="1"/>
    <col min="14853" max="14853" width="4.5703125" style="1" customWidth="1"/>
    <col min="14854" max="14854" width="3.5703125" style="1" customWidth="1"/>
    <col min="14855" max="14855" width="12.28515625" style="1" customWidth="1"/>
    <col min="14856" max="14856" width="12.5703125" style="1" customWidth="1"/>
    <col min="14857" max="14857" width="12.28515625" style="1" customWidth="1"/>
    <col min="14858" max="14858" width="11.7109375" style="1" customWidth="1"/>
    <col min="14859" max="14859" width="13" style="1" customWidth="1"/>
    <col min="14860" max="14860" width="14" style="1" customWidth="1"/>
    <col min="14861" max="14861" width="15" style="1" customWidth="1"/>
    <col min="14862" max="14862" width="13" style="1" customWidth="1"/>
    <col min="14863" max="14863" width="15" style="1" customWidth="1"/>
    <col min="14864" max="14864" width="13" style="1" customWidth="1"/>
    <col min="14865" max="14865" width="14" style="1" customWidth="1"/>
    <col min="14866" max="14866" width="12.5703125" style="1" customWidth="1"/>
    <col min="14867" max="14867" width="14" style="1" customWidth="1"/>
    <col min="14868" max="14868" width="13" style="1" customWidth="1"/>
    <col min="14869" max="14869" width="15" style="1" customWidth="1"/>
    <col min="14870" max="14870" width="13" style="1" customWidth="1"/>
    <col min="14871" max="14871" width="15" style="1" customWidth="1"/>
    <col min="14872" max="14872" width="13" style="1" customWidth="1"/>
    <col min="14873" max="14873" width="15" style="1" customWidth="1"/>
    <col min="14874" max="14874" width="13" style="1" customWidth="1"/>
    <col min="14875" max="14875" width="15" style="1" customWidth="1"/>
    <col min="14876" max="14889" width="17" style="1" customWidth="1"/>
    <col min="14890" max="14890" width="12.5703125" style="1" customWidth="1"/>
    <col min="14891" max="14891" width="17" style="1" customWidth="1"/>
    <col min="14892" max="15104" width="11.5703125" style="1"/>
    <col min="15105" max="15105" width="6.42578125" style="1" customWidth="1"/>
    <col min="15106" max="15106" width="36.7109375" style="1" customWidth="1"/>
    <col min="15107" max="15107" width="10.7109375" style="1" customWidth="1"/>
    <col min="15108" max="15108" width="17" style="1" customWidth="1"/>
    <col min="15109" max="15109" width="4.5703125" style="1" customWidth="1"/>
    <col min="15110" max="15110" width="3.5703125" style="1" customWidth="1"/>
    <col min="15111" max="15111" width="12.28515625" style="1" customWidth="1"/>
    <col min="15112" max="15112" width="12.5703125" style="1" customWidth="1"/>
    <col min="15113" max="15113" width="12.28515625" style="1" customWidth="1"/>
    <col min="15114" max="15114" width="11.7109375" style="1" customWidth="1"/>
    <col min="15115" max="15115" width="13" style="1" customWidth="1"/>
    <col min="15116" max="15116" width="14" style="1" customWidth="1"/>
    <col min="15117" max="15117" width="15" style="1" customWidth="1"/>
    <col min="15118" max="15118" width="13" style="1" customWidth="1"/>
    <col min="15119" max="15119" width="15" style="1" customWidth="1"/>
    <col min="15120" max="15120" width="13" style="1" customWidth="1"/>
    <col min="15121" max="15121" width="14" style="1" customWidth="1"/>
    <col min="15122" max="15122" width="12.5703125" style="1" customWidth="1"/>
    <col min="15123" max="15123" width="14" style="1" customWidth="1"/>
    <col min="15124" max="15124" width="13" style="1" customWidth="1"/>
    <col min="15125" max="15125" width="15" style="1" customWidth="1"/>
    <col min="15126" max="15126" width="13" style="1" customWidth="1"/>
    <col min="15127" max="15127" width="15" style="1" customWidth="1"/>
    <col min="15128" max="15128" width="13" style="1" customWidth="1"/>
    <col min="15129" max="15129" width="15" style="1" customWidth="1"/>
    <col min="15130" max="15130" width="13" style="1" customWidth="1"/>
    <col min="15131" max="15131" width="15" style="1" customWidth="1"/>
    <col min="15132" max="15145" width="17" style="1" customWidth="1"/>
    <col min="15146" max="15146" width="12.5703125" style="1" customWidth="1"/>
    <col min="15147" max="15147" width="17" style="1" customWidth="1"/>
    <col min="15148" max="15360" width="11.5703125" style="1"/>
    <col min="15361" max="15361" width="6.42578125" style="1" customWidth="1"/>
    <col min="15362" max="15362" width="36.7109375" style="1" customWidth="1"/>
    <col min="15363" max="15363" width="10.7109375" style="1" customWidth="1"/>
    <col min="15364" max="15364" width="17" style="1" customWidth="1"/>
    <col min="15365" max="15365" width="4.5703125" style="1" customWidth="1"/>
    <col min="15366" max="15366" width="3.5703125" style="1" customWidth="1"/>
    <col min="15367" max="15367" width="12.28515625" style="1" customWidth="1"/>
    <col min="15368" max="15368" width="12.5703125" style="1" customWidth="1"/>
    <col min="15369" max="15369" width="12.28515625" style="1" customWidth="1"/>
    <col min="15370" max="15370" width="11.7109375" style="1" customWidth="1"/>
    <col min="15371" max="15371" width="13" style="1" customWidth="1"/>
    <col min="15372" max="15372" width="14" style="1" customWidth="1"/>
    <col min="15373" max="15373" width="15" style="1" customWidth="1"/>
    <col min="15374" max="15374" width="13" style="1" customWidth="1"/>
    <col min="15375" max="15375" width="15" style="1" customWidth="1"/>
    <col min="15376" max="15376" width="13" style="1" customWidth="1"/>
    <col min="15377" max="15377" width="14" style="1" customWidth="1"/>
    <col min="15378" max="15378" width="12.5703125" style="1" customWidth="1"/>
    <col min="15379" max="15379" width="14" style="1" customWidth="1"/>
    <col min="15380" max="15380" width="13" style="1" customWidth="1"/>
    <col min="15381" max="15381" width="15" style="1" customWidth="1"/>
    <col min="15382" max="15382" width="13" style="1" customWidth="1"/>
    <col min="15383" max="15383" width="15" style="1" customWidth="1"/>
    <col min="15384" max="15384" width="13" style="1" customWidth="1"/>
    <col min="15385" max="15385" width="15" style="1" customWidth="1"/>
    <col min="15386" max="15386" width="13" style="1" customWidth="1"/>
    <col min="15387" max="15387" width="15" style="1" customWidth="1"/>
    <col min="15388" max="15401" width="17" style="1" customWidth="1"/>
    <col min="15402" max="15402" width="12.5703125" style="1" customWidth="1"/>
    <col min="15403" max="15403" width="17" style="1" customWidth="1"/>
    <col min="15404" max="15616" width="11.5703125" style="1"/>
    <col min="15617" max="15617" width="6.42578125" style="1" customWidth="1"/>
    <col min="15618" max="15618" width="36.7109375" style="1" customWidth="1"/>
    <col min="15619" max="15619" width="10.7109375" style="1" customWidth="1"/>
    <col min="15620" max="15620" width="17" style="1" customWidth="1"/>
    <col min="15621" max="15621" width="4.5703125" style="1" customWidth="1"/>
    <col min="15622" max="15622" width="3.5703125" style="1" customWidth="1"/>
    <col min="15623" max="15623" width="12.28515625" style="1" customWidth="1"/>
    <col min="15624" max="15624" width="12.5703125" style="1" customWidth="1"/>
    <col min="15625" max="15625" width="12.28515625" style="1" customWidth="1"/>
    <col min="15626" max="15626" width="11.7109375" style="1" customWidth="1"/>
    <col min="15627" max="15627" width="13" style="1" customWidth="1"/>
    <col min="15628" max="15628" width="14" style="1" customWidth="1"/>
    <col min="15629" max="15629" width="15" style="1" customWidth="1"/>
    <col min="15630" max="15630" width="13" style="1" customWidth="1"/>
    <col min="15631" max="15631" width="15" style="1" customWidth="1"/>
    <col min="15632" max="15632" width="13" style="1" customWidth="1"/>
    <col min="15633" max="15633" width="14" style="1" customWidth="1"/>
    <col min="15634" max="15634" width="12.5703125" style="1" customWidth="1"/>
    <col min="15635" max="15635" width="14" style="1" customWidth="1"/>
    <col min="15636" max="15636" width="13" style="1" customWidth="1"/>
    <col min="15637" max="15637" width="15" style="1" customWidth="1"/>
    <col min="15638" max="15638" width="13" style="1" customWidth="1"/>
    <col min="15639" max="15639" width="15" style="1" customWidth="1"/>
    <col min="15640" max="15640" width="13" style="1" customWidth="1"/>
    <col min="15641" max="15641" width="15" style="1" customWidth="1"/>
    <col min="15642" max="15642" width="13" style="1" customWidth="1"/>
    <col min="15643" max="15643" width="15" style="1" customWidth="1"/>
    <col min="15644" max="15657" width="17" style="1" customWidth="1"/>
    <col min="15658" max="15658" width="12.5703125" style="1" customWidth="1"/>
    <col min="15659" max="15659" width="17" style="1" customWidth="1"/>
    <col min="15660" max="15872" width="11.5703125" style="1"/>
    <col min="15873" max="15873" width="6.42578125" style="1" customWidth="1"/>
    <col min="15874" max="15874" width="36.7109375" style="1" customWidth="1"/>
    <col min="15875" max="15875" width="10.7109375" style="1" customWidth="1"/>
    <col min="15876" max="15876" width="17" style="1" customWidth="1"/>
    <col min="15877" max="15877" width="4.5703125" style="1" customWidth="1"/>
    <col min="15878" max="15878" width="3.5703125" style="1" customWidth="1"/>
    <col min="15879" max="15879" width="12.28515625" style="1" customWidth="1"/>
    <col min="15880" max="15880" width="12.5703125" style="1" customWidth="1"/>
    <col min="15881" max="15881" width="12.28515625" style="1" customWidth="1"/>
    <col min="15882" max="15882" width="11.7109375" style="1" customWidth="1"/>
    <col min="15883" max="15883" width="13" style="1" customWidth="1"/>
    <col min="15884" max="15884" width="14" style="1" customWidth="1"/>
    <col min="15885" max="15885" width="15" style="1" customWidth="1"/>
    <col min="15886" max="15886" width="13" style="1" customWidth="1"/>
    <col min="15887" max="15887" width="15" style="1" customWidth="1"/>
    <col min="15888" max="15888" width="13" style="1" customWidth="1"/>
    <col min="15889" max="15889" width="14" style="1" customWidth="1"/>
    <col min="15890" max="15890" width="12.5703125" style="1" customWidth="1"/>
    <col min="15891" max="15891" width="14" style="1" customWidth="1"/>
    <col min="15892" max="15892" width="13" style="1" customWidth="1"/>
    <col min="15893" max="15893" width="15" style="1" customWidth="1"/>
    <col min="15894" max="15894" width="13" style="1" customWidth="1"/>
    <col min="15895" max="15895" width="15" style="1" customWidth="1"/>
    <col min="15896" max="15896" width="13" style="1" customWidth="1"/>
    <col min="15897" max="15897" width="15" style="1" customWidth="1"/>
    <col min="15898" max="15898" width="13" style="1" customWidth="1"/>
    <col min="15899" max="15899" width="15" style="1" customWidth="1"/>
    <col min="15900" max="15913" width="17" style="1" customWidth="1"/>
    <col min="15914" max="15914" width="12.5703125" style="1" customWidth="1"/>
    <col min="15915" max="15915" width="17" style="1" customWidth="1"/>
    <col min="15916" max="16128" width="11.5703125" style="1"/>
    <col min="16129" max="16129" width="6.42578125" style="1" customWidth="1"/>
    <col min="16130" max="16130" width="36.7109375" style="1" customWidth="1"/>
    <col min="16131" max="16131" width="10.7109375" style="1" customWidth="1"/>
    <col min="16132" max="16132" width="17" style="1" customWidth="1"/>
    <col min="16133" max="16133" width="4.5703125" style="1" customWidth="1"/>
    <col min="16134" max="16134" width="3.5703125" style="1" customWidth="1"/>
    <col min="16135" max="16135" width="12.28515625" style="1" customWidth="1"/>
    <col min="16136" max="16136" width="12.5703125" style="1" customWidth="1"/>
    <col min="16137" max="16137" width="12.28515625" style="1" customWidth="1"/>
    <col min="16138" max="16138" width="11.7109375" style="1" customWidth="1"/>
    <col min="16139" max="16139" width="13" style="1" customWidth="1"/>
    <col min="16140" max="16140" width="14" style="1" customWidth="1"/>
    <col min="16141" max="16141" width="15" style="1" customWidth="1"/>
    <col min="16142" max="16142" width="13" style="1" customWidth="1"/>
    <col min="16143" max="16143" width="15" style="1" customWidth="1"/>
    <col min="16144" max="16144" width="13" style="1" customWidth="1"/>
    <col min="16145" max="16145" width="14" style="1" customWidth="1"/>
    <col min="16146" max="16146" width="12.5703125" style="1" customWidth="1"/>
    <col min="16147" max="16147" width="14" style="1" customWidth="1"/>
    <col min="16148" max="16148" width="13" style="1" customWidth="1"/>
    <col min="16149" max="16149" width="15" style="1" customWidth="1"/>
    <col min="16150" max="16150" width="13" style="1" customWidth="1"/>
    <col min="16151" max="16151" width="15" style="1" customWidth="1"/>
    <col min="16152" max="16152" width="13" style="1" customWidth="1"/>
    <col min="16153" max="16153" width="15" style="1" customWidth="1"/>
    <col min="16154" max="16154" width="13" style="1" customWidth="1"/>
    <col min="16155" max="16155" width="15" style="1" customWidth="1"/>
    <col min="16156" max="16169" width="17" style="1" customWidth="1"/>
    <col min="16170" max="16170" width="12.5703125" style="1" customWidth="1"/>
    <col min="16171" max="16171" width="17" style="1" customWidth="1"/>
    <col min="16172" max="16384" width="11.5703125" style="1"/>
  </cols>
  <sheetData>
    <row r="1" spans="1:43" x14ac:dyDescent="0.2">
      <c r="B1" s="1" t="s">
        <v>0</v>
      </c>
      <c r="D1" s="12" t="s">
        <v>1</v>
      </c>
      <c r="E1" s="3"/>
      <c r="F1" s="3"/>
      <c r="AP1" s="2" t="s">
        <v>1</v>
      </c>
    </row>
    <row r="2" spans="1:43" x14ac:dyDescent="0.2">
      <c r="B2" s="2" t="s">
        <v>2</v>
      </c>
      <c r="D2" s="12" t="s">
        <v>3</v>
      </c>
      <c r="E2" s="3"/>
      <c r="F2" s="3"/>
      <c r="AP2" s="2" t="s">
        <v>3</v>
      </c>
    </row>
    <row r="3" spans="1:43" x14ac:dyDescent="0.2">
      <c r="B3" s="4" t="s">
        <v>4</v>
      </c>
      <c r="D3" s="13"/>
      <c r="E3" s="3"/>
      <c r="F3" s="3"/>
      <c r="G3" s="13"/>
      <c r="H3" s="16">
        <v>2004</v>
      </c>
      <c r="I3" s="3"/>
      <c r="J3" s="3">
        <v>2005</v>
      </c>
      <c r="K3" s="3"/>
      <c r="L3" s="3">
        <v>2006</v>
      </c>
      <c r="M3" s="3"/>
      <c r="N3" s="3">
        <v>2007</v>
      </c>
      <c r="P3" s="3">
        <v>2008</v>
      </c>
      <c r="R3" s="3">
        <v>2009</v>
      </c>
      <c r="T3" s="1">
        <v>2010</v>
      </c>
      <c r="V3" s="1">
        <v>2011</v>
      </c>
      <c r="X3" s="1">
        <v>2012</v>
      </c>
      <c r="Z3" s="1">
        <v>2013</v>
      </c>
      <c r="AB3" s="1">
        <v>2014</v>
      </c>
      <c r="AD3" s="1">
        <v>2015</v>
      </c>
      <c r="AF3" s="3">
        <v>2016</v>
      </c>
      <c r="AH3" s="3">
        <v>2017</v>
      </c>
      <c r="AJ3" s="3">
        <v>2018</v>
      </c>
      <c r="AL3" s="3">
        <v>2019</v>
      </c>
      <c r="AN3" s="1">
        <v>2020</v>
      </c>
      <c r="AP3" s="3"/>
    </row>
    <row r="4" spans="1:43" x14ac:dyDescent="0.2">
      <c r="D4" s="13"/>
      <c r="E4" s="3"/>
      <c r="F4" s="3"/>
      <c r="G4" s="13" t="s">
        <v>5</v>
      </c>
      <c r="H4" s="13" t="s">
        <v>6</v>
      </c>
      <c r="I4" s="3" t="s">
        <v>5</v>
      </c>
      <c r="J4" s="3" t="s">
        <v>6</v>
      </c>
      <c r="K4" s="3" t="s">
        <v>5</v>
      </c>
      <c r="L4" s="3" t="s">
        <v>6</v>
      </c>
      <c r="M4" s="3" t="s">
        <v>5</v>
      </c>
      <c r="N4" s="3" t="s">
        <v>6</v>
      </c>
      <c r="O4" s="3" t="s">
        <v>5</v>
      </c>
      <c r="P4" s="3" t="s">
        <v>6</v>
      </c>
      <c r="Q4" s="3" t="s">
        <v>5</v>
      </c>
      <c r="R4" s="3" t="s">
        <v>6</v>
      </c>
      <c r="S4" s="3" t="s">
        <v>5</v>
      </c>
      <c r="T4" s="2" t="s">
        <v>6</v>
      </c>
      <c r="U4" s="2" t="s">
        <v>7</v>
      </c>
      <c r="V4" s="2" t="s">
        <v>6</v>
      </c>
      <c r="W4" s="2" t="s">
        <v>7</v>
      </c>
      <c r="X4" s="2" t="s">
        <v>6</v>
      </c>
      <c r="Y4" s="2" t="s">
        <v>7</v>
      </c>
      <c r="Z4" s="2" t="s">
        <v>6</v>
      </c>
      <c r="AA4" s="2" t="s">
        <v>7</v>
      </c>
      <c r="AB4" s="2" t="s">
        <v>6</v>
      </c>
      <c r="AC4" s="2" t="s">
        <v>7</v>
      </c>
      <c r="AD4" s="2" t="s">
        <v>6</v>
      </c>
      <c r="AE4" s="2" t="s">
        <v>7</v>
      </c>
      <c r="AF4" s="2" t="s">
        <v>6</v>
      </c>
      <c r="AG4" s="2" t="s">
        <v>7</v>
      </c>
      <c r="AH4" s="2" t="s">
        <v>6</v>
      </c>
      <c r="AI4" s="2" t="s">
        <v>7</v>
      </c>
      <c r="AJ4" s="2" t="s">
        <v>6</v>
      </c>
      <c r="AK4" s="2" t="s">
        <v>7</v>
      </c>
      <c r="AL4" s="2" t="s">
        <v>6</v>
      </c>
      <c r="AM4" s="2" t="s">
        <v>7</v>
      </c>
      <c r="AN4" s="2" t="s">
        <v>6</v>
      </c>
      <c r="AO4" s="2" t="s">
        <v>7</v>
      </c>
      <c r="AP4" s="3"/>
    </row>
    <row r="5" spans="1:43" x14ac:dyDescent="0.2">
      <c r="A5" s="2" t="s">
        <v>8</v>
      </c>
      <c r="D5" s="13" t="s">
        <v>9</v>
      </c>
      <c r="E5" s="3"/>
      <c r="F5" s="3"/>
      <c r="G5" s="13" t="s">
        <v>6</v>
      </c>
      <c r="H5" s="13" t="s">
        <v>10</v>
      </c>
      <c r="I5" s="3" t="s">
        <v>6</v>
      </c>
      <c r="J5" s="3" t="s">
        <v>10</v>
      </c>
      <c r="K5" s="3" t="s">
        <v>6</v>
      </c>
      <c r="L5" s="3" t="s">
        <v>10</v>
      </c>
      <c r="M5" s="3" t="s">
        <v>6</v>
      </c>
      <c r="N5" s="3" t="s">
        <v>10</v>
      </c>
      <c r="O5" s="3" t="s">
        <v>6</v>
      </c>
      <c r="P5" s="3" t="s">
        <v>10</v>
      </c>
      <c r="Q5" s="3" t="s">
        <v>6</v>
      </c>
      <c r="R5" s="3" t="s">
        <v>10</v>
      </c>
      <c r="S5" s="3" t="s">
        <v>6</v>
      </c>
      <c r="T5" s="2" t="s">
        <v>10</v>
      </c>
      <c r="U5" s="2" t="s">
        <v>11</v>
      </c>
      <c r="V5" s="2" t="s">
        <v>10</v>
      </c>
      <c r="W5" s="2" t="s">
        <v>11</v>
      </c>
      <c r="X5" s="2" t="s">
        <v>10</v>
      </c>
      <c r="Y5" s="2" t="s">
        <v>11</v>
      </c>
      <c r="Z5" s="2" t="s">
        <v>10</v>
      </c>
      <c r="AA5" s="2" t="s">
        <v>11</v>
      </c>
      <c r="AB5" s="2" t="s">
        <v>10</v>
      </c>
      <c r="AC5" s="2" t="s">
        <v>11</v>
      </c>
      <c r="AD5" s="2" t="s">
        <v>10</v>
      </c>
      <c r="AE5" s="2" t="s">
        <v>11</v>
      </c>
      <c r="AF5" s="2" t="s">
        <v>10</v>
      </c>
      <c r="AG5" s="2" t="s">
        <v>11</v>
      </c>
      <c r="AH5" s="2" t="s">
        <v>10</v>
      </c>
      <c r="AI5" s="2" t="s">
        <v>11</v>
      </c>
      <c r="AJ5" s="2" t="s">
        <v>10</v>
      </c>
      <c r="AK5" s="2" t="s">
        <v>11</v>
      </c>
      <c r="AL5" s="2" t="s">
        <v>10</v>
      </c>
      <c r="AM5" s="2" t="s">
        <v>11</v>
      </c>
      <c r="AN5" s="2" t="s">
        <v>10</v>
      </c>
      <c r="AO5" s="2" t="s">
        <v>11</v>
      </c>
      <c r="AP5" s="3" t="s">
        <v>9</v>
      </c>
    </row>
    <row r="6" spans="1:43" x14ac:dyDescent="0.2">
      <c r="A6" s="1">
        <v>311</v>
      </c>
      <c r="B6" s="2" t="s">
        <v>12</v>
      </c>
      <c r="E6" s="3"/>
      <c r="F6" s="3"/>
    </row>
    <row r="7" spans="1:43" x14ac:dyDescent="0.2">
      <c r="B7" s="2" t="s">
        <v>13</v>
      </c>
      <c r="C7" s="9">
        <v>34578</v>
      </c>
      <c r="D7" s="14">
        <v>1155191</v>
      </c>
      <c r="E7" s="3" t="s">
        <v>14</v>
      </c>
      <c r="F7" s="3">
        <v>40</v>
      </c>
      <c r="G7" s="14">
        <f>240666+28880</f>
        <v>269546</v>
      </c>
      <c r="H7" s="14">
        <f>SUM(D7/F7)</f>
        <v>28879.775000000001</v>
      </c>
      <c r="I7" s="1">
        <f>SUM(G7:H7)</f>
        <v>298425.77500000002</v>
      </c>
      <c r="J7" s="1">
        <f>SUM(D7/F7)</f>
        <v>28879.775000000001</v>
      </c>
      <c r="K7" s="1">
        <f>SUM(I7:J7)</f>
        <v>327305.55000000005</v>
      </c>
      <c r="L7" s="1">
        <f>SUM(D7/F7)</f>
        <v>28879.775000000001</v>
      </c>
      <c r="M7" s="1">
        <f>SUM(K7:L7)</f>
        <v>356185.32500000007</v>
      </c>
      <c r="N7" s="1">
        <f>SUM(D7/F7)</f>
        <v>28879.775000000001</v>
      </c>
      <c r="O7" s="1">
        <f>SUM(M7+N7)</f>
        <v>385065.10000000009</v>
      </c>
      <c r="P7" s="1">
        <f>SUM(D7/F7)</f>
        <v>28879.775000000001</v>
      </c>
      <c r="Q7" s="1">
        <f>SUM(O7+P7)</f>
        <v>413944.87500000012</v>
      </c>
      <c r="R7" s="1">
        <f>SUM(D7/F7)</f>
        <v>28879.775000000001</v>
      </c>
      <c r="S7" s="1">
        <f>SUM(Q7+R7)</f>
        <v>442824.65000000014</v>
      </c>
      <c r="T7" s="1">
        <f>R7</f>
        <v>28879.775000000001</v>
      </c>
      <c r="U7" s="1">
        <f>S7+T7</f>
        <v>471704.42500000016</v>
      </c>
      <c r="V7" s="1">
        <f>T7</f>
        <v>28879.775000000001</v>
      </c>
      <c r="W7" s="1">
        <f>U7+V7</f>
        <v>500584.20000000019</v>
      </c>
      <c r="X7" s="1">
        <f>V7</f>
        <v>28879.775000000001</v>
      </c>
      <c r="Y7" s="1">
        <f>W7+X7</f>
        <v>529463.97500000021</v>
      </c>
      <c r="Z7" s="1">
        <f>X7</f>
        <v>28879.775000000001</v>
      </c>
      <c r="AA7" s="1">
        <f>Y7+Z7</f>
        <v>558343.75000000023</v>
      </c>
      <c r="AB7" s="1">
        <f>Z7</f>
        <v>28879.775000000001</v>
      </c>
      <c r="AC7" s="1">
        <f>AA7+AB7</f>
        <v>587223.52500000026</v>
      </c>
      <c r="AD7" s="1">
        <f>AB7</f>
        <v>28879.775000000001</v>
      </c>
      <c r="AE7" s="1">
        <f>AC7+AD7</f>
        <v>616103.30000000028</v>
      </c>
      <c r="AF7" s="1">
        <f>AD7</f>
        <v>28879.775000000001</v>
      </c>
      <c r="AG7" s="1">
        <f>AE7+AF7</f>
        <v>644983.0750000003</v>
      </c>
      <c r="AH7" s="1">
        <f>AF7</f>
        <v>28879.775000000001</v>
      </c>
      <c r="AI7" s="1">
        <f>AG7+AH7</f>
        <v>673862.85000000033</v>
      </c>
      <c r="AJ7" s="1">
        <f>AH7</f>
        <v>28879.775000000001</v>
      </c>
      <c r="AK7" s="1">
        <f>AI7+AJ7</f>
        <v>702742.62500000035</v>
      </c>
      <c r="AL7" s="1">
        <f>AJ7</f>
        <v>28879.775000000001</v>
      </c>
      <c r="AM7" s="1">
        <f>AK7+AL7</f>
        <v>731622.40000000037</v>
      </c>
      <c r="AN7" s="1">
        <f>AL7</f>
        <v>28879.775000000001</v>
      </c>
      <c r="AO7" s="1">
        <f>AM7+AN7</f>
        <v>760502.1750000004</v>
      </c>
      <c r="AP7" s="1">
        <v>1155191</v>
      </c>
      <c r="AQ7" s="1">
        <f>AP7-AO7</f>
        <v>394688.8249999996</v>
      </c>
    </row>
    <row r="8" spans="1:43" x14ac:dyDescent="0.2">
      <c r="B8" s="2" t="s">
        <v>15</v>
      </c>
      <c r="C8" s="9">
        <v>36526</v>
      </c>
      <c r="D8" s="14">
        <v>2415002</v>
      </c>
      <c r="E8" s="3" t="s">
        <v>14</v>
      </c>
      <c r="F8" s="3">
        <v>40</v>
      </c>
      <c r="G8" s="14">
        <f>181125+60375</f>
        <v>241500</v>
      </c>
      <c r="H8" s="14">
        <f>SUM(D8/F8)</f>
        <v>60375.05</v>
      </c>
      <c r="I8" s="1">
        <f>SUM(G8:H8)</f>
        <v>301875.05</v>
      </c>
      <c r="J8" s="1">
        <f>SUM(D8/F8)</f>
        <v>60375.05</v>
      </c>
      <c r="K8" s="1">
        <f>SUM(I8:J8)</f>
        <v>362250.1</v>
      </c>
      <c r="L8" s="1">
        <f>SUM(D8/F8)</f>
        <v>60375.05</v>
      </c>
      <c r="M8" s="1">
        <f>SUM(K8:L8)</f>
        <v>422625.14999999997</v>
      </c>
      <c r="N8" s="1">
        <f>SUM(D8/F8)</f>
        <v>60375.05</v>
      </c>
      <c r="O8" s="1">
        <f>SUM(M8+N8)</f>
        <v>483000.19999999995</v>
      </c>
      <c r="P8" s="1">
        <f>SUM(D8/F8)</f>
        <v>60375.05</v>
      </c>
      <c r="Q8" s="1">
        <f>SUM(O8+P8)</f>
        <v>543375.25</v>
      </c>
      <c r="R8" s="1">
        <f>SUM(D8/F8)</f>
        <v>60375.05</v>
      </c>
      <c r="S8" s="1">
        <f>SUM(Q8+R8)</f>
        <v>603750.30000000005</v>
      </c>
      <c r="T8" s="1">
        <f>R8</f>
        <v>60375.05</v>
      </c>
      <c r="U8" s="1">
        <f>S8+T8</f>
        <v>664125.35000000009</v>
      </c>
      <c r="V8" s="1">
        <f>T8</f>
        <v>60375.05</v>
      </c>
      <c r="W8" s="1">
        <f>U8+V8</f>
        <v>724500.40000000014</v>
      </c>
      <c r="X8" s="1">
        <f>V8</f>
        <v>60375.05</v>
      </c>
      <c r="Y8" s="1">
        <f>W8+X8</f>
        <v>784875.45000000019</v>
      </c>
      <c r="Z8" s="1">
        <f>X8</f>
        <v>60375.05</v>
      </c>
      <c r="AA8" s="1">
        <f>Y8+Z8</f>
        <v>845250.50000000023</v>
      </c>
      <c r="AB8" s="1">
        <f>Z8</f>
        <v>60375.05</v>
      </c>
      <c r="AC8" s="1">
        <f>AA8+AB8</f>
        <v>905625.55000000028</v>
      </c>
      <c r="AD8" s="1">
        <f>AB8</f>
        <v>60375.05</v>
      </c>
      <c r="AE8" s="1">
        <f>AC8+AD8</f>
        <v>966000.60000000033</v>
      </c>
      <c r="AF8" s="1">
        <f>AD8</f>
        <v>60375.05</v>
      </c>
      <c r="AG8" s="1">
        <f>AE8+AF8</f>
        <v>1026375.6500000004</v>
      </c>
      <c r="AH8" s="1">
        <f>AF8</f>
        <v>60375.05</v>
      </c>
      <c r="AI8" s="1">
        <f>AG8+AH8</f>
        <v>1086750.7000000004</v>
      </c>
      <c r="AJ8" s="1">
        <f>AH8</f>
        <v>60375.05</v>
      </c>
      <c r="AK8" s="1">
        <f>AI8+AJ8</f>
        <v>1147125.7500000005</v>
      </c>
      <c r="AL8" s="1">
        <f>AJ8</f>
        <v>60375.05</v>
      </c>
      <c r="AM8" s="1">
        <f>AK8+AL8</f>
        <v>1207500.8000000005</v>
      </c>
      <c r="AN8" s="1">
        <f>AL8</f>
        <v>60375.05</v>
      </c>
      <c r="AO8" s="1">
        <f>AM8+AN8</f>
        <v>1267875.8500000006</v>
      </c>
      <c r="AP8" s="1">
        <v>2415002</v>
      </c>
      <c r="AQ8" s="1">
        <f>AP8-AO8</f>
        <v>1147126.1499999994</v>
      </c>
    </row>
    <row r="9" spans="1:43" x14ac:dyDescent="0.2">
      <c r="B9" s="2" t="s">
        <v>16</v>
      </c>
      <c r="C9" s="9">
        <v>38168</v>
      </c>
      <c r="D9" s="14">
        <v>6526643</v>
      </c>
      <c r="E9" s="3" t="s">
        <v>14</v>
      </c>
      <c r="F9" s="3">
        <v>40</v>
      </c>
      <c r="H9" s="14">
        <f>SUM(D9/F9/2)</f>
        <v>81583.037500000006</v>
      </c>
      <c r="I9" s="1">
        <f>SUM(G9:H9)</f>
        <v>81583.037500000006</v>
      </c>
      <c r="J9" s="1">
        <f>SUM(D9/F9)</f>
        <v>163166.07500000001</v>
      </c>
      <c r="K9" s="1">
        <f>SUM(I9:J9)</f>
        <v>244749.11250000002</v>
      </c>
      <c r="L9" s="1">
        <f>SUM(D9/F9)</f>
        <v>163166.07500000001</v>
      </c>
      <c r="M9" s="1">
        <f>SUM(K9:L9)</f>
        <v>407915.1875</v>
      </c>
      <c r="N9" s="1">
        <f>SUM(D9/F9)</f>
        <v>163166.07500000001</v>
      </c>
      <c r="O9" s="1">
        <f>SUM(M9+N9)</f>
        <v>571081.26249999995</v>
      </c>
      <c r="P9" s="1">
        <f>SUM(D9/F9)</f>
        <v>163166.07500000001</v>
      </c>
      <c r="Q9" s="1">
        <f>SUM(O9+P9)</f>
        <v>734247.33749999991</v>
      </c>
      <c r="R9" s="1">
        <f>SUM(D9/F9)</f>
        <v>163166.07500000001</v>
      </c>
      <c r="S9" s="1">
        <f>SUM(Q9+R9)</f>
        <v>897413.41249999986</v>
      </c>
      <c r="T9" s="1">
        <f>R9</f>
        <v>163166.07500000001</v>
      </c>
      <c r="U9" s="1">
        <f>S9+T9</f>
        <v>1060579.4874999998</v>
      </c>
      <c r="V9" s="1">
        <f>T9</f>
        <v>163166.07500000001</v>
      </c>
      <c r="W9" s="1">
        <f>U9+V9</f>
        <v>1223745.5624999998</v>
      </c>
      <c r="X9" s="1">
        <f>V9</f>
        <v>163166.07500000001</v>
      </c>
      <c r="Y9" s="1">
        <f>W9+X9</f>
        <v>1386911.6374999997</v>
      </c>
      <c r="Z9" s="1">
        <f>X9</f>
        <v>163166.07500000001</v>
      </c>
      <c r="AA9" s="1">
        <f>Y9+Z9</f>
        <v>1550077.7124999997</v>
      </c>
      <c r="AB9" s="1">
        <f>Z9</f>
        <v>163166.07500000001</v>
      </c>
      <c r="AC9" s="1">
        <f>AA9+AB9</f>
        <v>1713243.7874999996</v>
      </c>
      <c r="AD9" s="1">
        <f>AB9</f>
        <v>163166.07500000001</v>
      </c>
      <c r="AE9" s="1">
        <f>AC9+AD9</f>
        <v>1876409.8624999996</v>
      </c>
      <c r="AF9" s="1">
        <f>AD9</f>
        <v>163166.07500000001</v>
      </c>
      <c r="AG9" s="1">
        <f>AE9+AF9</f>
        <v>2039575.9374999995</v>
      </c>
      <c r="AH9" s="1">
        <f>AF9</f>
        <v>163166.07500000001</v>
      </c>
      <c r="AI9" s="1">
        <f>AG9+AH9</f>
        <v>2202742.0124999997</v>
      </c>
      <c r="AJ9" s="1">
        <f>AH9</f>
        <v>163166.07500000001</v>
      </c>
      <c r="AK9" s="1">
        <f>AI9+AJ9</f>
        <v>2365908.0874999999</v>
      </c>
      <c r="AL9" s="1">
        <f>AJ9</f>
        <v>163166.07500000001</v>
      </c>
      <c r="AM9" s="1">
        <f>AK9+AL9</f>
        <v>2529074.1625000001</v>
      </c>
      <c r="AN9" s="1">
        <f>AL9</f>
        <v>163166.07500000001</v>
      </c>
      <c r="AO9" s="1">
        <f>AM9+AN9</f>
        <v>2692240.2375000003</v>
      </c>
      <c r="AP9" s="1">
        <v>6526643</v>
      </c>
      <c r="AQ9" s="1">
        <f>AP9-AO9</f>
        <v>3834402.7624999997</v>
      </c>
    </row>
    <row r="10" spans="1:43" x14ac:dyDescent="0.2">
      <c r="B10" s="2" t="s">
        <v>17</v>
      </c>
      <c r="C10" s="9">
        <v>38898</v>
      </c>
      <c r="D10" s="14">
        <v>11894</v>
      </c>
      <c r="E10" s="3" t="s">
        <v>14</v>
      </c>
      <c r="F10" s="3">
        <v>40</v>
      </c>
      <c r="K10" s="1">
        <v>3827</v>
      </c>
      <c r="L10" s="1">
        <f>SUM(D10/F10)</f>
        <v>297.35000000000002</v>
      </c>
      <c r="M10" s="1">
        <f>SUM(K10:L10)</f>
        <v>4124.3500000000004</v>
      </c>
      <c r="N10" s="1">
        <f>SUM(D10/F10)</f>
        <v>297.35000000000002</v>
      </c>
      <c r="O10" s="1">
        <f>SUM(M10+N10)</f>
        <v>4421.7000000000007</v>
      </c>
      <c r="P10" s="1">
        <f>SUM(D10/F10)</f>
        <v>297.35000000000002</v>
      </c>
      <c r="Q10" s="1">
        <f>SUM(O10+P10)</f>
        <v>4719.0500000000011</v>
      </c>
      <c r="R10" s="1">
        <f>SUM(D10/F10)</f>
        <v>297.35000000000002</v>
      </c>
      <c r="S10" s="1">
        <f>SUM(Q10+R10)</f>
        <v>5016.4000000000015</v>
      </c>
      <c r="T10" s="1">
        <f>R10</f>
        <v>297.35000000000002</v>
      </c>
      <c r="U10" s="1">
        <f>S10+T10</f>
        <v>5313.7500000000018</v>
      </c>
      <c r="V10" s="1">
        <f>T10</f>
        <v>297.35000000000002</v>
      </c>
      <c r="W10" s="1">
        <f>U10+V10</f>
        <v>5611.1000000000022</v>
      </c>
      <c r="X10" s="1">
        <f>V10</f>
        <v>297.35000000000002</v>
      </c>
      <c r="Y10" s="1">
        <f>W10+X10</f>
        <v>5908.4500000000025</v>
      </c>
      <c r="Z10" s="1">
        <f>X10</f>
        <v>297.35000000000002</v>
      </c>
      <c r="AA10" s="1">
        <f>Y10+Z10</f>
        <v>6205.8000000000029</v>
      </c>
      <c r="AB10" s="1">
        <f>Z10</f>
        <v>297.35000000000002</v>
      </c>
      <c r="AC10" s="1">
        <f>AA10+AB10</f>
        <v>6503.1500000000033</v>
      </c>
      <c r="AD10" s="1">
        <f>AB10</f>
        <v>297.35000000000002</v>
      </c>
      <c r="AE10" s="1">
        <f>AC10+AD10</f>
        <v>6800.5000000000036</v>
      </c>
      <c r="AF10" s="1">
        <f>AD10</f>
        <v>297.35000000000002</v>
      </c>
      <c r="AG10" s="1">
        <f>AE10+AF10</f>
        <v>7097.850000000004</v>
      </c>
      <c r="AH10" s="1">
        <f>AF10</f>
        <v>297.35000000000002</v>
      </c>
      <c r="AI10" s="1">
        <f>AG10+AH10</f>
        <v>7395.2000000000044</v>
      </c>
      <c r="AJ10" s="1">
        <f>AH10</f>
        <v>297.35000000000002</v>
      </c>
      <c r="AK10" s="1">
        <f>AI10+AJ10</f>
        <v>7692.5500000000047</v>
      </c>
      <c r="AL10" s="1">
        <f>AJ10</f>
        <v>297.35000000000002</v>
      </c>
      <c r="AM10" s="1">
        <f>AK10+AL10</f>
        <v>7989.9000000000051</v>
      </c>
      <c r="AN10" s="1">
        <f>AL10</f>
        <v>297.35000000000002</v>
      </c>
      <c r="AO10" s="1">
        <f>AM10+AN10</f>
        <v>8287.2500000000055</v>
      </c>
      <c r="AP10" s="1">
        <v>11894</v>
      </c>
      <c r="AQ10" s="1">
        <f>AP10-AO10</f>
        <v>3606.7499999999945</v>
      </c>
    </row>
    <row r="11" spans="1:43" x14ac:dyDescent="0.2">
      <c r="A11" s="4"/>
      <c r="D11" s="15">
        <f>SUM(D7:D10)</f>
        <v>10108730</v>
      </c>
      <c r="E11" s="6"/>
      <c r="F11" s="6"/>
      <c r="G11" s="15">
        <f t="shared" ref="G11:L11" si="0">SUM(G7:G10)</f>
        <v>511046</v>
      </c>
      <c r="H11" s="15">
        <f t="shared" si="0"/>
        <v>170837.86250000002</v>
      </c>
      <c r="I11" s="5">
        <f t="shared" si="0"/>
        <v>681883.86249999993</v>
      </c>
      <c r="J11" s="5">
        <f t="shared" si="0"/>
        <v>252420.90000000002</v>
      </c>
      <c r="K11" s="5">
        <f t="shared" si="0"/>
        <v>938131.76250000007</v>
      </c>
      <c r="L11" s="5">
        <f t="shared" si="0"/>
        <v>252718.25000000003</v>
      </c>
      <c r="M11" s="5">
        <f>SUM(K11:L11)</f>
        <v>1190850.0125000002</v>
      </c>
      <c r="N11" s="5">
        <f t="shared" ref="N11:AA11" si="1">SUM(N7:N10)</f>
        <v>252718.25000000003</v>
      </c>
      <c r="O11" s="5">
        <f t="shared" si="1"/>
        <v>1443568.2625</v>
      </c>
      <c r="P11" s="5">
        <f t="shared" si="1"/>
        <v>252718.25000000003</v>
      </c>
      <c r="Q11" s="5">
        <f t="shared" si="1"/>
        <v>1696286.5125</v>
      </c>
      <c r="R11" s="5">
        <f t="shared" si="1"/>
        <v>252718.25000000003</v>
      </c>
      <c r="S11" s="5">
        <f t="shared" si="1"/>
        <v>1949004.7625</v>
      </c>
      <c r="T11" s="5">
        <f t="shared" si="1"/>
        <v>252718.25000000003</v>
      </c>
      <c r="U11" s="5">
        <f t="shared" si="1"/>
        <v>2201723.0125000002</v>
      </c>
      <c r="V11" s="1">
        <f t="shared" si="1"/>
        <v>252718.25000000003</v>
      </c>
      <c r="W11" s="1">
        <f t="shared" si="1"/>
        <v>2454441.2625000002</v>
      </c>
      <c r="X11" s="1">
        <f t="shared" si="1"/>
        <v>252718.25000000003</v>
      </c>
      <c r="Y11" s="1">
        <f t="shared" si="1"/>
        <v>2707159.5125000002</v>
      </c>
      <c r="Z11" s="1">
        <f t="shared" si="1"/>
        <v>252718.25000000003</v>
      </c>
      <c r="AA11" s="1">
        <f t="shared" si="1"/>
        <v>2959877.7625000002</v>
      </c>
      <c r="AB11" s="1">
        <f>Z11</f>
        <v>252718.25000000003</v>
      </c>
      <c r="AC11" s="1">
        <f>AA11+AB11</f>
        <v>3212596.0125000002</v>
      </c>
      <c r="AD11" s="1">
        <f>AB11</f>
        <v>252718.25000000003</v>
      </c>
      <c r="AE11" s="1">
        <f>AC11+AD11</f>
        <v>3465314.2625000002</v>
      </c>
      <c r="AF11" s="1">
        <f>AD11</f>
        <v>252718.25000000003</v>
      </c>
      <c r="AG11" s="1">
        <f>AE11+AF11</f>
        <v>3718032.5125000002</v>
      </c>
      <c r="AH11" s="1">
        <f>AF11</f>
        <v>252718.25000000003</v>
      </c>
      <c r="AI11" s="1">
        <f>AG11+AH11</f>
        <v>3970750.7625000002</v>
      </c>
      <c r="AJ11" s="1">
        <f>SUM(AJ7:AJ10)</f>
        <v>252718.25000000003</v>
      </c>
      <c r="AK11" s="1">
        <f>AI11+AJ11</f>
        <v>4223469.0125000002</v>
      </c>
      <c r="AL11" s="5">
        <f>SUM(AL7:AL10)</f>
        <v>252718.25000000003</v>
      </c>
      <c r="AM11" s="5">
        <f>SUM(AM7:AM10)</f>
        <v>4476187.2625000011</v>
      </c>
      <c r="AN11" s="5">
        <f>SUM(AN7:AN10)</f>
        <v>252718.25000000003</v>
      </c>
      <c r="AO11" s="5">
        <f>SUM(AO7:AO10)</f>
        <v>4728905.5125000011</v>
      </c>
      <c r="AP11" s="5">
        <f>SUM(AP7:AP10)</f>
        <v>10108730</v>
      </c>
    </row>
    <row r="12" spans="1:43" x14ac:dyDescent="0.2">
      <c r="E12" s="3"/>
      <c r="F12" s="3"/>
    </row>
    <row r="13" spans="1:43" x14ac:dyDescent="0.2">
      <c r="A13" s="1">
        <v>352.1</v>
      </c>
      <c r="B13" s="4" t="s">
        <v>18</v>
      </c>
      <c r="E13" s="3"/>
      <c r="F13" s="3"/>
    </row>
    <row r="14" spans="1:43" x14ac:dyDescent="0.2">
      <c r="B14" s="2" t="s">
        <v>19</v>
      </c>
      <c r="C14" s="9">
        <v>38168</v>
      </c>
      <c r="D14" s="14">
        <v>771830</v>
      </c>
      <c r="E14" s="3" t="s">
        <v>14</v>
      </c>
      <c r="F14" s="3">
        <v>40</v>
      </c>
      <c r="H14" s="14">
        <f>SUM(D14/F14/2)</f>
        <v>9647.875</v>
      </c>
      <c r="I14" s="1">
        <f>SUM(G14:H14)</f>
        <v>9647.875</v>
      </c>
      <c r="J14" s="1">
        <f>SUM(D14/F14)</f>
        <v>19295.75</v>
      </c>
      <c r="K14" s="1">
        <f>SUM(I14:J14)</f>
        <v>28943.625</v>
      </c>
      <c r="L14" s="1">
        <f>SUM(D14/F14)</f>
        <v>19295.75</v>
      </c>
      <c r="M14" s="1">
        <f t="shared" ref="M14:M20" si="2">SUM(K14:L14)</f>
        <v>48239.375</v>
      </c>
      <c r="N14" s="1">
        <f t="shared" ref="N14:N20" si="3">SUM(D14/F14)</f>
        <v>19295.75</v>
      </c>
      <c r="O14" s="1">
        <f t="shared" ref="O14:O21" si="4">SUM(M14+N14)</f>
        <v>67535.125</v>
      </c>
      <c r="P14" s="1">
        <f t="shared" ref="P14:P21" si="5">SUM(D14/F14)</f>
        <v>19295.75</v>
      </c>
      <c r="Q14" s="1">
        <f t="shared" ref="Q14:Q21" si="6">SUM(O14+P14)</f>
        <v>86830.875</v>
      </c>
      <c r="R14" s="1">
        <f t="shared" ref="R14:R21" si="7">SUM(D14/F14)</f>
        <v>19295.75</v>
      </c>
      <c r="S14" s="1">
        <f t="shared" ref="S14:S25" si="8">SUM(Q14+R14)</f>
        <v>106126.625</v>
      </c>
      <c r="T14" s="1">
        <f t="shared" ref="T14:T23" si="9">R14</f>
        <v>19295.75</v>
      </c>
      <c r="U14" s="1">
        <f t="shared" ref="U14:U25" si="10">S14+T14</f>
        <v>125422.375</v>
      </c>
      <c r="V14" s="1">
        <f t="shared" ref="V14:V25" si="11">T14</f>
        <v>19295.75</v>
      </c>
      <c r="W14" s="1">
        <f t="shared" ref="W14:W27" si="12">U14+V14</f>
        <v>144718.125</v>
      </c>
      <c r="X14" s="1">
        <f t="shared" ref="X14:X25" si="13">V14</f>
        <v>19295.75</v>
      </c>
      <c r="Y14" s="1">
        <f t="shared" ref="Y14:Y27" si="14">W14+X14</f>
        <v>164013.875</v>
      </c>
      <c r="Z14" s="1">
        <f t="shared" ref="Z14:Z25" si="15">X14</f>
        <v>19295.75</v>
      </c>
      <c r="AA14" s="1">
        <f t="shared" ref="AA14:AA27" si="16">Y14+Z14</f>
        <v>183309.625</v>
      </c>
      <c r="AB14" s="1">
        <f t="shared" ref="AB14:AB35" si="17">Z14</f>
        <v>19295.75</v>
      </c>
      <c r="AC14" s="1">
        <f t="shared" ref="AC14:AC51" si="18">AA14+AB14</f>
        <v>202605.375</v>
      </c>
      <c r="AD14" s="1">
        <f t="shared" ref="AD14:AD35" si="19">AB14</f>
        <v>19295.75</v>
      </c>
      <c r="AE14" s="1">
        <f t="shared" ref="AE14:AE51" si="20">AC14+AD14</f>
        <v>221901.125</v>
      </c>
      <c r="AF14" s="1">
        <f t="shared" ref="AF14:AF27" si="21">AD14</f>
        <v>19295.75</v>
      </c>
      <c r="AG14" s="1">
        <f t="shared" ref="AG14:AG28" si="22">AE14+AF14</f>
        <v>241196.875</v>
      </c>
      <c r="AH14" s="1">
        <f t="shared" ref="AH14:AH27" si="23">AF14</f>
        <v>19295.75</v>
      </c>
      <c r="AI14" s="1">
        <f t="shared" ref="AI14:AI28" si="24">AG14+AH14</f>
        <v>260492.625</v>
      </c>
      <c r="AJ14" s="1">
        <f t="shared" ref="AJ14:AJ27" si="25">AH14</f>
        <v>19295.75</v>
      </c>
      <c r="AK14" s="1">
        <f t="shared" ref="AK14:AK28" si="26">AI14+AJ14</f>
        <v>279788.375</v>
      </c>
      <c r="AL14" s="1">
        <f t="shared" ref="AL14:AL27" si="27">AJ14</f>
        <v>19295.75</v>
      </c>
      <c r="AM14" s="1">
        <f t="shared" ref="AM14:AM28" si="28">AK14+AL14</f>
        <v>299084.125</v>
      </c>
      <c r="AN14" s="1">
        <f t="shared" ref="AN14:AN28" si="29">AL14</f>
        <v>19295.75</v>
      </c>
      <c r="AO14" s="1">
        <f t="shared" ref="AO14:AO28" si="30">SUM(AM14:AN14)</f>
        <v>318379.875</v>
      </c>
      <c r="AP14" s="1">
        <v>771830</v>
      </c>
      <c r="AQ14" s="1">
        <f t="shared" ref="AQ14:AQ28" si="31">AP14-AO14</f>
        <v>453450.125</v>
      </c>
    </row>
    <row r="15" spans="1:43" x14ac:dyDescent="0.2">
      <c r="B15" s="2" t="s">
        <v>20</v>
      </c>
      <c r="C15" s="9">
        <v>38168</v>
      </c>
      <c r="D15" s="14">
        <v>162000</v>
      </c>
      <c r="E15" s="3" t="s">
        <v>14</v>
      </c>
      <c r="F15" s="3">
        <v>40</v>
      </c>
      <c r="H15" s="14">
        <f>SUM(D15/F15/2)</f>
        <v>2025</v>
      </c>
      <c r="I15" s="1">
        <f>SUM(G15:H15)</f>
        <v>2025</v>
      </c>
      <c r="J15" s="1">
        <f>SUM(D15/F15)</f>
        <v>4050</v>
      </c>
      <c r="K15" s="1">
        <f>SUM(I15:J15)</f>
        <v>6075</v>
      </c>
      <c r="L15" s="1">
        <f>SUM(D15/F15)</f>
        <v>4050</v>
      </c>
      <c r="M15" s="1">
        <f t="shared" si="2"/>
        <v>10125</v>
      </c>
      <c r="N15" s="1">
        <f t="shared" si="3"/>
        <v>4050</v>
      </c>
      <c r="O15" s="1">
        <f t="shared" si="4"/>
        <v>14175</v>
      </c>
      <c r="P15" s="1">
        <f t="shared" si="5"/>
        <v>4050</v>
      </c>
      <c r="Q15" s="1">
        <f t="shared" si="6"/>
        <v>18225</v>
      </c>
      <c r="R15" s="1">
        <f t="shared" si="7"/>
        <v>4050</v>
      </c>
      <c r="S15" s="1">
        <f t="shared" si="8"/>
        <v>22275</v>
      </c>
      <c r="T15" s="1">
        <f t="shared" si="9"/>
        <v>4050</v>
      </c>
      <c r="U15" s="1">
        <f t="shared" si="10"/>
        <v>26325</v>
      </c>
      <c r="V15" s="1">
        <f t="shared" si="11"/>
        <v>4050</v>
      </c>
      <c r="W15" s="1">
        <f t="shared" si="12"/>
        <v>30375</v>
      </c>
      <c r="X15" s="1">
        <f t="shared" si="13"/>
        <v>4050</v>
      </c>
      <c r="Y15" s="1">
        <f t="shared" si="14"/>
        <v>34425</v>
      </c>
      <c r="Z15" s="1">
        <f t="shared" si="15"/>
        <v>4050</v>
      </c>
      <c r="AA15" s="1">
        <f t="shared" si="16"/>
        <v>38475</v>
      </c>
      <c r="AB15" s="1">
        <f t="shared" si="17"/>
        <v>4050</v>
      </c>
      <c r="AC15" s="1">
        <f t="shared" si="18"/>
        <v>42525</v>
      </c>
      <c r="AD15" s="1">
        <f t="shared" si="19"/>
        <v>4050</v>
      </c>
      <c r="AE15" s="1">
        <f t="shared" si="20"/>
        <v>46575</v>
      </c>
      <c r="AF15" s="1">
        <f t="shared" si="21"/>
        <v>4050</v>
      </c>
      <c r="AG15" s="1">
        <f t="shared" si="22"/>
        <v>50625</v>
      </c>
      <c r="AH15" s="1">
        <f t="shared" si="23"/>
        <v>4050</v>
      </c>
      <c r="AI15" s="1">
        <f t="shared" si="24"/>
        <v>54675</v>
      </c>
      <c r="AJ15" s="1">
        <f t="shared" si="25"/>
        <v>4050</v>
      </c>
      <c r="AK15" s="1">
        <f t="shared" si="26"/>
        <v>58725</v>
      </c>
      <c r="AL15" s="1">
        <f t="shared" si="27"/>
        <v>4050</v>
      </c>
      <c r="AM15" s="1">
        <f t="shared" si="28"/>
        <v>62775</v>
      </c>
      <c r="AN15" s="1">
        <f t="shared" si="29"/>
        <v>4050</v>
      </c>
      <c r="AO15" s="1">
        <f t="shared" si="30"/>
        <v>66825</v>
      </c>
      <c r="AP15" s="1">
        <v>162000</v>
      </c>
      <c r="AQ15" s="1">
        <f t="shared" si="31"/>
        <v>95175</v>
      </c>
    </row>
    <row r="16" spans="1:43" x14ac:dyDescent="0.2">
      <c r="B16" s="2" t="s">
        <v>21</v>
      </c>
      <c r="C16" s="9">
        <v>38533</v>
      </c>
      <c r="D16" s="14">
        <v>61003</v>
      </c>
      <c r="E16" s="3" t="s">
        <v>14</v>
      </c>
      <c r="F16" s="3">
        <v>40</v>
      </c>
      <c r="J16" s="1">
        <v>763</v>
      </c>
      <c r="K16" s="1">
        <v>763</v>
      </c>
      <c r="L16" s="1">
        <f>SUM(D16/F16)</f>
        <v>1525.075</v>
      </c>
      <c r="M16" s="1">
        <f t="shared" si="2"/>
        <v>2288.0749999999998</v>
      </c>
      <c r="N16" s="1">
        <f t="shared" si="3"/>
        <v>1525.075</v>
      </c>
      <c r="O16" s="1">
        <f t="shared" si="4"/>
        <v>3813.1499999999996</v>
      </c>
      <c r="P16" s="1">
        <f t="shared" si="5"/>
        <v>1525.075</v>
      </c>
      <c r="Q16" s="1">
        <f t="shared" si="6"/>
        <v>5338.2249999999995</v>
      </c>
      <c r="R16" s="1">
        <f t="shared" si="7"/>
        <v>1525.075</v>
      </c>
      <c r="S16" s="1">
        <f t="shared" si="8"/>
        <v>6863.2999999999993</v>
      </c>
      <c r="T16" s="1">
        <f t="shared" si="9"/>
        <v>1525.075</v>
      </c>
      <c r="U16" s="1">
        <f t="shared" si="10"/>
        <v>8388.375</v>
      </c>
      <c r="V16" s="1">
        <f t="shared" si="11"/>
        <v>1525.075</v>
      </c>
      <c r="W16" s="1">
        <f t="shared" si="12"/>
        <v>9913.4500000000007</v>
      </c>
      <c r="X16" s="1">
        <f t="shared" si="13"/>
        <v>1525.075</v>
      </c>
      <c r="Y16" s="1">
        <f t="shared" si="14"/>
        <v>11438.525000000001</v>
      </c>
      <c r="Z16" s="1">
        <f t="shared" si="15"/>
        <v>1525.075</v>
      </c>
      <c r="AA16" s="1">
        <f t="shared" si="16"/>
        <v>12963.600000000002</v>
      </c>
      <c r="AB16" s="1">
        <f t="shared" si="17"/>
        <v>1525.075</v>
      </c>
      <c r="AC16" s="1">
        <f t="shared" si="18"/>
        <v>14488.675000000003</v>
      </c>
      <c r="AD16" s="1">
        <f t="shared" si="19"/>
        <v>1525.075</v>
      </c>
      <c r="AE16" s="1">
        <f t="shared" si="20"/>
        <v>16013.750000000004</v>
      </c>
      <c r="AF16" s="1">
        <f t="shared" si="21"/>
        <v>1525.075</v>
      </c>
      <c r="AG16" s="1">
        <f t="shared" si="22"/>
        <v>17538.825000000004</v>
      </c>
      <c r="AH16" s="1">
        <f t="shared" si="23"/>
        <v>1525.075</v>
      </c>
      <c r="AI16" s="1">
        <f t="shared" si="24"/>
        <v>19063.900000000005</v>
      </c>
      <c r="AJ16" s="1">
        <f t="shared" si="25"/>
        <v>1525.075</v>
      </c>
      <c r="AK16" s="1">
        <f t="shared" si="26"/>
        <v>20588.975000000006</v>
      </c>
      <c r="AL16" s="1">
        <f t="shared" si="27"/>
        <v>1525.075</v>
      </c>
      <c r="AM16" s="1">
        <f t="shared" si="28"/>
        <v>22114.050000000007</v>
      </c>
      <c r="AN16" s="1">
        <f t="shared" si="29"/>
        <v>1525.075</v>
      </c>
      <c r="AO16" s="1">
        <f t="shared" si="30"/>
        <v>23639.125000000007</v>
      </c>
      <c r="AP16" s="1">
        <v>61003</v>
      </c>
      <c r="AQ16" s="1">
        <f t="shared" si="31"/>
        <v>37363.874999999993</v>
      </c>
    </row>
    <row r="17" spans="1:43" x14ac:dyDescent="0.2">
      <c r="B17" s="4" t="s">
        <v>22</v>
      </c>
      <c r="C17" s="9">
        <v>38898</v>
      </c>
      <c r="D17" s="14">
        <f>483349+10838.87</f>
        <v>494187.87</v>
      </c>
      <c r="E17" s="3" t="s">
        <v>14</v>
      </c>
      <c r="F17" s="3">
        <v>40</v>
      </c>
      <c r="L17" s="1">
        <f>SUM(D17/F17)/2</f>
        <v>6177.3483749999996</v>
      </c>
      <c r="M17" s="1">
        <f t="shared" si="2"/>
        <v>6177.3483749999996</v>
      </c>
      <c r="N17" s="1">
        <f t="shared" si="3"/>
        <v>12354.696749999999</v>
      </c>
      <c r="O17" s="1">
        <f t="shared" si="4"/>
        <v>18532.045124999997</v>
      </c>
      <c r="P17" s="1">
        <f t="shared" si="5"/>
        <v>12354.696749999999</v>
      </c>
      <c r="Q17" s="1">
        <f t="shared" si="6"/>
        <v>30886.741874999996</v>
      </c>
      <c r="R17" s="1">
        <f t="shared" si="7"/>
        <v>12354.696749999999</v>
      </c>
      <c r="S17" s="1">
        <f t="shared" si="8"/>
        <v>43241.438624999995</v>
      </c>
      <c r="T17" s="1">
        <f t="shared" si="9"/>
        <v>12354.696749999999</v>
      </c>
      <c r="U17" s="1">
        <f t="shared" si="10"/>
        <v>55596.135374999998</v>
      </c>
      <c r="V17" s="1">
        <f t="shared" si="11"/>
        <v>12354.696749999999</v>
      </c>
      <c r="W17" s="1">
        <f t="shared" si="12"/>
        <v>67950.832125000001</v>
      </c>
      <c r="X17" s="1">
        <f t="shared" si="13"/>
        <v>12354.696749999999</v>
      </c>
      <c r="Y17" s="1">
        <f t="shared" si="14"/>
        <v>80305.528875000004</v>
      </c>
      <c r="Z17" s="1">
        <f t="shared" si="15"/>
        <v>12354.696749999999</v>
      </c>
      <c r="AA17" s="1">
        <f t="shared" si="16"/>
        <v>92660.225625000006</v>
      </c>
      <c r="AB17" s="1">
        <f t="shared" si="17"/>
        <v>12354.696749999999</v>
      </c>
      <c r="AC17" s="1">
        <f t="shared" si="18"/>
        <v>105014.92237500001</v>
      </c>
      <c r="AD17" s="1">
        <f t="shared" si="19"/>
        <v>12354.696749999999</v>
      </c>
      <c r="AE17" s="1">
        <f t="shared" si="20"/>
        <v>117369.61912500001</v>
      </c>
      <c r="AF17" s="1">
        <f t="shared" si="21"/>
        <v>12354.696749999999</v>
      </c>
      <c r="AG17" s="1">
        <f t="shared" si="22"/>
        <v>129724.31587500001</v>
      </c>
      <c r="AH17" s="1">
        <f t="shared" si="23"/>
        <v>12354.696749999999</v>
      </c>
      <c r="AI17" s="1">
        <f t="shared" si="24"/>
        <v>142079.012625</v>
      </c>
      <c r="AJ17" s="1">
        <f t="shared" si="25"/>
        <v>12354.696749999999</v>
      </c>
      <c r="AK17" s="1">
        <f t="shared" si="26"/>
        <v>154433.70937500001</v>
      </c>
      <c r="AL17" s="1">
        <f t="shared" si="27"/>
        <v>12354.696749999999</v>
      </c>
      <c r="AM17" s="1">
        <f t="shared" si="28"/>
        <v>166788.40612500001</v>
      </c>
      <c r="AN17" s="1">
        <f t="shared" si="29"/>
        <v>12354.696749999999</v>
      </c>
      <c r="AO17" s="1">
        <f t="shared" si="30"/>
        <v>179143.10287500001</v>
      </c>
      <c r="AP17" s="1">
        <f>483349+10838.87</f>
        <v>494187.87</v>
      </c>
      <c r="AQ17" s="1">
        <f t="shared" si="31"/>
        <v>315044.76712500001</v>
      </c>
    </row>
    <row r="18" spans="1:43" x14ac:dyDescent="0.2">
      <c r="B18" s="2" t="s">
        <v>23</v>
      </c>
      <c r="C18" s="9">
        <v>38898</v>
      </c>
      <c r="D18" s="14">
        <v>544370</v>
      </c>
      <c r="E18" s="3" t="s">
        <v>14</v>
      </c>
      <c r="F18" s="3">
        <v>40</v>
      </c>
      <c r="L18" s="1">
        <f>SUM(D18/F18)/2</f>
        <v>6804.625</v>
      </c>
      <c r="M18" s="1">
        <f t="shared" si="2"/>
        <v>6804.625</v>
      </c>
      <c r="N18" s="1">
        <f t="shared" si="3"/>
        <v>13609.25</v>
      </c>
      <c r="O18" s="1">
        <f t="shared" si="4"/>
        <v>20413.875</v>
      </c>
      <c r="P18" s="1">
        <f t="shared" si="5"/>
        <v>13609.25</v>
      </c>
      <c r="Q18" s="1">
        <f t="shared" si="6"/>
        <v>34023.125</v>
      </c>
      <c r="R18" s="1">
        <f t="shared" si="7"/>
        <v>13609.25</v>
      </c>
      <c r="S18" s="1">
        <f t="shared" si="8"/>
        <v>47632.375</v>
      </c>
      <c r="T18" s="1">
        <f t="shared" si="9"/>
        <v>13609.25</v>
      </c>
      <c r="U18" s="1">
        <f t="shared" si="10"/>
        <v>61241.625</v>
      </c>
      <c r="V18" s="1">
        <f t="shared" si="11"/>
        <v>13609.25</v>
      </c>
      <c r="W18" s="1">
        <f t="shared" si="12"/>
        <v>74850.875</v>
      </c>
      <c r="X18" s="1">
        <f t="shared" si="13"/>
        <v>13609.25</v>
      </c>
      <c r="Y18" s="1">
        <f t="shared" si="14"/>
        <v>88460.125</v>
      </c>
      <c r="Z18" s="1">
        <f t="shared" si="15"/>
        <v>13609.25</v>
      </c>
      <c r="AA18" s="1">
        <f t="shared" si="16"/>
        <v>102069.375</v>
      </c>
      <c r="AB18" s="1">
        <f t="shared" si="17"/>
        <v>13609.25</v>
      </c>
      <c r="AC18" s="1">
        <f t="shared" si="18"/>
        <v>115678.625</v>
      </c>
      <c r="AD18" s="1">
        <f t="shared" si="19"/>
        <v>13609.25</v>
      </c>
      <c r="AE18" s="1">
        <f t="shared" si="20"/>
        <v>129287.875</v>
      </c>
      <c r="AF18" s="1">
        <f t="shared" si="21"/>
        <v>13609.25</v>
      </c>
      <c r="AG18" s="1">
        <f t="shared" si="22"/>
        <v>142897.125</v>
      </c>
      <c r="AH18" s="1">
        <f t="shared" si="23"/>
        <v>13609.25</v>
      </c>
      <c r="AI18" s="1">
        <f t="shared" si="24"/>
        <v>156506.375</v>
      </c>
      <c r="AJ18" s="1">
        <f t="shared" si="25"/>
        <v>13609.25</v>
      </c>
      <c r="AK18" s="1">
        <f t="shared" si="26"/>
        <v>170115.625</v>
      </c>
      <c r="AL18" s="1">
        <f t="shared" si="27"/>
        <v>13609.25</v>
      </c>
      <c r="AM18" s="1">
        <f t="shared" si="28"/>
        <v>183724.875</v>
      </c>
      <c r="AN18" s="1">
        <f t="shared" si="29"/>
        <v>13609.25</v>
      </c>
      <c r="AO18" s="1">
        <f t="shared" si="30"/>
        <v>197334.125</v>
      </c>
      <c r="AP18" s="1">
        <v>544370</v>
      </c>
      <c r="AQ18" s="1">
        <f t="shared" si="31"/>
        <v>347035.875</v>
      </c>
    </row>
    <row r="19" spans="1:43" x14ac:dyDescent="0.2">
      <c r="B19" s="2" t="s">
        <v>24</v>
      </c>
      <c r="C19" s="9">
        <v>38898</v>
      </c>
      <c r="D19" s="14">
        <v>893400</v>
      </c>
      <c r="E19" s="3" t="s">
        <v>14</v>
      </c>
      <c r="F19" s="3">
        <v>40</v>
      </c>
      <c r="L19" s="1">
        <f>SUM(D19/F19)/2</f>
        <v>11167.5</v>
      </c>
      <c r="M19" s="1">
        <f t="shared" si="2"/>
        <v>11167.5</v>
      </c>
      <c r="N19" s="1">
        <f t="shared" si="3"/>
        <v>22335</v>
      </c>
      <c r="O19" s="1">
        <f t="shared" si="4"/>
        <v>33502.5</v>
      </c>
      <c r="P19" s="1">
        <f t="shared" si="5"/>
        <v>22335</v>
      </c>
      <c r="Q19" s="1">
        <f t="shared" si="6"/>
        <v>55837.5</v>
      </c>
      <c r="R19" s="1">
        <f t="shared" si="7"/>
        <v>22335</v>
      </c>
      <c r="S19" s="1">
        <f t="shared" si="8"/>
        <v>78172.5</v>
      </c>
      <c r="T19" s="1">
        <f t="shared" si="9"/>
        <v>22335</v>
      </c>
      <c r="U19" s="1">
        <f t="shared" si="10"/>
        <v>100507.5</v>
      </c>
      <c r="V19" s="1">
        <f t="shared" si="11"/>
        <v>22335</v>
      </c>
      <c r="W19" s="1">
        <f t="shared" si="12"/>
        <v>122842.5</v>
      </c>
      <c r="X19" s="1">
        <f t="shared" si="13"/>
        <v>22335</v>
      </c>
      <c r="Y19" s="1">
        <f t="shared" si="14"/>
        <v>145177.5</v>
      </c>
      <c r="Z19" s="1">
        <f t="shared" si="15"/>
        <v>22335</v>
      </c>
      <c r="AA19" s="1">
        <f t="shared" si="16"/>
        <v>167512.5</v>
      </c>
      <c r="AB19" s="1">
        <f t="shared" si="17"/>
        <v>22335</v>
      </c>
      <c r="AC19" s="1">
        <f t="shared" si="18"/>
        <v>189847.5</v>
      </c>
      <c r="AD19" s="1">
        <f t="shared" si="19"/>
        <v>22335</v>
      </c>
      <c r="AE19" s="1">
        <f t="shared" si="20"/>
        <v>212182.5</v>
      </c>
      <c r="AF19" s="1">
        <f t="shared" si="21"/>
        <v>22335</v>
      </c>
      <c r="AG19" s="1">
        <f t="shared" si="22"/>
        <v>234517.5</v>
      </c>
      <c r="AH19" s="1">
        <f t="shared" si="23"/>
        <v>22335</v>
      </c>
      <c r="AI19" s="1">
        <f t="shared" si="24"/>
        <v>256852.5</v>
      </c>
      <c r="AJ19" s="1">
        <f t="shared" si="25"/>
        <v>22335</v>
      </c>
      <c r="AK19" s="1">
        <f t="shared" si="26"/>
        <v>279187.5</v>
      </c>
      <c r="AL19" s="1">
        <f t="shared" si="27"/>
        <v>22335</v>
      </c>
      <c r="AM19" s="1">
        <f t="shared" si="28"/>
        <v>301522.5</v>
      </c>
      <c r="AN19" s="1">
        <f t="shared" si="29"/>
        <v>22335</v>
      </c>
      <c r="AO19" s="1">
        <f t="shared" si="30"/>
        <v>323857.5</v>
      </c>
      <c r="AP19" s="1">
        <v>893400</v>
      </c>
      <c r="AQ19" s="1">
        <f t="shared" si="31"/>
        <v>569542.5</v>
      </c>
    </row>
    <row r="20" spans="1:43" x14ac:dyDescent="0.2">
      <c r="B20" s="2" t="s">
        <v>25</v>
      </c>
      <c r="C20" s="9">
        <v>38898</v>
      </c>
      <c r="D20" s="14">
        <v>675562</v>
      </c>
      <c r="E20" s="3" t="s">
        <v>14</v>
      </c>
      <c r="F20" s="3">
        <v>40</v>
      </c>
      <c r="L20" s="1">
        <f>SUM(D20/F20)/2</f>
        <v>8444.5249999999996</v>
      </c>
      <c r="M20" s="1">
        <f t="shared" si="2"/>
        <v>8444.5249999999996</v>
      </c>
      <c r="N20" s="1">
        <f t="shared" si="3"/>
        <v>16889.05</v>
      </c>
      <c r="O20" s="1">
        <f t="shared" si="4"/>
        <v>25333.574999999997</v>
      </c>
      <c r="P20" s="1">
        <f t="shared" si="5"/>
        <v>16889.05</v>
      </c>
      <c r="Q20" s="1">
        <f t="shared" si="6"/>
        <v>42222.625</v>
      </c>
      <c r="R20" s="1">
        <f t="shared" si="7"/>
        <v>16889.05</v>
      </c>
      <c r="S20" s="1">
        <f t="shared" si="8"/>
        <v>59111.675000000003</v>
      </c>
      <c r="T20" s="1">
        <f t="shared" si="9"/>
        <v>16889.05</v>
      </c>
      <c r="U20" s="1">
        <f t="shared" si="10"/>
        <v>76000.725000000006</v>
      </c>
      <c r="V20" s="1">
        <f t="shared" si="11"/>
        <v>16889.05</v>
      </c>
      <c r="W20" s="1">
        <f t="shared" si="12"/>
        <v>92889.775000000009</v>
      </c>
      <c r="X20" s="1">
        <f t="shared" si="13"/>
        <v>16889.05</v>
      </c>
      <c r="Y20" s="1">
        <f t="shared" si="14"/>
        <v>109778.82500000001</v>
      </c>
      <c r="Z20" s="1">
        <f t="shared" si="15"/>
        <v>16889.05</v>
      </c>
      <c r="AA20" s="1">
        <f t="shared" si="16"/>
        <v>126667.87500000001</v>
      </c>
      <c r="AB20" s="1">
        <f t="shared" si="17"/>
        <v>16889.05</v>
      </c>
      <c r="AC20" s="1">
        <f t="shared" si="18"/>
        <v>143556.92500000002</v>
      </c>
      <c r="AD20" s="1">
        <f t="shared" si="19"/>
        <v>16889.05</v>
      </c>
      <c r="AE20" s="1">
        <f t="shared" si="20"/>
        <v>160445.97500000001</v>
      </c>
      <c r="AF20" s="1">
        <f t="shared" si="21"/>
        <v>16889.05</v>
      </c>
      <c r="AG20" s="1">
        <f t="shared" si="22"/>
        <v>177335.02499999999</v>
      </c>
      <c r="AH20" s="1">
        <f t="shared" si="23"/>
        <v>16889.05</v>
      </c>
      <c r="AI20" s="1">
        <f t="shared" si="24"/>
        <v>194224.07499999998</v>
      </c>
      <c r="AJ20" s="1">
        <f t="shared" si="25"/>
        <v>16889.05</v>
      </c>
      <c r="AK20" s="1">
        <f t="shared" si="26"/>
        <v>211113.12499999997</v>
      </c>
      <c r="AL20" s="1">
        <f t="shared" si="27"/>
        <v>16889.05</v>
      </c>
      <c r="AM20" s="1">
        <f t="shared" si="28"/>
        <v>228002.17499999996</v>
      </c>
      <c r="AN20" s="1">
        <f t="shared" si="29"/>
        <v>16889.05</v>
      </c>
      <c r="AO20" s="1">
        <f t="shared" si="30"/>
        <v>244891.22499999995</v>
      </c>
      <c r="AP20" s="1">
        <v>675562</v>
      </c>
      <c r="AQ20" s="1">
        <f t="shared" si="31"/>
        <v>430670.77500000002</v>
      </c>
    </row>
    <row r="21" spans="1:43" x14ac:dyDescent="0.2">
      <c r="B21" s="4" t="s">
        <v>26</v>
      </c>
      <c r="C21" s="9">
        <v>39263</v>
      </c>
      <c r="D21" s="14">
        <v>5821</v>
      </c>
      <c r="E21" s="3" t="s">
        <v>14</v>
      </c>
      <c r="F21" s="3">
        <v>40</v>
      </c>
      <c r="N21" s="1">
        <f>SUM(D21/F21)/2</f>
        <v>72.762500000000003</v>
      </c>
      <c r="O21" s="1">
        <f t="shared" si="4"/>
        <v>72.762500000000003</v>
      </c>
      <c r="P21" s="1">
        <f t="shared" si="5"/>
        <v>145.52500000000001</v>
      </c>
      <c r="Q21" s="1">
        <f t="shared" si="6"/>
        <v>218.28750000000002</v>
      </c>
      <c r="R21" s="1">
        <f t="shared" si="7"/>
        <v>145.52500000000001</v>
      </c>
      <c r="S21" s="1">
        <f t="shared" si="8"/>
        <v>363.8125</v>
      </c>
      <c r="T21" s="1">
        <f t="shared" si="9"/>
        <v>145.52500000000001</v>
      </c>
      <c r="U21" s="1">
        <f t="shared" si="10"/>
        <v>509.33749999999998</v>
      </c>
      <c r="V21" s="1">
        <f t="shared" si="11"/>
        <v>145.52500000000001</v>
      </c>
      <c r="W21" s="1">
        <f t="shared" si="12"/>
        <v>654.86249999999995</v>
      </c>
      <c r="X21" s="1">
        <f t="shared" si="13"/>
        <v>145.52500000000001</v>
      </c>
      <c r="Y21" s="1">
        <f t="shared" si="14"/>
        <v>800.38749999999993</v>
      </c>
      <c r="Z21" s="1">
        <f t="shared" si="15"/>
        <v>145.52500000000001</v>
      </c>
      <c r="AA21" s="1">
        <f t="shared" si="16"/>
        <v>945.91249999999991</v>
      </c>
      <c r="AB21" s="1">
        <f t="shared" si="17"/>
        <v>145.52500000000001</v>
      </c>
      <c r="AC21" s="1">
        <f t="shared" si="18"/>
        <v>1091.4375</v>
      </c>
      <c r="AD21" s="1">
        <f t="shared" si="19"/>
        <v>145.52500000000001</v>
      </c>
      <c r="AE21" s="1">
        <f t="shared" si="20"/>
        <v>1236.9625000000001</v>
      </c>
      <c r="AF21" s="1">
        <f t="shared" si="21"/>
        <v>145.52500000000001</v>
      </c>
      <c r="AG21" s="1">
        <f t="shared" si="22"/>
        <v>1382.4875000000002</v>
      </c>
      <c r="AH21" s="1">
        <f t="shared" si="23"/>
        <v>145.52500000000001</v>
      </c>
      <c r="AI21" s="1">
        <f t="shared" si="24"/>
        <v>1528.0125000000003</v>
      </c>
      <c r="AJ21" s="1">
        <f t="shared" si="25"/>
        <v>145.52500000000001</v>
      </c>
      <c r="AK21" s="1">
        <f t="shared" si="26"/>
        <v>1673.5375000000004</v>
      </c>
      <c r="AL21" s="1">
        <f t="shared" si="27"/>
        <v>145.52500000000001</v>
      </c>
      <c r="AM21" s="1">
        <f t="shared" si="28"/>
        <v>1819.0625000000005</v>
      </c>
      <c r="AN21" s="1">
        <f t="shared" si="29"/>
        <v>145.52500000000001</v>
      </c>
      <c r="AO21" s="1">
        <f t="shared" si="30"/>
        <v>1964.5875000000005</v>
      </c>
      <c r="AP21" s="1">
        <v>5821</v>
      </c>
      <c r="AQ21" s="1">
        <f t="shared" si="31"/>
        <v>3856.4124999999995</v>
      </c>
    </row>
    <row r="22" spans="1:43" x14ac:dyDescent="0.2">
      <c r="B22" s="4" t="s">
        <v>27</v>
      </c>
      <c r="C22" s="9">
        <v>39629</v>
      </c>
      <c r="D22" s="14">
        <v>816866</v>
      </c>
      <c r="E22" s="3" t="s">
        <v>14</v>
      </c>
      <c r="F22" s="3">
        <v>40</v>
      </c>
      <c r="P22" s="1">
        <v>10211</v>
      </c>
      <c r="Q22" s="1">
        <v>10211</v>
      </c>
      <c r="R22" s="1">
        <f>SUM(D22/40)</f>
        <v>20421.650000000001</v>
      </c>
      <c r="S22" s="1">
        <f t="shared" si="8"/>
        <v>30632.65</v>
      </c>
      <c r="T22" s="1">
        <f t="shared" si="9"/>
        <v>20421.650000000001</v>
      </c>
      <c r="U22" s="1">
        <f t="shared" si="10"/>
        <v>51054.3</v>
      </c>
      <c r="V22" s="1">
        <f t="shared" si="11"/>
        <v>20421.650000000001</v>
      </c>
      <c r="W22" s="1">
        <f t="shared" si="12"/>
        <v>71475.950000000012</v>
      </c>
      <c r="X22" s="1">
        <f t="shared" si="13"/>
        <v>20421.650000000001</v>
      </c>
      <c r="Y22" s="1">
        <f t="shared" si="14"/>
        <v>91897.600000000006</v>
      </c>
      <c r="Z22" s="1">
        <f t="shared" si="15"/>
        <v>20421.650000000001</v>
      </c>
      <c r="AA22" s="1">
        <f t="shared" si="16"/>
        <v>112319.25</v>
      </c>
      <c r="AB22" s="1">
        <f t="shared" si="17"/>
        <v>20421.650000000001</v>
      </c>
      <c r="AC22" s="1">
        <f t="shared" si="18"/>
        <v>132740.9</v>
      </c>
      <c r="AD22" s="1">
        <f t="shared" si="19"/>
        <v>20421.650000000001</v>
      </c>
      <c r="AE22" s="1">
        <f t="shared" si="20"/>
        <v>153162.54999999999</v>
      </c>
      <c r="AF22" s="1">
        <f t="shared" si="21"/>
        <v>20421.650000000001</v>
      </c>
      <c r="AG22" s="1">
        <f t="shared" si="22"/>
        <v>173584.19999999998</v>
      </c>
      <c r="AH22" s="1">
        <f t="shared" si="23"/>
        <v>20421.650000000001</v>
      </c>
      <c r="AI22" s="1">
        <f t="shared" si="24"/>
        <v>194005.84999999998</v>
      </c>
      <c r="AJ22" s="1">
        <f t="shared" si="25"/>
        <v>20421.650000000001</v>
      </c>
      <c r="AK22" s="1">
        <f t="shared" si="26"/>
        <v>214427.49999999997</v>
      </c>
      <c r="AL22" s="1">
        <f t="shared" si="27"/>
        <v>20421.650000000001</v>
      </c>
      <c r="AM22" s="1">
        <f t="shared" si="28"/>
        <v>234849.14999999997</v>
      </c>
      <c r="AN22" s="1">
        <f t="shared" si="29"/>
        <v>20421.650000000001</v>
      </c>
      <c r="AO22" s="1">
        <f t="shared" si="30"/>
        <v>255270.79999999996</v>
      </c>
      <c r="AP22" s="1">
        <v>816866</v>
      </c>
      <c r="AQ22" s="1">
        <f t="shared" si="31"/>
        <v>561595.20000000007</v>
      </c>
    </row>
    <row r="23" spans="1:43" x14ac:dyDescent="0.2">
      <c r="B23" s="4" t="s">
        <v>28</v>
      </c>
      <c r="C23" s="9">
        <v>39629</v>
      </c>
      <c r="D23" s="14">
        <v>1054000</v>
      </c>
      <c r="E23" s="3" t="s">
        <v>14</v>
      </c>
      <c r="F23" s="3">
        <v>40</v>
      </c>
      <c r="P23" s="1">
        <v>13175</v>
      </c>
      <c r="Q23" s="1">
        <v>13175</v>
      </c>
      <c r="R23" s="1">
        <f>SUM(D23/40)</f>
        <v>26350</v>
      </c>
      <c r="S23" s="1">
        <f t="shared" si="8"/>
        <v>39525</v>
      </c>
      <c r="T23" s="1">
        <f t="shared" si="9"/>
        <v>26350</v>
      </c>
      <c r="U23" s="1">
        <f t="shared" si="10"/>
        <v>65875</v>
      </c>
      <c r="V23" s="1">
        <f t="shared" si="11"/>
        <v>26350</v>
      </c>
      <c r="W23" s="1">
        <f t="shared" si="12"/>
        <v>92225</v>
      </c>
      <c r="X23" s="1">
        <f t="shared" si="13"/>
        <v>26350</v>
      </c>
      <c r="Y23" s="1">
        <f t="shared" si="14"/>
        <v>118575</v>
      </c>
      <c r="Z23" s="1">
        <f t="shared" si="15"/>
        <v>26350</v>
      </c>
      <c r="AA23" s="1">
        <f t="shared" si="16"/>
        <v>144925</v>
      </c>
      <c r="AB23" s="1">
        <f t="shared" si="17"/>
        <v>26350</v>
      </c>
      <c r="AC23" s="1">
        <f t="shared" si="18"/>
        <v>171275</v>
      </c>
      <c r="AD23" s="1">
        <f t="shared" si="19"/>
        <v>26350</v>
      </c>
      <c r="AE23" s="1">
        <f t="shared" si="20"/>
        <v>197625</v>
      </c>
      <c r="AF23" s="1">
        <f t="shared" si="21"/>
        <v>26350</v>
      </c>
      <c r="AG23" s="1">
        <f t="shared" si="22"/>
        <v>223975</v>
      </c>
      <c r="AH23" s="1">
        <f t="shared" si="23"/>
        <v>26350</v>
      </c>
      <c r="AI23" s="1">
        <f t="shared" si="24"/>
        <v>250325</v>
      </c>
      <c r="AJ23" s="1">
        <f t="shared" si="25"/>
        <v>26350</v>
      </c>
      <c r="AK23" s="1">
        <f t="shared" si="26"/>
        <v>276675</v>
      </c>
      <c r="AL23" s="1">
        <f t="shared" si="27"/>
        <v>26350</v>
      </c>
      <c r="AM23" s="1">
        <f t="shared" si="28"/>
        <v>303025</v>
      </c>
      <c r="AN23" s="1">
        <f t="shared" si="29"/>
        <v>26350</v>
      </c>
      <c r="AO23" s="1">
        <f t="shared" si="30"/>
        <v>329375</v>
      </c>
      <c r="AP23" s="1">
        <v>1054000</v>
      </c>
      <c r="AQ23" s="1">
        <f t="shared" si="31"/>
        <v>724625</v>
      </c>
    </row>
    <row r="24" spans="1:43" x14ac:dyDescent="0.2">
      <c r="B24" s="4" t="s">
        <v>29</v>
      </c>
      <c r="C24" s="9">
        <v>39845</v>
      </c>
      <c r="D24" s="14">
        <v>263397</v>
      </c>
      <c r="E24" s="3" t="s">
        <v>14</v>
      </c>
      <c r="F24" s="3">
        <v>40</v>
      </c>
      <c r="R24" s="1">
        <f>SUM(D24/40/12*11)</f>
        <v>6036.1812499999996</v>
      </c>
      <c r="S24" s="1">
        <f t="shared" si="8"/>
        <v>6036.1812499999996</v>
      </c>
      <c r="T24" s="1">
        <f>SUM(D24/40)</f>
        <v>6584.9250000000002</v>
      </c>
      <c r="U24" s="1">
        <f t="shared" si="10"/>
        <v>12621.106250000001</v>
      </c>
      <c r="V24" s="1">
        <f t="shared" si="11"/>
        <v>6584.9250000000002</v>
      </c>
      <c r="W24" s="1">
        <f t="shared" si="12"/>
        <v>19206.03125</v>
      </c>
      <c r="X24" s="1">
        <f t="shared" si="13"/>
        <v>6584.9250000000002</v>
      </c>
      <c r="Y24" s="1">
        <f t="shared" si="14"/>
        <v>25790.956249999999</v>
      </c>
      <c r="Z24" s="1">
        <f t="shared" si="15"/>
        <v>6584.9250000000002</v>
      </c>
      <c r="AA24" s="1">
        <f t="shared" si="16"/>
        <v>32375.881249999999</v>
      </c>
      <c r="AB24" s="1">
        <f t="shared" si="17"/>
        <v>6584.9250000000002</v>
      </c>
      <c r="AC24" s="1">
        <f t="shared" si="18"/>
        <v>38960.806250000001</v>
      </c>
      <c r="AD24" s="1">
        <f t="shared" si="19"/>
        <v>6584.9250000000002</v>
      </c>
      <c r="AE24" s="1">
        <f t="shared" si="20"/>
        <v>45545.731250000004</v>
      </c>
      <c r="AF24" s="1">
        <f t="shared" si="21"/>
        <v>6584.9250000000002</v>
      </c>
      <c r="AG24" s="1">
        <f t="shared" si="22"/>
        <v>52130.656250000007</v>
      </c>
      <c r="AH24" s="1">
        <f t="shared" si="23"/>
        <v>6584.9250000000002</v>
      </c>
      <c r="AI24" s="1">
        <f t="shared" si="24"/>
        <v>58715.58125000001</v>
      </c>
      <c r="AJ24" s="1">
        <f t="shared" si="25"/>
        <v>6584.9250000000002</v>
      </c>
      <c r="AK24" s="1">
        <f t="shared" si="26"/>
        <v>65300.506250000013</v>
      </c>
      <c r="AL24" s="1">
        <f t="shared" si="27"/>
        <v>6584.9250000000002</v>
      </c>
      <c r="AM24" s="1">
        <f t="shared" si="28"/>
        <v>71885.431250000009</v>
      </c>
      <c r="AN24" s="1">
        <f t="shared" si="29"/>
        <v>6584.9250000000002</v>
      </c>
      <c r="AO24" s="1">
        <f t="shared" si="30"/>
        <v>78470.356250000012</v>
      </c>
      <c r="AP24" s="1">
        <v>263397</v>
      </c>
      <c r="AQ24" s="1">
        <f t="shared" si="31"/>
        <v>184926.64374999999</v>
      </c>
    </row>
    <row r="25" spans="1:43" x14ac:dyDescent="0.2">
      <c r="B25" s="4" t="s">
        <v>30</v>
      </c>
      <c r="C25" s="9">
        <v>39845</v>
      </c>
      <c r="D25" s="14">
        <v>380190</v>
      </c>
      <c r="E25" s="3" t="s">
        <v>14</v>
      </c>
      <c r="F25" s="3">
        <v>40</v>
      </c>
      <c r="R25" s="1">
        <f>SUM(D25/40/12*11)</f>
        <v>8712.6875</v>
      </c>
      <c r="S25" s="1">
        <f t="shared" si="8"/>
        <v>8712.6875</v>
      </c>
      <c r="T25" s="1">
        <f>SUM(D25/40)</f>
        <v>9504.75</v>
      </c>
      <c r="U25" s="1">
        <f t="shared" si="10"/>
        <v>18217.4375</v>
      </c>
      <c r="V25" s="1">
        <f t="shared" si="11"/>
        <v>9504.75</v>
      </c>
      <c r="W25" s="1">
        <f t="shared" si="12"/>
        <v>27722.1875</v>
      </c>
      <c r="X25" s="1">
        <f t="shared" si="13"/>
        <v>9504.75</v>
      </c>
      <c r="Y25" s="1">
        <f t="shared" si="14"/>
        <v>37226.9375</v>
      </c>
      <c r="Z25" s="1">
        <f t="shared" si="15"/>
        <v>9504.75</v>
      </c>
      <c r="AA25" s="1">
        <f t="shared" si="16"/>
        <v>46731.6875</v>
      </c>
      <c r="AB25" s="1">
        <f t="shared" si="17"/>
        <v>9504.75</v>
      </c>
      <c r="AC25" s="1">
        <f t="shared" si="18"/>
        <v>56236.4375</v>
      </c>
      <c r="AD25" s="1">
        <f t="shared" si="19"/>
        <v>9504.75</v>
      </c>
      <c r="AE25" s="1">
        <f t="shared" si="20"/>
        <v>65741.1875</v>
      </c>
      <c r="AF25" s="1">
        <f t="shared" si="21"/>
        <v>9504.75</v>
      </c>
      <c r="AG25" s="1">
        <f t="shared" si="22"/>
        <v>75245.9375</v>
      </c>
      <c r="AH25" s="1">
        <f t="shared" si="23"/>
        <v>9504.75</v>
      </c>
      <c r="AI25" s="1">
        <f t="shared" si="24"/>
        <v>84750.6875</v>
      </c>
      <c r="AJ25" s="1">
        <f t="shared" si="25"/>
        <v>9504.75</v>
      </c>
      <c r="AK25" s="1">
        <f t="shared" si="26"/>
        <v>94255.4375</v>
      </c>
      <c r="AL25" s="1">
        <f t="shared" si="27"/>
        <v>9504.75</v>
      </c>
      <c r="AM25" s="1">
        <f t="shared" si="28"/>
        <v>103760.1875</v>
      </c>
      <c r="AN25" s="1">
        <f t="shared" si="29"/>
        <v>9504.75</v>
      </c>
      <c r="AO25" s="1">
        <f t="shared" si="30"/>
        <v>113264.9375</v>
      </c>
      <c r="AP25" s="1">
        <v>380190</v>
      </c>
      <c r="AQ25" s="1">
        <f t="shared" si="31"/>
        <v>266925.0625</v>
      </c>
    </row>
    <row r="26" spans="1:43" x14ac:dyDescent="0.2">
      <c r="B26" s="4" t="s">
        <v>31</v>
      </c>
      <c r="C26" s="9">
        <v>40877</v>
      </c>
      <c r="D26" s="14">
        <v>379947</v>
      </c>
      <c r="E26" s="3" t="s">
        <v>14</v>
      </c>
      <c r="F26" s="3">
        <v>40</v>
      </c>
      <c r="V26" s="1">
        <v>792</v>
      </c>
      <c r="W26" s="1">
        <f t="shared" si="12"/>
        <v>792</v>
      </c>
      <c r="X26" s="1">
        <v>9499</v>
      </c>
      <c r="Y26" s="1">
        <f t="shared" si="14"/>
        <v>10291</v>
      </c>
      <c r="Z26" s="1">
        <v>9499</v>
      </c>
      <c r="AA26" s="1">
        <f t="shared" si="16"/>
        <v>19790</v>
      </c>
      <c r="AB26" s="1">
        <f t="shared" si="17"/>
        <v>9499</v>
      </c>
      <c r="AC26" s="1">
        <f t="shared" si="18"/>
        <v>29289</v>
      </c>
      <c r="AD26" s="1">
        <f t="shared" si="19"/>
        <v>9499</v>
      </c>
      <c r="AE26" s="1">
        <f t="shared" si="20"/>
        <v>38788</v>
      </c>
      <c r="AF26" s="1">
        <f t="shared" si="21"/>
        <v>9499</v>
      </c>
      <c r="AG26" s="1">
        <f t="shared" si="22"/>
        <v>48287</v>
      </c>
      <c r="AH26" s="1">
        <f t="shared" si="23"/>
        <v>9499</v>
      </c>
      <c r="AI26" s="1">
        <f t="shared" si="24"/>
        <v>57786</v>
      </c>
      <c r="AJ26" s="1">
        <f t="shared" si="25"/>
        <v>9499</v>
      </c>
      <c r="AK26" s="1">
        <f t="shared" si="26"/>
        <v>67285</v>
      </c>
      <c r="AL26" s="1">
        <f t="shared" si="27"/>
        <v>9499</v>
      </c>
      <c r="AM26" s="1">
        <f t="shared" si="28"/>
        <v>76784</v>
      </c>
      <c r="AN26" s="1">
        <f t="shared" si="29"/>
        <v>9499</v>
      </c>
      <c r="AO26" s="1">
        <f t="shared" si="30"/>
        <v>86283</v>
      </c>
      <c r="AP26" s="1">
        <v>379947</v>
      </c>
      <c r="AQ26" s="1">
        <f t="shared" si="31"/>
        <v>293664</v>
      </c>
    </row>
    <row r="27" spans="1:43" x14ac:dyDescent="0.2">
      <c r="B27" s="4" t="s">
        <v>32</v>
      </c>
      <c r="C27" s="9">
        <v>40846</v>
      </c>
      <c r="D27" s="14">
        <v>16328</v>
      </c>
      <c r="E27" s="3" t="s">
        <v>14</v>
      </c>
      <c r="F27" s="3">
        <v>40</v>
      </c>
      <c r="V27" s="1">
        <v>68</v>
      </c>
      <c r="W27" s="1">
        <f t="shared" si="12"/>
        <v>68</v>
      </c>
      <c r="X27" s="1">
        <v>408</v>
      </c>
      <c r="Y27" s="1">
        <f t="shared" si="14"/>
        <v>476</v>
      </c>
      <c r="Z27" s="1">
        <v>408</v>
      </c>
      <c r="AA27" s="1">
        <f t="shared" si="16"/>
        <v>884</v>
      </c>
      <c r="AB27" s="1">
        <f t="shared" si="17"/>
        <v>408</v>
      </c>
      <c r="AC27" s="1">
        <f t="shared" si="18"/>
        <v>1292</v>
      </c>
      <c r="AD27" s="1">
        <f t="shared" si="19"/>
        <v>408</v>
      </c>
      <c r="AE27" s="1">
        <f t="shared" si="20"/>
        <v>1700</v>
      </c>
      <c r="AF27" s="1">
        <f t="shared" si="21"/>
        <v>408</v>
      </c>
      <c r="AG27" s="1">
        <f t="shared" si="22"/>
        <v>2108</v>
      </c>
      <c r="AH27" s="1">
        <f t="shared" si="23"/>
        <v>408</v>
      </c>
      <c r="AI27" s="1">
        <f t="shared" si="24"/>
        <v>2516</v>
      </c>
      <c r="AJ27" s="1">
        <f t="shared" si="25"/>
        <v>408</v>
      </c>
      <c r="AK27" s="1">
        <f t="shared" si="26"/>
        <v>2924</v>
      </c>
      <c r="AL27" s="1">
        <f t="shared" si="27"/>
        <v>408</v>
      </c>
      <c r="AM27" s="1">
        <f t="shared" si="28"/>
        <v>3332</v>
      </c>
      <c r="AN27" s="1">
        <f t="shared" si="29"/>
        <v>408</v>
      </c>
      <c r="AO27" s="1">
        <f t="shared" si="30"/>
        <v>3740</v>
      </c>
      <c r="AP27" s="1">
        <v>16328</v>
      </c>
      <c r="AQ27" s="1">
        <f t="shared" si="31"/>
        <v>12588</v>
      </c>
    </row>
    <row r="28" spans="1:43" x14ac:dyDescent="0.2">
      <c r="B28" s="2" t="s">
        <v>33</v>
      </c>
      <c r="C28" s="9">
        <v>42705</v>
      </c>
      <c r="D28" s="14">
        <v>666667</v>
      </c>
      <c r="E28" s="3" t="s">
        <v>14</v>
      </c>
      <c r="F28" s="3">
        <v>40</v>
      </c>
      <c r="AB28" s="1">
        <f t="shared" si="17"/>
        <v>0</v>
      </c>
      <c r="AC28" s="1">
        <f t="shared" si="18"/>
        <v>0</v>
      </c>
      <c r="AD28" s="1">
        <f t="shared" si="19"/>
        <v>0</v>
      </c>
      <c r="AE28" s="1">
        <f t="shared" si="20"/>
        <v>0</v>
      </c>
      <c r="AF28" s="1">
        <f>666667/40/12</f>
        <v>1388.8895833333333</v>
      </c>
      <c r="AG28" s="1">
        <f t="shared" si="22"/>
        <v>1388.8895833333333</v>
      </c>
      <c r="AH28" s="1">
        <f>666667/40/12</f>
        <v>1388.8895833333333</v>
      </c>
      <c r="AI28" s="1">
        <f t="shared" si="24"/>
        <v>2777.7791666666667</v>
      </c>
      <c r="AJ28" s="1">
        <f>666667/40/12</f>
        <v>1388.8895833333333</v>
      </c>
      <c r="AK28" s="1">
        <f t="shared" si="26"/>
        <v>4166.6687499999998</v>
      </c>
      <c r="AL28" s="1">
        <f>666667/40/12</f>
        <v>1388.8895833333333</v>
      </c>
      <c r="AM28" s="1">
        <f t="shared" si="28"/>
        <v>5555.5583333333334</v>
      </c>
      <c r="AN28" s="1">
        <f t="shared" si="29"/>
        <v>1388.8895833333333</v>
      </c>
      <c r="AO28" s="1">
        <f t="shared" si="30"/>
        <v>6944.447916666667</v>
      </c>
      <c r="AP28" s="1">
        <v>666667</v>
      </c>
      <c r="AQ28" s="1">
        <f t="shared" si="31"/>
        <v>659722.55208333337</v>
      </c>
    </row>
    <row r="29" spans="1:43" x14ac:dyDescent="0.2">
      <c r="A29" s="5"/>
      <c r="B29" s="5"/>
      <c r="C29" s="10"/>
      <c r="D29" s="15">
        <f>SUM(D14:D28)</f>
        <v>7185568.8700000001</v>
      </c>
      <c r="E29" s="6"/>
      <c r="F29" s="6"/>
      <c r="G29" s="15">
        <f t="shared" ref="G29:AA29" si="32">SUM(G14:G28)</f>
        <v>0</v>
      </c>
      <c r="H29" s="15">
        <f t="shared" si="32"/>
        <v>11672.875</v>
      </c>
      <c r="I29" s="5">
        <f t="shared" si="32"/>
        <v>11672.875</v>
      </c>
      <c r="J29" s="5">
        <f t="shared" si="32"/>
        <v>24108.75</v>
      </c>
      <c r="K29" s="5">
        <f t="shared" si="32"/>
        <v>35781.625</v>
      </c>
      <c r="L29" s="5">
        <f t="shared" si="32"/>
        <v>57464.823375</v>
      </c>
      <c r="M29" s="5">
        <f t="shared" si="32"/>
        <v>93246.448374999993</v>
      </c>
      <c r="N29" s="5">
        <f t="shared" si="32"/>
        <v>90131.58425</v>
      </c>
      <c r="O29" s="5">
        <f t="shared" si="32"/>
        <v>183378.03262499999</v>
      </c>
      <c r="P29" s="5">
        <f t="shared" si="32"/>
        <v>113590.34675</v>
      </c>
      <c r="Q29" s="5">
        <f t="shared" si="32"/>
        <v>296968.37937500002</v>
      </c>
      <c r="R29" s="5">
        <f t="shared" si="32"/>
        <v>151724.86549999999</v>
      </c>
      <c r="S29" s="5">
        <f t="shared" si="32"/>
        <v>448693.24487500003</v>
      </c>
      <c r="T29" s="5">
        <f t="shared" si="32"/>
        <v>153065.67174999998</v>
      </c>
      <c r="U29" s="5">
        <f t="shared" si="32"/>
        <v>601758.91662500007</v>
      </c>
      <c r="V29" s="1">
        <f t="shared" si="32"/>
        <v>153925.67174999998</v>
      </c>
      <c r="W29" s="1">
        <f t="shared" si="32"/>
        <v>755684.58837500005</v>
      </c>
      <c r="X29" s="1">
        <f t="shared" si="32"/>
        <v>162972.67174999998</v>
      </c>
      <c r="Y29" s="1">
        <f t="shared" si="32"/>
        <v>918657.26012499991</v>
      </c>
      <c r="Z29" s="1">
        <f t="shared" si="32"/>
        <v>162972.67174999998</v>
      </c>
      <c r="AA29" s="1">
        <f t="shared" si="32"/>
        <v>1081629.931875</v>
      </c>
      <c r="AB29" s="1">
        <f t="shared" si="17"/>
        <v>162972.67174999998</v>
      </c>
      <c r="AC29" s="1">
        <f t="shared" si="18"/>
        <v>1244602.603625</v>
      </c>
      <c r="AD29" s="1">
        <f t="shared" si="19"/>
        <v>162972.67174999998</v>
      </c>
      <c r="AE29" s="1">
        <f t="shared" si="20"/>
        <v>1407575.275375</v>
      </c>
      <c r="AF29" s="1">
        <f t="shared" ref="AF29:AP29" si="33">SUM(AF14:AF28)</f>
        <v>164361.56133333332</v>
      </c>
      <c r="AG29" s="1">
        <f t="shared" si="33"/>
        <v>1571936.8367083336</v>
      </c>
      <c r="AH29" s="1">
        <f t="shared" si="33"/>
        <v>164361.56133333332</v>
      </c>
      <c r="AI29" s="1">
        <f t="shared" si="33"/>
        <v>1736298.3980416665</v>
      </c>
      <c r="AJ29" s="1">
        <f t="shared" si="33"/>
        <v>164361.56133333332</v>
      </c>
      <c r="AK29" s="1">
        <f t="shared" si="33"/>
        <v>1900659.9593750001</v>
      </c>
      <c r="AL29" s="1">
        <f t="shared" si="33"/>
        <v>164361.56133333332</v>
      </c>
      <c r="AM29" s="1">
        <f t="shared" si="33"/>
        <v>2065021.5207083332</v>
      </c>
      <c r="AN29" s="1">
        <f t="shared" si="33"/>
        <v>164361.56133333332</v>
      </c>
      <c r="AO29" s="1">
        <f t="shared" si="33"/>
        <v>2229383.0820416664</v>
      </c>
      <c r="AP29" s="5">
        <f t="shared" si="33"/>
        <v>7185568.8700000001</v>
      </c>
    </row>
    <row r="30" spans="1:43" x14ac:dyDescent="0.2">
      <c r="A30" s="1">
        <v>354</v>
      </c>
      <c r="B30" s="2" t="s">
        <v>34</v>
      </c>
      <c r="E30" s="3"/>
      <c r="F30" s="3"/>
      <c r="AB30" s="1">
        <f t="shared" si="17"/>
        <v>0</v>
      </c>
      <c r="AC30" s="1">
        <f t="shared" si="18"/>
        <v>0</v>
      </c>
      <c r="AD30" s="1">
        <f t="shared" si="19"/>
        <v>0</v>
      </c>
      <c r="AE30" s="1">
        <f t="shared" si="20"/>
        <v>0</v>
      </c>
    </row>
    <row r="31" spans="1:43" x14ac:dyDescent="0.2">
      <c r="B31" s="2" t="s">
        <v>35</v>
      </c>
      <c r="C31" s="9">
        <v>34700</v>
      </c>
      <c r="D31" s="14">
        <v>3201</v>
      </c>
      <c r="E31" s="3" t="s">
        <v>14</v>
      </c>
      <c r="F31" s="3">
        <v>10</v>
      </c>
      <c r="G31" s="14">
        <f>2560+320</f>
        <v>2880</v>
      </c>
      <c r="H31" s="14">
        <f t="shared" ref="H31:H36" si="34">SUM(D31/F31)</f>
        <v>320.10000000000002</v>
      </c>
      <c r="I31" s="1">
        <f t="shared" ref="I31:I37" si="35">SUM(G31:H31)</f>
        <v>3200.1</v>
      </c>
      <c r="J31" s="1">
        <f t="shared" ref="J31:J37" si="36">SUM(D31/F31)</f>
        <v>320.10000000000002</v>
      </c>
      <c r="K31" s="1">
        <f t="shared" ref="K31:K37" si="37">SUM(I31:J31)</f>
        <v>3520.2</v>
      </c>
      <c r="L31" s="1">
        <f t="shared" ref="L31:L38" si="38">SUM(D31/F31)</f>
        <v>320.10000000000002</v>
      </c>
      <c r="M31" s="1">
        <f t="shared" ref="M31:M40" si="39">SUM(K31:L31)</f>
        <v>3840.2999999999997</v>
      </c>
      <c r="N31" s="1">
        <f t="shared" ref="N31:N40" si="40">SUM(D31/F31)</f>
        <v>320.10000000000002</v>
      </c>
      <c r="O31" s="1">
        <f t="shared" ref="O31:O41" si="41">SUM(M31+N31)</f>
        <v>4160.3999999999996</v>
      </c>
      <c r="P31" s="1">
        <v>0</v>
      </c>
      <c r="Q31" s="1">
        <f>SUM(O31+P31-959)</f>
        <v>3201.3999999999996</v>
      </c>
      <c r="R31" s="1">
        <v>0</v>
      </c>
      <c r="S31" s="1">
        <v>3201</v>
      </c>
      <c r="T31" s="1">
        <v>0</v>
      </c>
      <c r="U31" s="1">
        <f t="shared" ref="U31:U43" si="42">S31+T31</f>
        <v>3201</v>
      </c>
      <c r="V31" s="1">
        <f>T31</f>
        <v>0</v>
      </c>
      <c r="W31" s="1">
        <f t="shared" ref="W31:W47" si="43">U31+V31</f>
        <v>3201</v>
      </c>
      <c r="X31" s="1">
        <f>V31</f>
        <v>0</v>
      </c>
      <c r="Y31" s="1">
        <f t="shared" ref="Y31:Y48" si="44">W31+X31</f>
        <v>3201</v>
      </c>
      <c r="Z31" s="1">
        <f>X31</f>
        <v>0</v>
      </c>
      <c r="AA31" s="1">
        <f t="shared" ref="AA31:AA48" si="45">Y31+Z31</f>
        <v>3201</v>
      </c>
      <c r="AB31" s="1">
        <f t="shared" si="17"/>
        <v>0</v>
      </c>
      <c r="AC31" s="1">
        <f t="shared" si="18"/>
        <v>3201</v>
      </c>
      <c r="AD31" s="1">
        <f t="shared" si="19"/>
        <v>0</v>
      </c>
      <c r="AE31" s="1">
        <f t="shared" si="20"/>
        <v>3201</v>
      </c>
      <c r="AF31" s="1">
        <f>AD31</f>
        <v>0</v>
      </c>
      <c r="AG31" s="1">
        <f t="shared" ref="AG31:AG51" si="46">AE31+AF31</f>
        <v>3201</v>
      </c>
      <c r="AH31" s="1">
        <f>AF31</f>
        <v>0</v>
      </c>
      <c r="AI31" s="1">
        <f t="shared" ref="AI31:AI53" si="47">AG31+AH31</f>
        <v>3201</v>
      </c>
      <c r="AJ31" s="1">
        <f>AH31</f>
        <v>0</v>
      </c>
      <c r="AK31" s="1">
        <f t="shared" ref="AK31:AK54" si="48">AI31+AJ31</f>
        <v>3201</v>
      </c>
      <c r="AL31" s="1">
        <f>AJ31</f>
        <v>0</v>
      </c>
      <c r="AM31" s="1">
        <f t="shared" ref="AM31:AM55" si="49">AK31+AL31</f>
        <v>3201</v>
      </c>
      <c r="AN31" s="1">
        <f t="shared" ref="AN31:AN42" si="50">AL31</f>
        <v>0</v>
      </c>
      <c r="AO31" s="1">
        <f t="shared" ref="AO31:AO57" si="51">SUM(AM31:AN31)</f>
        <v>3201</v>
      </c>
      <c r="AP31" s="1">
        <v>3201</v>
      </c>
      <c r="AQ31" s="1">
        <f t="shared" ref="AQ31:AQ57" si="52">AP31-AO31</f>
        <v>0</v>
      </c>
    </row>
    <row r="32" spans="1:43" x14ac:dyDescent="0.2">
      <c r="B32" s="2" t="s">
        <v>35</v>
      </c>
      <c r="C32" s="9">
        <v>35765</v>
      </c>
      <c r="D32" s="14">
        <v>1773</v>
      </c>
      <c r="E32" s="3" t="s">
        <v>14</v>
      </c>
      <c r="F32" s="3">
        <v>10</v>
      </c>
      <c r="G32" s="14">
        <v>1077</v>
      </c>
      <c r="H32" s="14">
        <f t="shared" si="34"/>
        <v>177.3</v>
      </c>
      <c r="I32" s="1">
        <f t="shared" si="35"/>
        <v>1254.3</v>
      </c>
      <c r="J32" s="1">
        <f t="shared" si="36"/>
        <v>177.3</v>
      </c>
      <c r="K32" s="1">
        <f t="shared" si="37"/>
        <v>1431.6</v>
      </c>
      <c r="L32" s="1">
        <f t="shared" si="38"/>
        <v>177.3</v>
      </c>
      <c r="M32" s="1">
        <f t="shared" si="39"/>
        <v>1608.8999999999999</v>
      </c>
      <c r="N32" s="1">
        <f t="shared" si="40"/>
        <v>177.3</v>
      </c>
      <c r="O32" s="1">
        <f t="shared" si="41"/>
        <v>1786.1999999999998</v>
      </c>
      <c r="P32" s="1">
        <v>0</v>
      </c>
      <c r="Q32" s="1">
        <f>SUM(O32+P32-13)</f>
        <v>1773.1999999999998</v>
      </c>
      <c r="R32" s="1">
        <v>0</v>
      </c>
      <c r="S32" s="1">
        <v>1773</v>
      </c>
      <c r="T32" s="1">
        <v>0</v>
      </c>
      <c r="U32" s="1">
        <f t="shared" si="42"/>
        <v>1773</v>
      </c>
      <c r="V32" s="1">
        <f>T32</f>
        <v>0</v>
      </c>
      <c r="W32" s="1">
        <f t="shared" si="43"/>
        <v>1773</v>
      </c>
      <c r="X32" s="1">
        <f>V32</f>
        <v>0</v>
      </c>
      <c r="Y32" s="1">
        <f t="shared" si="44"/>
        <v>1773</v>
      </c>
      <c r="Z32" s="1">
        <f>X32</f>
        <v>0</v>
      </c>
      <c r="AA32" s="1">
        <f t="shared" si="45"/>
        <v>1773</v>
      </c>
      <c r="AB32" s="1">
        <f t="shared" si="17"/>
        <v>0</v>
      </c>
      <c r="AC32" s="1">
        <f t="shared" si="18"/>
        <v>1773</v>
      </c>
      <c r="AD32" s="1">
        <f t="shared" si="19"/>
        <v>0</v>
      </c>
      <c r="AE32" s="1">
        <f t="shared" si="20"/>
        <v>1773</v>
      </c>
      <c r="AF32" s="1">
        <f>AD32</f>
        <v>0</v>
      </c>
      <c r="AG32" s="1">
        <f t="shared" si="46"/>
        <v>1773</v>
      </c>
      <c r="AH32" s="1">
        <f>AF32</f>
        <v>0</v>
      </c>
      <c r="AI32" s="1">
        <f t="shared" si="47"/>
        <v>1773</v>
      </c>
      <c r="AJ32" s="1">
        <f>AH32</f>
        <v>0</v>
      </c>
      <c r="AK32" s="1">
        <f t="shared" si="48"/>
        <v>1773</v>
      </c>
      <c r="AL32" s="1">
        <f>AJ32</f>
        <v>0</v>
      </c>
      <c r="AM32" s="1">
        <f t="shared" si="49"/>
        <v>1773</v>
      </c>
      <c r="AN32" s="1">
        <f t="shared" si="50"/>
        <v>0</v>
      </c>
      <c r="AO32" s="1">
        <f t="shared" si="51"/>
        <v>1773</v>
      </c>
      <c r="AP32" s="1">
        <v>1773</v>
      </c>
      <c r="AQ32" s="1">
        <f t="shared" si="52"/>
        <v>0</v>
      </c>
    </row>
    <row r="33" spans="2:43" x14ac:dyDescent="0.2">
      <c r="B33" s="2" t="s">
        <v>35</v>
      </c>
      <c r="C33" s="9">
        <v>36861</v>
      </c>
      <c r="D33" s="14">
        <v>36416</v>
      </c>
      <c r="E33" s="3" t="s">
        <v>14</v>
      </c>
      <c r="F33" s="3">
        <v>10</v>
      </c>
      <c r="G33" s="14">
        <f>7587+3642</f>
        <v>11229</v>
      </c>
      <c r="H33" s="14">
        <f t="shared" si="34"/>
        <v>3641.6</v>
      </c>
      <c r="I33" s="1">
        <f t="shared" si="35"/>
        <v>14870.6</v>
      </c>
      <c r="J33" s="1">
        <f t="shared" si="36"/>
        <v>3641.6</v>
      </c>
      <c r="K33" s="1">
        <f t="shared" si="37"/>
        <v>18512.2</v>
      </c>
      <c r="L33" s="1">
        <f t="shared" si="38"/>
        <v>3641.6</v>
      </c>
      <c r="M33" s="1">
        <f t="shared" si="39"/>
        <v>22153.8</v>
      </c>
      <c r="N33" s="1">
        <f t="shared" si="40"/>
        <v>3641.6</v>
      </c>
      <c r="O33" s="1">
        <f t="shared" si="41"/>
        <v>25795.399999999998</v>
      </c>
      <c r="P33" s="1">
        <f t="shared" ref="P33:P41" si="53">SUM(D33/F33)</f>
        <v>3641.6</v>
      </c>
      <c r="Q33" s="1">
        <v>30409</v>
      </c>
      <c r="R33" s="1">
        <f t="shared" ref="R33:R41" si="54">SUM(D33/F33)</f>
        <v>3641.6</v>
      </c>
      <c r="S33" s="1">
        <f t="shared" ref="S33:S43" si="55">SUM(Q33+R33)</f>
        <v>34050.6</v>
      </c>
      <c r="T33" s="1">
        <v>2365</v>
      </c>
      <c r="U33" s="1">
        <f t="shared" si="42"/>
        <v>36415.599999999999</v>
      </c>
      <c r="V33" s="1">
        <v>0</v>
      </c>
      <c r="W33" s="1">
        <f t="shared" si="43"/>
        <v>36415.599999999999</v>
      </c>
      <c r="X33" s="1">
        <v>0</v>
      </c>
      <c r="Y33" s="1">
        <f t="shared" si="44"/>
        <v>36415.599999999999</v>
      </c>
      <c r="Z33" s="1">
        <v>0</v>
      </c>
      <c r="AA33" s="1">
        <f t="shared" si="45"/>
        <v>36415.599999999999</v>
      </c>
      <c r="AB33" s="1">
        <f t="shared" si="17"/>
        <v>0</v>
      </c>
      <c r="AC33" s="1">
        <f t="shared" si="18"/>
        <v>36415.599999999999</v>
      </c>
      <c r="AD33" s="1">
        <f t="shared" si="19"/>
        <v>0</v>
      </c>
      <c r="AE33" s="1">
        <f t="shared" si="20"/>
        <v>36415.599999999999</v>
      </c>
      <c r="AF33" s="1">
        <f>AD33</f>
        <v>0</v>
      </c>
      <c r="AG33" s="1">
        <f t="shared" si="46"/>
        <v>36415.599999999999</v>
      </c>
      <c r="AH33" s="1">
        <f>AF33</f>
        <v>0</v>
      </c>
      <c r="AI33" s="1">
        <f t="shared" si="47"/>
        <v>36415.599999999999</v>
      </c>
      <c r="AJ33" s="1">
        <f>AH33</f>
        <v>0</v>
      </c>
      <c r="AK33" s="1">
        <f t="shared" si="48"/>
        <v>36415.599999999999</v>
      </c>
      <c r="AL33" s="1">
        <f>AJ33</f>
        <v>0</v>
      </c>
      <c r="AM33" s="1">
        <f t="shared" si="49"/>
        <v>36415.599999999999</v>
      </c>
      <c r="AN33" s="1">
        <f t="shared" si="50"/>
        <v>0</v>
      </c>
      <c r="AO33" s="1">
        <f t="shared" si="51"/>
        <v>36415.599999999999</v>
      </c>
      <c r="AP33" s="1">
        <v>36416</v>
      </c>
      <c r="AQ33" s="1">
        <f t="shared" si="52"/>
        <v>0.40000000000145519</v>
      </c>
    </row>
    <row r="34" spans="2:43" x14ac:dyDescent="0.2">
      <c r="B34" s="2" t="s">
        <v>35</v>
      </c>
      <c r="C34" s="9">
        <v>37253</v>
      </c>
      <c r="D34" s="14">
        <v>23507</v>
      </c>
      <c r="E34" s="3" t="s">
        <v>14</v>
      </c>
      <c r="F34" s="3">
        <v>10</v>
      </c>
      <c r="G34" s="14">
        <f>2371+2351</f>
        <v>4722</v>
      </c>
      <c r="H34" s="14">
        <f t="shared" si="34"/>
        <v>2350.6999999999998</v>
      </c>
      <c r="I34" s="1">
        <f t="shared" si="35"/>
        <v>7072.7</v>
      </c>
      <c r="J34" s="1">
        <f t="shared" si="36"/>
        <v>2350.6999999999998</v>
      </c>
      <c r="K34" s="1">
        <f t="shared" si="37"/>
        <v>9423.4</v>
      </c>
      <c r="L34" s="1">
        <f t="shared" si="38"/>
        <v>2350.6999999999998</v>
      </c>
      <c r="M34" s="1">
        <f t="shared" si="39"/>
        <v>11774.099999999999</v>
      </c>
      <c r="N34" s="1">
        <f t="shared" si="40"/>
        <v>2350.6999999999998</v>
      </c>
      <c r="O34" s="1">
        <f t="shared" si="41"/>
        <v>14124.8</v>
      </c>
      <c r="P34" s="1">
        <f t="shared" si="53"/>
        <v>2350.6999999999998</v>
      </c>
      <c r="Q34" s="1">
        <v>16476</v>
      </c>
      <c r="R34" s="1">
        <f t="shared" si="54"/>
        <v>2350.6999999999998</v>
      </c>
      <c r="S34" s="1">
        <f t="shared" si="55"/>
        <v>18826.7</v>
      </c>
      <c r="T34" s="1">
        <f t="shared" ref="T34:T42" si="56">R34</f>
        <v>2350.6999999999998</v>
      </c>
      <c r="U34" s="1">
        <f t="shared" si="42"/>
        <v>21177.4</v>
      </c>
      <c r="V34" s="1">
        <f>23507-21177</f>
        <v>2330</v>
      </c>
      <c r="W34" s="1">
        <f t="shared" si="43"/>
        <v>23507.4</v>
      </c>
      <c r="X34" s="1">
        <v>0</v>
      </c>
      <c r="Y34" s="1">
        <f t="shared" si="44"/>
        <v>23507.4</v>
      </c>
      <c r="Z34" s="1">
        <v>0</v>
      </c>
      <c r="AA34" s="1">
        <f t="shared" si="45"/>
        <v>23507.4</v>
      </c>
      <c r="AB34" s="1">
        <f t="shared" si="17"/>
        <v>0</v>
      </c>
      <c r="AC34" s="1">
        <f t="shared" si="18"/>
        <v>23507.4</v>
      </c>
      <c r="AD34" s="1">
        <f t="shared" si="19"/>
        <v>0</v>
      </c>
      <c r="AE34" s="1">
        <f t="shared" si="20"/>
        <v>23507.4</v>
      </c>
      <c r="AF34" s="1">
        <f>AD34</f>
        <v>0</v>
      </c>
      <c r="AG34" s="1">
        <f t="shared" si="46"/>
        <v>23507.4</v>
      </c>
      <c r="AH34" s="1">
        <f>AF34</f>
        <v>0</v>
      </c>
      <c r="AI34" s="1">
        <f t="shared" si="47"/>
        <v>23507.4</v>
      </c>
      <c r="AJ34" s="1">
        <f>AH34</f>
        <v>0</v>
      </c>
      <c r="AK34" s="1">
        <f t="shared" si="48"/>
        <v>23507.4</v>
      </c>
      <c r="AL34" s="1">
        <f>AJ34</f>
        <v>0</v>
      </c>
      <c r="AM34" s="1">
        <f t="shared" si="49"/>
        <v>23507.4</v>
      </c>
      <c r="AN34" s="1">
        <f t="shared" si="50"/>
        <v>0</v>
      </c>
      <c r="AO34" s="1">
        <f t="shared" si="51"/>
        <v>23507.4</v>
      </c>
      <c r="AP34" s="1">
        <v>23507</v>
      </c>
      <c r="AQ34" s="1">
        <f t="shared" si="52"/>
        <v>-0.40000000000145519</v>
      </c>
    </row>
    <row r="35" spans="2:43" x14ac:dyDescent="0.2">
      <c r="B35" s="2" t="s">
        <v>35</v>
      </c>
      <c r="C35" s="9">
        <v>37591</v>
      </c>
      <c r="D35" s="14">
        <v>24902</v>
      </c>
      <c r="E35" s="3" t="s">
        <v>14</v>
      </c>
      <c r="F35" s="3">
        <v>10</v>
      </c>
      <c r="G35" s="14">
        <f>208+2490</f>
        <v>2698</v>
      </c>
      <c r="H35" s="14">
        <f t="shared" si="34"/>
        <v>2490.1999999999998</v>
      </c>
      <c r="I35" s="1">
        <f t="shared" si="35"/>
        <v>5188.2</v>
      </c>
      <c r="J35" s="1">
        <f t="shared" si="36"/>
        <v>2490.1999999999998</v>
      </c>
      <c r="K35" s="1">
        <f t="shared" si="37"/>
        <v>7678.4</v>
      </c>
      <c r="L35" s="1">
        <f t="shared" si="38"/>
        <v>2490.1999999999998</v>
      </c>
      <c r="M35" s="1">
        <f t="shared" si="39"/>
        <v>10168.599999999999</v>
      </c>
      <c r="N35" s="1">
        <f t="shared" si="40"/>
        <v>2490.1999999999998</v>
      </c>
      <c r="O35" s="1">
        <f t="shared" si="41"/>
        <v>12658.8</v>
      </c>
      <c r="P35" s="1">
        <f t="shared" si="53"/>
        <v>2490.1999999999998</v>
      </c>
      <c r="Q35" s="1">
        <f>SUM(O35+P35)</f>
        <v>15149</v>
      </c>
      <c r="R35" s="1">
        <f t="shared" si="54"/>
        <v>2490.1999999999998</v>
      </c>
      <c r="S35" s="1">
        <f t="shared" si="55"/>
        <v>17639.2</v>
      </c>
      <c r="T35" s="1">
        <f t="shared" si="56"/>
        <v>2490.1999999999998</v>
      </c>
      <c r="U35" s="1">
        <f t="shared" si="42"/>
        <v>20129.400000000001</v>
      </c>
      <c r="V35" s="1">
        <f t="shared" ref="V35:V43" si="57">T35</f>
        <v>2490.1999999999998</v>
      </c>
      <c r="W35" s="1">
        <f t="shared" si="43"/>
        <v>22619.600000000002</v>
      </c>
      <c r="X35" s="1">
        <f>24902-22620</f>
        <v>2282</v>
      </c>
      <c r="Y35" s="1">
        <f t="shared" si="44"/>
        <v>24901.600000000002</v>
      </c>
      <c r="Z35" s="1">
        <v>0</v>
      </c>
      <c r="AA35" s="1">
        <f t="shared" si="45"/>
        <v>24901.600000000002</v>
      </c>
      <c r="AB35" s="1">
        <f t="shared" si="17"/>
        <v>0</v>
      </c>
      <c r="AC35" s="1">
        <f t="shared" si="18"/>
        <v>24901.600000000002</v>
      </c>
      <c r="AD35" s="1">
        <f t="shared" si="19"/>
        <v>0</v>
      </c>
      <c r="AE35" s="1">
        <f t="shared" si="20"/>
        <v>24901.600000000002</v>
      </c>
      <c r="AF35" s="1">
        <f>AD35</f>
        <v>0</v>
      </c>
      <c r="AG35" s="1">
        <f t="shared" si="46"/>
        <v>24901.600000000002</v>
      </c>
      <c r="AH35" s="1">
        <f>AF35</f>
        <v>0</v>
      </c>
      <c r="AI35" s="1">
        <f t="shared" si="47"/>
        <v>24901.600000000002</v>
      </c>
      <c r="AJ35" s="1">
        <f>AH35</f>
        <v>0</v>
      </c>
      <c r="AK35" s="1">
        <f t="shared" si="48"/>
        <v>24901.600000000002</v>
      </c>
      <c r="AL35" s="1">
        <f>AJ35</f>
        <v>0</v>
      </c>
      <c r="AM35" s="1">
        <f t="shared" si="49"/>
        <v>24901.600000000002</v>
      </c>
      <c r="AN35" s="1">
        <f t="shared" si="50"/>
        <v>0</v>
      </c>
      <c r="AO35" s="1">
        <f t="shared" si="51"/>
        <v>24901.600000000002</v>
      </c>
      <c r="AP35" s="1">
        <v>24902</v>
      </c>
      <c r="AQ35" s="1">
        <f t="shared" si="52"/>
        <v>0.39999999999781721</v>
      </c>
    </row>
    <row r="36" spans="2:43" x14ac:dyDescent="0.2">
      <c r="B36" s="2" t="s">
        <v>35</v>
      </c>
      <c r="C36" s="9">
        <v>37956</v>
      </c>
      <c r="D36" s="14">
        <v>112443</v>
      </c>
      <c r="E36" s="3" t="s">
        <v>14</v>
      </c>
      <c r="F36" s="3">
        <v>10</v>
      </c>
      <c r="G36" s="14">
        <v>937</v>
      </c>
      <c r="H36" s="14">
        <f t="shared" si="34"/>
        <v>11244.3</v>
      </c>
      <c r="I36" s="1">
        <f t="shared" si="35"/>
        <v>12181.3</v>
      </c>
      <c r="J36" s="1">
        <f t="shared" si="36"/>
        <v>11244.3</v>
      </c>
      <c r="K36" s="1">
        <f t="shared" si="37"/>
        <v>23425.599999999999</v>
      </c>
      <c r="L36" s="1">
        <f t="shared" si="38"/>
        <v>11244.3</v>
      </c>
      <c r="M36" s="1">
        <f t="shared" si="39"/>
        <v>34669.899999999994</v>
      </c>
      <c r="N36" s="1">
        <f t="shared" si="40"/>
        <v>11244.3</v>
      </c>
      <c r="O36" s="1">
        <f t="shared" si="41"/>
        <v>45914.2</v>
      </c>
      <c r="P36" s="1">
        <f t="shared" si="53"/>
        <v>11244.3</v>
      </c>
      <c r="Q36" s="1">
        <f>SUM(O36+P36)+3386</f>
        <v>60544.5</v>
      </c>
      <c r="R36" s="1">
        <f t="shared" si="54"/>
        <v>11244.3</v>
      </c>
      <c r="S36" s="1">
        <f t="shared" si="55"/>
        <v>71788.800000000003</v>
      </c>
      <c r="T36" s="1">
        <f t="shared" si="56"/>
        <v>11244.3</v>
      </c>
      <c r="U36" s="1">
        <f t="shared" si="42"/>
        <v>83033.100000000006</v>
      </c>
      <c r="V36" s="1">
        <f t="shared" si="57"/>
        <v>11244.3</v>
      </c>
      <c r="W36" s="1">
        <f t="shared" si="43"/>
        <v>94277.400000000009</v>
      </c>
      <c r="X36" s="1">
        <f>11244+3924</f>
        <v>15168</v>
      </c>
      <c r="Y36" s="1">
        <f t="shared" si="44"/>
        <v>109445.40000000001</v>
      </c>
      <c r="Z36" s="1">
        <f>112443-109445</f>
        <v>2998</v>
      </c>
      <c r="AA36" s="1">
        <f t="shared" si="45"/>
        <v>112443.40000000001</v>
      </c>
      <c r="AB36" s="1">
        <v>0</v>
      </c>
      <c r="AC36" s="1">
        <f t="shared" si="18"/>
        <v>112443.40000000001</v>
      </c>
      <c r="AD36" s="1">
        <v>0</v>
      </c>
      <c r="AE36" s="1">
        <f t="shared" si="20"/>
        <v>112443.40000000001</v>
      </c>
      <c r="AF36" s="1">
        <v>0</v>
      </c>
      <c r="AG36" s="1">
        <f t="shared" si="46"/>
        <v>112443.40000000001</v>
      </c>
      <c r="AH36" s="1">
        <v>0</v>
      </c>
      <c r="AI36" s="1">
        <f t="shared" si="47"/>
        <v>112443.40000000001</v>
      </c>
      <c r="AJ36" s="1">
        <v>0</v>
      </c>
      <c r="AK36" s="1">
        <f t="shared" si="48"/>
        <v>112443.40000000001</v>
      </c>
      <c r="AL36" s="1">
        <v>0</v>
      </c>
      <c r="AM36" s="1">
        <f t="shared" si="49"/>
        <v>112443.40000000001</v>
      </c>
      <c r="AN36" s="1">
        <f t="shared" si="50"/>
        <v>0</v>
      </c>
      <c r="AO36" s="1">
        <f t="shared" si="51"/>
        <v>112443.40000000001</v>
      </c>
      <c r="AP36" s="1">
        <v>112443</v>
      </c>
      <c r="AQ36" s="1">
        <f t="shared" si="52"/>
        <v>-0.40000000000873115</v>
      </c>
    </row>
    <row r="37" spans="2:43" x14ac:dyDescent="0.2">
      <c r="B37" s="2" t="s">
        <v>35</v>
      </c>
      <c r="C37" s="9">
        <v>38322</v>
      </c>
      <c r="D37" s="14">
        <v>7719</v>
      </c>
      <c r="E37" s="3" t="s">
        <v>14</v>
      </c>
      <c r="F37" s="3">
        <v>10</v>
      </c>
      <c r="H37" s="14">
        <f>SUM(D37/F37/2)</f>
        <v>385.95</v>
      </c>
      <c r="I37" s="1">
        <f t="shared" si="35"/>
        <v>385.95</v>
      </c>
      <c r="J37" s="1">
        <f t="shared" si="36"/>
        <v>771.9</v>
      </c>
      <c r="K37" s="1">
        <f t="shared" si="37"/>
        <v>1157.8499999999999</v>
      </c>
      <c r="L37" s="1">
        <f t="shared" si="38"/>
        <v>771.9</v>
      </c>
      <c r="M37" s="1">
        <f t="shared" si="39"/>
        <v>1929.75</v>
      </c>
      <c r="N37" s="1">
        <f t="shared" si="40"/>
        <v>771.9</v>
      </c>
      <c r="O37" s="1">
        <f t="shared" si="41"/>
        <v>2701.65</v>
      </c>
      <c r="P37" s="1">
        <f t="shared" si="53"/>
        <v>771.9</v>
      </c>
      <c r="Q37" s="1">
        <v>3474</v>
      </c>
      <c r="R37" s="1">
        <f t="shared" si="54"/>
        <v>771.9</v>
      </c>
      <c r="S37" s="1">
        <f t="shared" si="55"/>
        <v>4245.8999999999996</v>
      </c>
      <c r="T37" s="1">
        <f t="shared" si="56"/>
        <v>771.9</v>
      </c>
      <c r="U37" s="1">
        <f t="shared" si="42"/>
        <v>5017.7999999999993</v>
      </c>
      <c r="V37" s="1">
        <f t="shared" si="57"/>
        <v>771.9</v>
      </c>
      <c r="W37" s="1">
        <f t="shared" si="43"/>
        <v>5789.6999999999989</v>
      </c>
      <c r="X37" s="1">
        <f t="shared" ref="X37:X43" si="58">V37</f>
        <v>771.9</v>
      </c>
      <c r="Y37" s="1">
        <f t="shared" si="44"/>
        <v>6561.5999999999985</v>
      </c>
      <c r="Z37" s="1">
        <f t="shared" ref="Z37:Z43" si="59">X37</f>
        <v>771.9</v>
      </c>
      <c r="AA37" s="1">
        <f t="shared" si="45"/>
        <v>7333.4999999999982</v>
      </c>
      <c r="AB37" s="1">
        <f>7719-7334</f>
        <v>385</v>
      </c>
      <c r="AC37" s="1">
        <f t="shared" si="18"/>
        <v>7718.4999999999982</v>
      </c>
      <c r="AD37" s="1">
        <v>0</v>
      </c>
      <c r="AE37" s="1">
        <f t="shared" si="20"/>
        <v>7718.4999999999982</v>
      </c>
      <c r="AF37" s="1">
        <v>0</v>
      </c>
      <c r="AG37" s="1">
        <f t="shared" si="46"/>
        <v>7718.4999999999982</v>
      </c>
      <c r="AH37" s="1">
        <v>0</v>
      </c>
      <c r="AI37" s="1">
        <f t="shared" si="47"/>
        <v>7718.4999999999982</v>
      </c>
      <c r="AJ37" s="1">
        <v>0</v>
      </c>
      <c r="AK37" s="1">
        <f t="shared" si="48"/>
        <v>7718.4999999999982</v>
      </c>
      <c r="AL37" s="1">
        <v>0</v>
      </c>
      <c r="AM37" s="1">
        <f t="shared" si="49"/>
        <v>7718.4999999999982</v>
      </c>
      <c r="AN37" s="1">
        <f t="shared" si="50"/>
        <v>0</v>
      </c>
      <c r="AO37" s="1">
        <f t="shared" si="51"/>
        <v>7718.4999999999982</v>
      </c>
      <c r="AP37" s="1">
        <v>7719</v>
      </c>
      <c r="AQ37" s="1">
        <f t="shared" si="52"/>
        <v>0.50000000000181899</v>
      </c>
    </row>
    <row r="38" spans="2:43" x14ac:dyDescent="0.2">
      <c r="B38" s="2" t="s">
        <v>21</v>
      </c>
      <c r="C38" s="9">
        <v>38533</v>
      </c>
      <c r="D38" s="14">
        <v>12900</v>
      </c>
      <c r="E38" s="3" t="s">
        <v>14</v>
      </c>
      <c r="F38" s="3">
        <v>10</v>
      </c>
      <c r="J38" s="1">
        <v>1017</v>
      </c>
      <c r="K38" s="1">
        <v>1017</v>
      </c>
      <c r="L38" s="1">
        <f t="shared" si="38"/>
        <v>1290</v>
      </c>
      <c r="M38" s="1">
        <f t="shared" si="39"/>
        <v>2307</v>
      </c>
      <c r="N38" s="1">
        <f t="shared" si="40"/>
        <v>1290</v>
      </c>
      <c r="O38" s="1">
        <f t="shared" si="41"/>
        <v>3597</v>
      </c>
      <c r="P38" s="1">
        <f t="shared" si="53"/>
        <v>1290</v>
      </c>
      <c r="Q38" s="1">
        <f>SUM(O38+P38)</f>
        <v>4887</v>
      </c>
      <c r="R38" s="1">
        <f t="shared" si="54"/>
        <v>1290</v>
      </c>
      <c r="S38" s="1">
        <f t="shared" si="55"/>
        <v>6177</v>
      </c>
      <c r="T38" s="1">
        <f t="shared" si="56"/>
        <v>1290</v>
      </c>
      <c r="U38" s="1">
        <f t="shared" si="42"/>
        <v>7467</v>
      </c>
      <c r="V38" s="1">
        <f t="shared" si="57"/>
        <v>1290</v>
      </c>
      <c r="W38" s="1">
        <f t="shared" si="43"/>
        <v>8757</v>
      </c>
      <c r="X38" s="1">
        <f t="shared" si="58"/>
        <v>1290</v>
      </c>
      <c r="Y38" s="1">
        <f t="shared" si="44"/>
        <v>10047</v>
      </c>
      <c r="Z38" s="1">
        <f t="shared" si="59"/>
        <v>1290</v>
      </c>
      <c r="AA38" s="1">
        <f t="shared" si="45"/>
        <v>11337</v>
      </c>
      <c r="AB38" s="1">
        <f t="shared" ref="AB38:AB48" si="60">Z38</f>
        <v>1290</v>
      </c>
      <c r="AC38" s="1">
        <f t="shared" si="18"/>
        <v>12627</v>
      </c>
      <c r="AD38" s="1">
        <f>12900-12627</f>
        <v>273</v>
      </c>
      <c r="AE38" s="1">
        <f t="shared" si="20"/>
        <v>12900</v>
      </c>
      <c r="AG38" s="1">
        <f t="shared" si="46"/>
        <v>12900</v>
      </c>
      <c r="AH38" s="1">
        <v>0</v>
      </c>
      <c r="AI38" s="1">
        <f t="shared" si="47"/>
        <v>12900</v>
      </c>
      <c r="AJ38" s="1">
        <v>0</v>
      </c>
      <c r="AK38" s="1">
        <f t="shared" si="48"/>
        <v>12900</v>
      </c>
      <c r="AL38" s="1">
        <v>0</v>
      </c>
      <c r="AM38" s="1">
        <f t="shared" si="49"/>
        <v>12900</v>
      </c>
      <c r="AN38" s="1">
        <f t="shared" si="50"/>
        <v>0</v>
      </c>
      <c r="AO38" s="1">
        <f t="shared" si="51"/>
        <v>12900</v>
      </c>
      <c r="AP38" s="1">
        <v>12900</v>
      </c>
      <c r="AQ38" s="1">
        <f t="shared" si="52"/>
        <v>0</v>
      </c>
    </row>
    <row r="39" spans="2:43" x14ac:dyDescent="0.2">
      <c r="B39" s="2" t="s">
        <v>36</v>
      </c>
      <c r="C39" s="9">
        <v>38898</v>
      </c>
      <c r="D39" s="14">
        <v>12191</v>
      </c>
      <c r="E39" s="3" t="s">
        <v>14</v>
      </c>
      <c r="F39" s="3">
        <v>10</v>
      </c>
      <c r="L39" s="1">
        <f>SUM(D39/F39)/2</f>
        <v>609.54999999999995</v>
      </c>
      <c r="M39" s="1">
        <f t="shared" si="39"/>
        <v>609.54999999999995</v>
      </c>
      <c r="N39" s="1">
        <f t="shared" si="40"/>
        <v>1219.0999999999999</v>
      </c>
      <c r="O39" s="1">
        <f t="shared" si="41"/>
        <v>1828.6499999999999</v>
      </c>
      <c r="P39" s="1">
        <f t="shared" si="53"/>
        <v>1219.0999999999999</v>
      </c>
      <c r="Q39" s="1">
        <f>SUM(O39+P39)</f>
        <v>3047.75</v>
      </c>
      <c r="R39" s="1">
        <f t="shared" si="54"/>
        <v>1219.0999999999999</v>
      </c>
      <c r="S39" s="1">
        <f t="shared" si="55"/>
        <v>4266.8500000000004</v>
      </c>
      <c r="T39" s="1">
        <f t="shared" si="56"/>
        <v>1219.0999999999999</v>
      </c>
      <c r="U39" s="1">
        <f t="shared" si="42"/>
        <v>5485.9500000000007</v>
      </c>
      <c r="V39" s="1">
        <f t="shared" si="57"/>
        <v>1219.0999999999999</v>
      </c>
      <c r="W39" s="1">
        <f t="shared" si="43"/>
        <v>6705.0500000000011</v>
      </c>
      <c r="X39" s="1">
        <f t="shared" si="58"/>
        <v>1219.0999999999999</v>
      </c>
      <c r="Y39" s="1">
        <f t="shared" si="44"/>
        <v>7924.1500000000015</v>
      </c>
      <c r="Z39" s="1">
        <f t="shared" si="59"/>
        <v>1219.0999999999999</v>
      </c>
      <c r="AA39" s="1">
        <f t="shared" si="45"/>
        <v>9143.2500000000018</v>
      </c>
      <c r="AB39" s="1">
        <f t="shared" si="60"/>
        <v>1219.0999999999999</v>
      </c>
      <c r="AC39" s="1">
        <f t="shared" si="18"/>
        <v>10362.350000000002</v>
      </c>
      <c r="AD39" s="1">
        <f t="shared" ref="AD39:AD48" si="61">AB39</f>
        <v>1219.0999999999999</v>
      </c>
      <c r="AE39" s="1">
        <f t="shared" si="20"/>
        <v>11581.450000000003</v>
      </c>
      <c r="AF39" s="1">
        <f>12191-11581</f>
        <v>610</v>
      </c>
      <c r="AG39" s="1">
        <f t="shared" si="46"/>
        <v>12191.450000000003</v>
      </c>
      <c r="AH39" s="1">
        <v>0</v>
      </c>
      <c r="AI39" s="1">
        <f t="shared" si="47"/>
        <v>12191.450000000003</v>
      </c>
      <c r="AJ39" s="1">
        <v>0</v>
      </c>
      <c r="AK39" s="1">
        <f t="shared" si="48"/>
        <v>12191.450000000003</v>
      </c>
      <c r="AL39" s="1">
        <v>0</v>
      </c>
      <c r="AM39" s="1">
        <f t="shared" si="49"/>
        <v>12191.450000000003</v>
      </c>
      <c r="AN39" s="1">
        <f t="shared" si="50"/>
        <v>0</v>
      </c>
      <c r="AO39" s="1">
        <f t="shared" si="51"/>
        <v>12191.450000000003</v>
      </c>
      <c r="AP39" s="1">
        <v>12191</v>
      </c>
      <c r="AQ39" s="1">
        <f t="shared" si="52"/>
        <v>-0.45000000000254659</v>
      </c>
    </row>
    <row r="40" spans="2:43" x14ac:dyDescent="0.2">
      <c r="B40" s="2" t="s">
        <v>37</v>
      </c>
      <c r="C40" s="9">
        <v>38898</v>
      </c>
      <c r="D40" s="14">
        <v>250000</v>
      </c>
      <c r="E40" s="3" t="s">
        <v>14</v>
      </c>
      <c r="F40" s="3">
        <v>10</v>
      </c>
      <c r="L40" s="1">
        <v>11891</v>
      </c>
      <c r="M40" s="1">
        <f t="shared" si="39"/>
        <v>11891</v>
      </c>
      <c r="N40" s="1">
        <f t="shared" si="40"/>
        <v>25000</v>
      </c>
      <c r="O40" s="1">
        <f t="shared" si="41"/>
        <v>36891</v>
      </c>
      <c r="P40" s="1">
        <f t="shared" si="53"/>
        <v>25000</v>
      </c>
      <c r="Q40" s="1">
        <f>SUM(O40+P40)</f>
        <v>61891</v>
      </c>
      <c r="R40" s="1">
        <f t="shared" si="54"/>
        <v>25000</v>
      </c>
      <c r="S40" s="1">
        <f t="shared" si="55"/>
        <v>86891</v>
      </c>
      <c r="T40" s="1">
        <f t="shared" si="56"/>
        <v>25000</v>
      </c>
      <c r="U40" s="1">
        <f t="shared" si="42"/>
        <v>111891</v>
      </c>
      <c r="V40" s="1">
        <f t="shared" si="57"/>
        <v>25000</v>
      </c>
      <c r="W40" s="1">
        <f t="shared" si="43"/>
        <v>136891</v>
      </c>
      <c r="X40" s="1">
        <f t="shared" si="58"/>
        <v>25000</v>
      </c>
      <c r="Y40" s="1">
        <f t="shared" si="44"/>
        <v>161891</v>
      </c>
      <c r="Z40" s="1">
        <f t="shared" si="59"/>
        <v>25000</v>
      </c>
      <c r="AA40" s="1">
        <f t="shared" si="45"/>
        <v>186891</v>
      </c>
      <c r="AB40" s="1">
        <f t="shared" si="60"/>
        <v>25000</v>
      </c>
      <c r="AC40" s="1">
        <f t="shared" si="18"/>
        <v>211891</v>
      </c>
      <c r="AD40" s="1">
        <f t="shared" si="61"/>
        <v>25000</v>
      </c>
      <c r="AE40" s="1">
        <f t="shared" si="20"/>
        <v>236891</v>
      </c>
      <c r="AF40" s="1">
        <f>250000-236891</f>
        <v>13109</v>
      </c>
      <c r="AG40" s="1">
        <f t="shared" si="46"/>
        <v>250000</v>
      </c>
      <c r="AH40" s="1">
        <v>0</v>
      </c>
      <c r="AI40" s="1">
        <f t="shared" si="47"/>
        <v>250000</v>
      </c>
      <c r="AJ40" s="1">
        <v>0</v>
      </c>
      <c r="AK40" s="1">
        <f t="shared" si="48"/>
        <v>250000</v>
      </c>
      <c r="AL40" s="1">
        <v>0</v>
      </c>
      <c r="AM40" s="1">
        <f t="shared" si="49"/>
        <v>250000</v>
      </c>
      <c r="AN40" s="1">
        <f t="shared" si="50"/>
        <v>0</v>
      </c>
      <c r="AO40" s="1">
        <f t="shared" si="51"/>
        <v>250000</v>
      </c>
      <c r="AP40" s="1">
        <v>250000</v>
      </c>
      <c r="AQ40" s="1">
        <f t="shared" si="52"/>
        <v>0</v>
      </c>
    </row>
    <row r="41" spans="2:43" x14ac:dyDescent="0.2">
      <c r="B41" s="4" t="s">
        <v>38</v>
      </c>
      <c r="C41" s="9">
        <v>39263</v>
      </c>
      <c r="D41" s="14">
        <v>4844</v>
      </c>
      <c r="E41" s="3" t="s">
        <v>14</v>
      </c>
      <c r="F41" s="3">
        <v>10</v>
      </c>
      <c r="N41" s="1">
        <f>SUM(D41/F41)/2</f>
        <v>242.2</v>
      </c>
      <c r="O41" s="1">
        <f t="shared" si="41"/>
        <v>242.2</v>
      </c>
      <c r="P41" s="1">
        <f t="shared" si="53"/>
        <v>484.4</v>
      </c>
      <c r="Q41" s="1">
        <v>726</v>
      </c>
      <c r="R41" s="1">
        <f t="shared" si="54"/>
        <v>484.4</v>
      </c>
      <c r="S41" s="1">
        <f t="shared" si="55"/>
        <v>1210.4000000000001</v>
      </c>
      <c r="T41" s="1">
        <f t="shared" si="56"/>
        <v>484.4</v>
      </c>
      <c r="U41" s="1">
        <f t="shared" si="42"/>
        <v>1694.8000000000002</v>
      </c>
      <c r="V41" s="1">
        <f t="shared" si="57"/>
        <v>484.4</v>
      </c>
      <c r="W41" s="1">
        <f t="shared" si="43"/>
        <v>2179.2000000000003</v>
      </c>
      <c r="X41" s="1">
        <f t="shared" si="58"/>
        <v>484.4</v>
      </c>
      <c r="Y41" s="1">
        <f t="shared" si="44"/>
        <v>2663.6000000000004</v>
      </c>
      <c r="Z41" s="1">
        <f t="shared" si="59"/>
        <v>484.4</v>
      </c>
      <c r="AA41" s="1">
        <f t="shared" si="45"/>
        <v>3148.0000000000005</v>
      </c>
      <c r="AB41" s="1">
        <f t="shared" si="60"/>
        <v>484.4</v>
      </c>
      <c r="AC41" s="1">
        <f t="shared" si="18"/>
        <v>3632.4000000000005</v>
      </c>
      <c r="AD41" s="1">
        <f t="shared" si="61"/>
        <v>484.4</v>
      </c>
      <c r="AE41" s="1">
        <f t="shared" si="20"/>
        <v>4116.8</v>
      </c>
      <c r="AF41" s="1">
        <f t="shared" ref="AF41:AF48" si="62">AD41</f>
        <v>484.4</v>
      </c>
      <c r="AG41" s="1">
        <f t="shared" si="46"/>
        <v>4601.2</v>
      </c>
      <c r="AH41" s="1">
        <f>4844-4601</f>
        <v>243</v>
      </c>
      <c r="AI41" s="1">
        <f t="shared" si="47"/>
        <v>4844.2</v>
      </c>
      <c r="AJ41" s="1">
        <v>0</v>
      </c>
      <c r="AK41" s="1">
        <f t="shared" si="48"/>
        <v>4844.2</v>
      </c>
      <c r="AL41" s="1">
        <v>0</v>
      </c>
      <c r="AM41" s="1">
        <f t="shared" si="49"/>
        <v>4844.2</v>
      </c>
      <c r="AN41" s="1">
        <f t="shared" si="50"/>
        <v>0</v>
      </c>
      <c r="AO41" s="1">
        <f t="shared" si="51"/>
        <v>4844.2</v>
      </c>
      <c r="AP41" s="1">
        <v>4844</v>
      </c>
      <c r="AQ41" s="1">
        <f t="shared" si="52"/>
        <v>-0.1999999999998181</v>
      </c>
    </row>
    <row r="42" spans="2:43" x14ac:dyDescent="0.2">
      <c r="B42" s="4" t="s">
        <v>39</v>
      </c>
      <c r="C42" s="9">
        <v>39629</v>
      </c>
      <c r="D42" s="14">
        <v>9514</v>
      </c>
      <c r="E42" s="3" t="s">
        <v>14</v>
      </c>
      <c r="F42" s="3">
        <v>10</v>
      </c>
      <c r="P42" s="1">
        <v>476</v>
      </c>
      <c r="Q42" s="1">
        <v>476</v>
      </c>
      <c r="R42" s="1">
        <f>SUM(D42/10)</f>
        <v>951.4</v>
      </c>
      <c r="S42" s="1">
        <f t="shared" si="55"/>
        <v>1427.4</v>
      </c>
      <c r="T42" s="1">
        <f t="shared" si="56"/>
        <v>951.4</v>
      </c>
      <c r="U42" s="1">
        <f t="shared" si="42"/>
        <v>2378.8000000000002</v>
      </c>
      <c r="V42" s="1">
        <f t="shared" si="57"/>
        <v>951.4</v>
      </c>
      <c r="W42" s="1">
        <f t="shared" si="43"/>
        <v>3330.2000000000003</v>
      </c>
      <c r="X42" s="1">
        <f t="shared" si="58"/>
        <v>951.4</v>
      </c>
      <c r="Y42" s="1">
        <f t="shared" si="44"/>
        <v>4281.6000000000004</v>
      </c>
      <c r="Z42" s="1">
        <f t="shared" si="59"/>
        <v>951.4</v>
      </c>
      <c r="AA42" s="1">
        <f t="shared" si="45"/>
        <v>5233</v>
      </c>
      <c r="AB42" s="1">
        <f t="shared" si="60"/>
        <v>951.4</v>
      </c>
      <c r="AC42" s="1">
        <f t="shared" si="18"/>
        <v>6184.4</v>
      </c>
      <c r="AD42" s="1">
        <f t="shared" si="61"/>
        <v>951.4</v>
      </c>
      <c r="AE42" s="1">
        <f t="shared" si="20"/>
        <v>7135.7999999999993</v>
      </c>
      <c r="AF42" s="1">
        <f t="shared" si="62"/>
        <v>951.4</v>
      </c>
      <c r="AG42" s="1">
        <f t="shared" si="46"/>
        <v>8087.1999999999989</v>
      </c>
      <c r="AH42" s="1">
        <f t="shared" ref="AH42:AH48" si="63">AF42</f>
        <v>951.4</v>
      </c>
      <c r="AI42" s="1">
        <f t="shared" si="47"/>
        <v>9038.5999999999985</v>
      </c>
      <c r="AJ42" s="1">
        <f>9514-9039</f>
        <v>475</v>
      </c>
      <c r="AK42" s="1">
        <f t="shared" si="48"/>
        <v>9513.5999999999985</v>
      </c>
      <c r="AL42" s="1">
        <v>0</v>
      </c>
      <c r="AM42" s="1">
        <f t="shared" si="49"/>
        <v>9513.5999999999985</v>
      </c>
      <c r="AN42" s="1">
        <f t="shared" si="50"/>
        <v>0</v>
      </c>
      <c r="AO42" s="1">
        <f t="shared" si="51"/>
        <v>9513.5999999999985</v>
      </c>
      <c r="AP42" s="1">
        <v>9514</v>
      </c>
      <c r="AQ42" s="1">
        <f t="shared" si="52"/>
        <v>0.40000000000145519</v>
      </c>
    </row>
    <row r="43" spans="2:43" x14ac:dyDescent="0.2">
      <c r="B43" s="4" t="s">
        <v>40</v>
      </c>
      <c r="C43" s="9">
        <v>39994</v>
      </c>
      <c r="D43" s="14">
        <v>3438</v>
      </c>
      <c r="E43" s="3" t="s">
        <v>14</v>
      </c>
      <c r="F43" s="3">
        <v>10</v>
      </c>
      <c r="R43" s="1">
        <f>SUM(D43/10/2)</f>
        <v>171.9</v>
      </c>
      <c r="S43" s="1">
        <f t="shared" si="55"/>
        <v>171.9</v>
      </c>
      <c r="T43" s="1">
        <f>SUM(D43/10)</f>
        <v>343.8</v>
      </c>
      <c r="U43" s="1">
        <f t="shared" si="42"/>
        <v>515.70000000000005</v>
      </c>
      <c r="V43" s="1">
        <f t="shared" si="57"/>
        <v>343.8</v>
      </c>
      <c r="W43" s="1">
        <f t="shared" si="43"/>
        <v>859.5</v>
      </c>
      <c r="X43" s="1">
        <f t="shared" si="58"/>
        <v>343.8</v>
      </c>
      <c r="Y43" s="1">
        <f t="shared" si="44"/>
        <v>1203.3</v>
      </c>
      <c r="Z43" s="1">
        <f t="shared" si="59"/>
        <v>343.8</v>
      </c>
      <c r="AA43" s="1">
        <f t="shared" si="45"/>
        <v>1547.1</v>
      </c>
      <c r="AB43" s="1">
        <f t="shared" si="60"/>
        <v>343.8</v>
      </c>
      <c r="AC43" s="1">
        <f t="shared" si="18"/>
        <v>1890.8999999999999</v>
      </c>
      <c r="AD43" s="1">
        <f t="shared" si="61"/>
        <v>343.8</v>
      </c>
      <c r="AE43" s="1">
        <f t="shared" si="20"/>
        <v>2234.6999999999998</v>
      </c>
      <c r="AF43" s="1">
        <f t="shared" si="62"/>
        <v>343.8</v>
      </c>
      <c r="AG43" s="1">
        <f t="shared" si="46"/>
        <v>2578.5</v>
      </c>
      <c r="AH43" s="1">
        <f t="shared" si="63"/>
        <v>343.8</v>
      </c>
      <c r="AI43" s="1">
        <f t="shared" si="47"/>
        <v>2922.3</v>
      </c>
      <c r="AJ43" s="1">
        <f t="shared" ref="AJ43:AJ48" si="64">AH43</f>
        <v>343.8</v>
      </c>
      <c r="AK43" s="1">
        <f t="shared" si="48"/>
        <v>3266.1000000000004</v>
      </c>
      <c r="AL43" s="1">
        <f>3438-3266</f>
        <v>172</v>
      </c>
      <c r="AM43" s="1">
        <f t="shared" si="49"/>
        <v>3438.1000000000004</v>
      </c>
      <c r="AN43" s="1">
        <v>0</v>
      </c>
      <c r="AO43" s="1">
        <f t="shared" si="51"/>
        <v>3438.1000000000004</v>
      </c>
      <c r="AP43" s="1">
        <v>3438</v>
      </c>
      <c r="AQ43" s="1">
        <f t="shared" si="52"/>
        <v>-0.1000000000003638</v>
      </c>
    </row>
    <row r="44" spans="2:43" x14ac:dyDescent="0.2">
      <c r="B44" s="4" t="s">
        <v>41</v>
      </c>
      <c r="C44" s="9">
        <v>40359</v>
      </c>
      <c r="D44" s="14">
        <v>16372</v>
      </c>
      <c r="E44" s="3" t="s">
        <v>14</v>
      </c>
      <c r="F44" s="3">
        <v>10</v>
      </c>
      <c r="T44" s="1">
        <v>819</v>
      </c>
      <c r="U44" s="1">
        <v>819</v>
      </c>
      <c r="V44" s="1">
        <f>16372/10</f>
        <v>1637.2</v>
      </c>
      <c r="W44" s="1">
        <f t="shared" si="43"/>
        <v>2456.1999999999998</v>
      </c>
      <c r="X44" s="1">
        <v>1637.2</v>
      </c>
      <c r="Y44" s="1">
        <f t="shared" si="44"/>
        <v>4093.3999999999996</v>
      </c>
      <c r="Z44" s="1">
        <v>1637.2</v>
      </c>
      <c r="AA44" s="1">
        <f t="shared" si="45"/>
        <v>5730.5999999999995</v>
      </c>
      <c r="AB44" s="1">
        <f t="shared" si="60"/>
        <v>1637.2</v>
      </c>
      <c r="AC44" s="1">
        <f t="shared" si="18"/>
        <v>7367.7999999999993</v>
      </c>
      <c r="AD44" s="1">
        <f t="shared" si="61"/>
        <v>1637.2</v>
      </c>
      <c r="AE44" s="1">
        <f t="shared" si="20"/>
        <v>9005</v>
      </c>
      <c r="AF44" s="1">
        <f t="shared" si="62"/>
        <v>1637.2</v>
      </c>
      <c r="AG44" s="1">
        <f t="shared" si="46"/>
        <v>10642.2</v>
      </c>
      <c r="AH44" s="1">
        <f t="shared" si="63"/>
        <v>1637.2</v>
      </c>
      <c r="AI44" s="1">
        <f t="shared" si="47"/>
        <v>12279.400000000001</v>
      </c>
      <c r="AJ44" s="1">
        <f t="shared" si="64"/>
        <v>1637.2</v>
      </c>
      <c r="AK44" s="1">
        <f t="shared" si="48"/>
        <v>13916.600000000002</v>
      </c>
      <c r="AL44" s="1">
        <f>AJ44</f>
        <v>1637.2</v>
      </c>
      <c r="AM44" s="1">
        <f t="shared" si="49"/>
        <v>15553.800000000003</v>
      </c>
      <c r="AN44" s="1">
        <f>AP44-AM44</f>
        <v>818.19999999999709</v>
      </c>
      <c r="AO44" s="1">
        <f t="shared" si="51"/>
        <v>16372</v>
      </c>
      <c r="AP44" s="1">
        <v>16372</v>
      </c>
      <c r="AQ44" s="1">
        <f t="shared" si="52"/>
        <v>0</v>
      </c>
    </row>
    <row r="45" spans="2:43" x14ac:dyDescent="0.2">
      <c r="B45" s="4" t="s">
        <v>31</v>
      </c>
      <c r="C45" s="9">
        <v>40877</v>
      </c>
      <c r="D45" s="14">
        <v>886544</v>
      </c>
      <c r="E45" s="3" t="s">
        <v>14</v>
      </c>
      <c r="F45" s="3">
        <v>10</v>
      </c>
      <c r="V45" s="1">
        <v>7388</v>
      </c>
      <c r="W45" s="1">
        <f t="shared" si="43"/>
        <v>7388</v>
      </c>
      <c r="X45" s="1">
        <v>88654</v>
      </c>
      <c r="Y45" s="1">
        <f t="shared" si="44"/>
        <v>96042</v>
      </c>
      <c r="Z45" s="1">
        <v>88654</v>
      </c>
      <c r="AA45" s="1">
        <f t="shared" si="45"/>
        <v>184696</v>
      </c>
      <c r="AB45" s="1">
        <f t="shared" si="60"/>
        <v>88654</v>
      </c>
      <c r="AC45" s="1">
        <f t="shared" si="18"/>
        <v>273350</v>
      </c>
      <c r="AD45" s="1">
        <f t="shared" si="61"/>
        <v>88654</v>
      </c>
      <c r="AE45" s="1">
        <f t="shared" si="20"/>
        <v>362004</v>
      </c>
      <c r="AF45" s="1">
        <f t="shared" si="62"/>
        <v>88654</v>
      </c>
      <c r="AG45" s="1">
        <f t="shared" si="46"/>
        <v>450658</v>
      </c>
      <c r="AH45" s="1">
        <f t="shared" si="63"/>
        <v>88654</v>
      </c>
      <c r="AI45" s="1">
        <f t="shared" si="47"/>
        <v>539312</v>
      </c>
      <c r="AJ45" s="1">
        <f t="shared" si="64"/>
        <v>88654</v>
      </c>
      <c r="AK45" s="1">
        <f t="shared" si="48"/>
        <v>627966</v>
      </c>
      <c r="AL45" s="1">
        <f>AJ45</f>
        <v>88654</v>
      </c>
      <c r="AM45" s="1">
        <f t="shared" si="49"/>
        <v>716620</v>
      </c>
      <c r="AN45" s="1">
        <f t="shared" ref="AN45:AN54" si="65">AL45</f>
        <v>88654</v>
      </c>
      <c r="AO45" s="1">
        <f t="shared" si="51"/>
        <v>805274</v>
      </c>
      <c r="AP45" s="1">
        <v>886544</v>
      </c>
      <c r="AQ45" s="1">
        <f t="shared" si="52"/>
        <v>81270</v>
      </c>
    </row>
    <row r="46" spans="2:43" x14ac:dyDescent="0.2">
      <c r="B46" s="4" t="s">
        <v>32</v>
      </c>
      <c r="C46" s="9">
        <v>40846</v>
      </c>
      <c r="D46" s="14">
        <v>38100</v>
      </c>
      <c r="E46" s="3" t="s">
        <v>14</v>
      </c>
      <c r="F46" s="3">
        <v>10</v>
      </c>
      <c r="V46" s="1">
        <v>635</v>
      </c>
      <c r="W46" s="1">
        <f t="shared" si="43"/>
        <v>635</v>
      </c>
      <c r="X46" s="1">
        <v>3810</v>
      </c>
      <c r="Y46" s="1">
        <f t="shared" si="44"/>
        <v>4445</v>
      </c>
      <c r="Z46" s="1">
        <v>3810</v>
      </c>
      <c r="AA46" s="1">
        <f t="shared" si="45"/>
        <v>8255</v>
      </c>
      <c r="AB46" s="1">
        <f t="shared" si="60"/>
        <v>3810</v>
      </c>
      <c r="AC46" s="1">
        <f t="shared" si="18"/>
        <v>12065</v>
      </c>
      <c r="AD46" s="1">
        <f t="shared" si="61"/>
        <v>3810</v>
      </c>
      <c r="AE46" s="1">
        <f t="shared" si="20"/>
        <v>15875</v>
      </c>
      <c r="AF46" s="1">
        <f t="shared" si="62"/>
        <v>3810</v>
      </c>
      <c r="AG46" s="1">
        <f t="shared" si="46"/>
        <v>19685</v>
      </c>
      <c r="AH46" s="1">
        <f t="shared" si="63"/>
        <v>3810</v>
      </c>
      <c r="AI46" s="1">
        <f t="shared" si="47"/>
        <v>23495</v>
      </c>
      <c r="AJ46" s="1">
        <f t="shared" si="64"/>
        <v>3810</v>
      </c>
      <c r="AK46" s="1">
        <f t="shared" si="48"/>
        <v>27305</v>
      </c>
      <c r="AL46" s="1">
        <f>AJ46</f>
        <v>3810</v>
      </c>
      <c r="AM46" s="1">
        <f t="shared" si="49"/>
        <v>31115</v>
      </c>
      <c r="AN46" s="1">
        <f t="shared" si="65"/>
        <v>3810</v>
      </c>
      <c r="AO46" s="1">
        <f t="shared" si="51"/>
        <v>34925</v>
      </c>
      <c r="AP46" s="1">
        <v>38100</v>
      </c>
      <c r="AQ46" s="1">
        <f t="shared" si="52"/>
        <v>3175</v>
      </c>
    </row>
    <row r="47" spans="2:43" x14ac:dyDescent="0.2">
      <c r="B47" s="4" t="s">
        <v>42</v>
      </c>
      <c r="C47" s="9">
        <v>40724</v>
      </c>
      <c r="D47" s="14">
        <v>2519</v>
      </c>
      <c r="E47" s="3" t="s">
        <v>14</v>
      </c>
      <c r="F47" s="3">
        <v>10</v>
      </c>
      <c r="V47" s="1">
        <v>126</v>
      </c>
      <c r="W47" s="1">
        <f t="shared" si="43"/>
        <v>126</v>
      </c>
      <c r="X47" s="1">
        <v>252</v>
      </c>
      <c r="Y47" s="1">
        <f t="shared" si="44"/>
        <v>378</v>
      </c>
      <c r="Z47" s="1">
        <v>252</v>
      </c>
      <c r="AA47" s="1">
        <f t="shared" si="45"/>
        <v>630</v>
      </c>
      <c r="AB47" s="1">
        <f t="shared" si="60"/>
        <v>252</v>
      </c>
      <c r="AC47" s="1">
        <f t="shared" si="18"/>
        <v>882</v>
      </c>
      <c r="AD47" s="1">
        <f t="shared" si="61"/>
        <v>252</v>
      </c>
      <c r="AE47" s="1">
        <f t="shared" si="20"/>
        <v>1134</v>
      </c>
      <c r="AF47" s="1">
        <f t="shared" si="62"/>
        <v>252</v>
      </c>
      <c r="AG47" s="1">
        <f t="shared" si="46"/>
        <v>1386</v>
      </c>
      <c r="AH47" s="1">
        <f t="shared" si="63"/>
        <v>252</v>
      </c>
      <c r="AI47" s="1">
        <f t="shared" si="47"/>
        <v>1638</v>
      </c>
      <c r="AJ47" s="1">
        <f t="shared" si="64"/>
        <v>252</v>
      </c>
      <c r="AK47" s="1">
        <f t="shared" si="48"/>
        <v>1890</v>
      </c>
      <c r="AL47" s="1">
        <f>AJ47</f>
        <v>252</v>
      </c>
      <c r="AM47" s="1">
        <f t="shared" si="49"/>
        <v>2142</v>
      </c>
      <c r="AN47" s="1">
        <f t="shared" si="65"/>
        <v>252</v>
      </c>
      <c r="AO47" s="1">
        <f t="shared" si="51"/>
        <v>2394</v>
      </c>
      <c r="AP47" s="1">
        <v>2519</v>
      </c>
      <c r="AQ47" s="1">
        <f t="shared" si="52"/>
        <v>125</v>
      </c>
    </row>
    <row r="48" spans="2:43" x14ac:dyDescent="0.2">
      <c r="B48" s="4" t="s">
        <v>43</v>
      </c>
      <c r="C48" s="9">
        <v>41090</v>
      </c>
      <c r="D48" s="14">
        <v>3400</v>
      </c>
      <c r="E48" s="3" t="s">
        <v>14</v>
      </c>
      <c r="F48" s="3">
        <v>10</v>
      </c>
      <c r="X48" s="1">
        <v>170</v>
      </c>
      <c r="Y48" s="1">
        <f t="shared" si="44"/>
        <v>170</v>
      </c>
      <c r="Z48" s="1">
        <f>3400/10</f>
        <v>340</v>
      </c>
      <c r="AA48" s="1">
        <f t="shared" si="45"/>
        <v>510</v>
      </c>
      <c r="AB48" s="1">
        <f t="shared" si="60"/>
        <v>340</v>
      </c>
      <c r="AC48" s="1">
        <f t="shared" si="18"/>
        <v>850</v>
      </c>
      <c r="AD48" s="1">
        <f t="shared" si="61"/>
        <v>340</v>
      </c>
      <c r="AE48" s="1">
        <f t="shared" si="20"/>
        <v>1190</v>
      </c>
      <c r="AF48" s="1">
        <f t="shared" si="62"/>
        <v>340</v>
      </c>
      <c r="AG48" s="1">
        <f t="shared" si="46"/>
        <v>1530</v>
      </c>
      <c r="AH48" s="1">
        <f t="shared" si="63"/>
        <v>340</v>
      </c>
      <c r="AI48" s="1">
        <f t="shared" si="47"/>
        <v>1870</v>
      </c>
      <c r="AJ48" s="1">
        <f t="shared" si="64"/>
        <v>340</v>
      </c>
      <c r="AK48" s="1">
        <f t="shared" si="48"/>
        <v>2210</v>
      </c>
      <c r="AL48" s="1">
        <f>AJ48</f>
        <v>340</v>
      </c>
      <c r="AM48" s="1">
        <f t="shared" si="49"/>
        <v>2550</v>
      </c>
      <c r="AN48" s="1">
        <f t="shared" si="65"/>
        <v>340</v>
      </c>
      <c r="AO48" s="1">
        <f t="shared" si="51"/>
        <v>2890</v>
      </c>
      <c r="AP48" s="1">
        <v>3400</v>
      </c>
      <c r="AQ48" s="1">
        <f t="shared" si="52"/>
        <v>510</v>
      </c>
    </row>
    <row r="49" spans="1:43" x14ac:dyDescent="0.2">
      <c r="B49" s="4" t="s">
        <v>44</v>
      </c>
      <c r="C49" s="9">
        <v>41455</v>
      </c>
      <c r="D49" s="14">
        <v>7861</v>
      </c>
      <c r="E49" s="3" t="s">
        <v>14</v>
      </c>
      <c r="F49" s="3">
        <v>10</v>
      </c>
      <c r="Z49" s="1">
        <v>393</v>
      </c>
      <c r="AA49" s="1">
        <v>393</v>
      </c>
      <c r="AB49" s="1">
        <f>7861/10</f>
        <v>786.1</v>
      </c>
      <c r="AC49" s="1">
        <f t="shared" si="18"/>
        <v>1179.0999999999999</v>
      </c>
      <c r="AD49" s="1">
        <f>7861/10</f>
        <v>786.1</v>
      </c>
      <c r="AE49" s="1">
        <f t="shared" si="20"/>
        <v>1965.1999999999998</v>
      </c>
      <c r="AF49" s="1">
        <f>7861/10</f>
        <v>786.1</v>
      </c>
      <c r="AG49" s="1">
        <f t="shared" si="46"/>
        <v>2751.2999999999997</v>
      </c>
      <c r="AH49" s="1">
        <f>7861/10</f>
        <v>786.1</v>
      </c>
      <c r="AI49" s="1">
        <f t="shared" si="47"/>
        <v>3537.3999999999996</v>
      </c>
      <c r="AJ49" s="1">
        <f>7861/10</f>
        <v>786.1</v>
      </c>
      <c r="AK49" s="1">
        <f t="shared" si="48"/>
        <v>4323.5</v>
      </c>
      <c r="AL49" s="1">
        <f>7861/10</f>
        <v>786.1</v>
      </c>
      <c r="AM49" s="1">
        <f t="shared" si="49"/>
        <v>5109.6000000000004</v>
      </c>
      <c r="AN49" s="1">
        <f t="shared" si="65"/>
        <v>786.1</v>
      </c>
      <c r="AO49" s="1">
        <f t="shared" si="51"/>
        <v>5895.7000000000007</v>
      </c>
      <c r="AP49" s="1">
        <v>7861</v>
      </c>
      <c r="AQ49" s="1">
        <f t="shared" si="52"/>
        <v>1965.2999999999993</v>
      </c>
    </row>
    <row r="50" spans="1:43" x14ac:dyDescent="0.2">
      <c r="B50" s="4" t="s">
        <v>45</v>
      </c>
      <c r="C50" s="9">
        <v>41820</v>
      </c>
      <c r="D50" s="14">
        <v>5928</v>
      </c>
      <c r="E50" s="3" t="s">
        <v>14</v>
      </c>
      <c r="F50" s="3">
        <v>10</v>
      </c>
      <c r="AB50" s="1">
        <f>5928/10/2</f>
        <v>296.39999999999998</v>
      </c>
      <c r="AC50" s="1">
        <f t="shared" si="18"/>
        <v>296.39999999999998</v>
      </c>
      <c r="AD50" s="1">
        <f>5928/10</f>
        <v>592.79999999999995</v>
      </c>
      <c r="AE50" s="1">
        <f t="shared" si="20"/>
        <v>889.19999999999993</v>
      </c>
      <c r="AF50" s="1">
        <f>5928/10</f>
        <v>592.79999999999995</v>
      </c>
      <c r="AG50" s="1">
        <f t="shared" si="46"/>
        <v>1482</v>
      </c>
      <c r="AH50" s="1">
        <f>5928/10</f>
        <v>592.79999999999995</v>
      </c>
      <c r="AI50" s="1">
        <f t="shared" si="47"/>
        <v>2074.8000000000002</v>
      </c>
      <c r="AJ50" s="1">
        <f>5928/10</f>
        <v>592.79999999999995</v>
      </c>
      <c r="AK50" s="1">
        <f t="shared" si="48"/>
        <v>2667.6000000000004</v>
      </c>
      <c r="AL50" s="1">
        <f>5928/10</f>
        <v>592.79999999999995</v>
      </c>
      <c r="AM50" s="1">
        <f t="shared" si="49"/>
        <v>3260.4000000000005</v>
      </c>
      <c r="AN50" s="1">
        <f t="shared" si="65"/>
        <v>592.79999999999995</v>
      </c>
      <c r="AO50" s="1">
        <f t="shared" si="51"/>
        <v>3853.2000000000007</v>
      </c>
      <c r="AP50" s="1">
        <v>5928</v>
      </c>
      <c r="AQ50" s="1">
        <f t="shared" si="52"/>
        <v>2074.7999999999993</v>
      </c>
    </row>
    <row r="51" spans="1:43" x14ac:dyDescent="0.2">
      <c r="B51" s="4" t="s">
        <v>46</v>
      </c>
      <c r="C51" s="9">
        <v>42185</v>
      </c>
      <c r="D51" s="14">
        <v>288</v>
      </c>
      <c r="E51" s="3" t="s">
        <v>14</v>
      </c>
      <c r="F51" s="3">
        <v>10</v>
      </c>
      <c r="AB51" s="1">
        <f>Z51</f>
        <v>0</v>
      </c>
      <c r="AC51" s="1">
        <f t="shared" si="18"/>
        <v>0</v>
      </c>
      <c r="AD51" s="1">
        <f>288/10/2</f>
        <v>14.4</v>
      </c>
      <c r="AE51" s="1">
        <f t="shared" si="20"/>
        <v>14.4</v>
      </c>
      <c r="AF51" s="1">
        <f>288/10</f>
        <v>28.8</v>
      </c>
      <c r="AG51" s="1">
        <f t="shared" si="46"/>
        <v>43.2</v>
      </c>
      <c r="AH51" s="1">
        <f>288/10</f>
        <v>28.8</v>
      </c>
      <c r="AI51" s="1">
        <f t="shared" si="47"/>
        <v>72</v>
      </c>
      <c r="AJ51" s="1">
        <f>288/10</f>
        <v>28.8</v>
      </c>
      <c r="AK51" s="1">
        <f t="shared" si="48"/>
        <v>100.8</v>
      </c>
      <c r="AL51" s="1">
        <f>288/10</f>
        <v>28.8</v>
      </c>
      <c r="AM51" s="1">
        <f t="shared" si="49"/>
        <v>129.6</v>
      </c>
      <c r="AN51" s="1">
        <f t="shared" si="65"/>
        <v>28.8</v>
      </c>
      <c r="AO51" s="1">
        <f t="shared" si="51"/>
        <v>158.4</v>
      </c>
      <c r="AP51" s="1">
        <v>288</v>
      </c>
      <c r="AQ51" s="1">
        <f t="shared" si="52"/>
        <v>129.6</v>
      </c>
    </row>
    <row r="52" spans="1:43" x14ac:dyDescent="0.2">
      <c r="B52" s="4" t="s">
        <v>47</v>
      </c>
      <c r="C52" s="9">
        <v>42551</v>
      </c>
      <c r="D52" s="14">
        <v>1104</v>
      </c>
      <c r="E52" s="3" t="s">
        <v>14</v>
      </c>
      <c r="F52" s="3">
        <v>10</v>
      </c>
      <c r="AF52" s="1">
        <f>1104/10/2</f>
        <v>55.2</v>
      </c>
      <c r="AG52" s="1">
        <v>55</v>
      </c>
      <c r="AH52" s="1">
        <f>1104/10</f>
        <v>110.4</v>
      </c>
      <c r="AI52" s="1">
        <f t="shared" si="47"/>
        <v>165.4</v>
      </c>
      <c r="AJ52" s="1">
        <f>1104/10</f>
        <v>110.4</v>
      </c>
      <c r="AK52" s="1">
        <f t="shared" si="48"/>
        <v>275.8</v>
      </c>
      <c r="AL52" s="1">
        <f>1104/10</f>
        <v>110.4</v>
      </c>
      <c r="AM52" s="1">
        <f t="shared" si="49"/>
        <v>386.20000000000005</v>
      </c>
      <c r="AN52" s="1">
        <f t="shared" si="65"/>
        <v>110.4</v>
      </c>
      <c r="AO52" s="1">
        <f t="shared" si="51"/>
        <v>496.6</v>
      </c>
      <c r="AP52" s="1">
        <v>1104</v>
      </c>
      <c r="AQ52" s="1">
        <f t="shared" si="52"/>
        <v>607.4</v>
      </c>
    </row>
    <row r="53" spans="1:43" x14ac:dyDescent="0.2">
      <c r="B53" s="4" t="s">
        <v>48</v>
      </c>
      <c r="C53" s="9">
        <v>42916</v>
      </c>
      <c r="D53" s="14">
        <v>1752</v>
      </c>
      <c r="E53" s="3" t="s">
        <v>14</v>
      </c>
      <c r="F53" s="3">
        <v>10</v>
      </c>
      <c r="AH53" s="1">
        <f>1752/10/2</f>
        <v>87.6</v>
      </c>
      <c r="AI53" s="1">
        <f t="shared" si="47"/>
        <v>87.6</v>
      </c>
      <c r="AJ53" s="1">
        <f>1752/10</f>
        <v>175.2</v>
      </c>
      <c r="AK53" s="1">
        <f t="shared" si="48"/>
        <v>262.79999999999995</v>
      </c>
      <c r="AL53" s="1">
        <f>1752/10</f>
        <v>175.2</v>
      </c>
      <c r="AM53" s="1">
        <f t="shared" si="49"/>
        <v>437.99999999999994</v>
      </c>
      <c r="AN53" s="1">
        <f t="shared" si="65"/>
        <v>175.2</v>
      </c>
      <c r="AO53" s="1">
        <f t="shared" si="51"/>
        <v>613.19999999999993</v>
      </c>
      <c r="AP53" s="1">
        <v>1752</v>
      </c>
      <c r="AQ53" s="1">
        <f t="shared" si="52"/>
        <v>1138.8000000000002</v>
      </c>
    </row>
    <row r="54" spans="1:43" x14ac:dyDescent="0.2">
      <c r="B54" s="4" t="s">
        <v>49</v>
      </c>
      <c r="C54" s="9">
        <v>43281</v>
      </c>
      <c r="D54" s="14">
        <v>480</v>
      </c>
      <c r="E54" s="3" t="s">
        <v>14</v>
      </c>
      <c r="F54" s="3">
        <v>10</v>
      </c>
      <c r="AJ54" s="1">
        <f>480/10/2</f>
        <v>24</v>
      </c>
      <c r="AK54" s="1">
        <f t="shared" si="48"/>
        <v>24</v>
      </c>
      <c r="AL54" s="1">
        <f>480/10</f>
        <v>48</v>
      </c>
      <c r="AM54" s="1">
        <f t="shared" si="49"/>
        <v>72</v>
      </c>
      <c r="AN54" s="1">
        <f t="shared" si="65"/>
        <v>48</v>
      </c>
      <c r="AO54" s="1">
        <f t="shared" si="51"/>
        <v>120</v>
      </c>
      <c r="AP54" s="1">
        <v>480</v>
      </c>
      <c r="AQ54" s="1">
        <f t="shared" si="52"/>
        <v>360</v>
      </c>
    </row>
    <row r="55" spans="1:43" x14ac:dyDescent="0.2">
      <c r="B55" s="4" t="s">
        <v>50</v>
      </c>
      <c r="C55" s="9">
        <v>43646</v>
      </c>
      <c r="D55" s="14">
        <v>2205</v>
      </c>
      <c r="E55" s="3" t="s">
        <v>14</v>
      </c>
      <c r="F55" s="3">
        <v>10</v>
      </c>
      <c r="AL55" s="1">
        <f>2205/10/2</f>
        <v>110.25</v>
      </c>
      <c r="AM55" s="1">
        <f t="shared" si="49"/>
        <v>110.25</v>
      </c>
      <c r="AN55" s="1">
        <f>D55/10</f>
        <v>220.5</v>
      </c>
      <c r="AO55" s="1">
        <f t="shared" si="51"/>
        <v>330.75</v>
      </c>
      <c r="AP55" s="1">
        <v>2205</v>
      </c>
      <c r="AQ55" s="1">
        <f t="shared" si="52"/>
        <v>1874.25</v>
      </c>
    </row>
    <row r="56" spans="1:43" x14ac:dyDescent="0.2">
      <c r="B56" s="4" t="s">
        <v>51</v>
      </c>
      <c r="C56" s="9">
        <v>44165</v>
      </c>
      <c r="D56" s="14">
        <v>20780</v>
      </c>
      <c r="E56" s="3" t="s">
        <v>14</v>
      </c>
      <c r="F56" s="3">
        <v>10</v>
      </c>
      <c r="AN56" s="1">
        <f>20780/10/10*1</f>
        <v>207.8</v>
      </c>
      <c r="AO56" s="1">
        <f t="shared" si="51"/>
        <v>207.8</v>
      </c>
      <c r="AP56" s="1">
        <v>20780</v>
      </c>
      <c r="AQ56" s="1">
        <f t="shared" si="52"/>
        <v>20572.2</v>
      </c>
    </row>
    <row r="57" spans="1:43" x14ac:dyDescent="0.2">
      <c r="B57" s="4" t="s">
        <v>52</v>
      </c>
      <c r="C57" s="9">
        <v>44012</v>
      </c>
      <c r="D57" s="14">
        <v>709</v>
      </c>
      <c r="E57" s="3" t="s">
        <v>14</v>
      </c>
      <c r="F57" s="3">
        <v>10</v>
      </c>
      <c r="AN57" s="1">
        <f>709/10/2</f>
        <v>35.450000000000003</v>
      </c>
      <c r="AO57" s="1">
        <f t="shared" si="51"/>
        <v>35.450000000000003</v>
      </c>
      <c r="AP57" s="1">
        <v>709</v>
      </c>
      <c r="AQ57" s="1">
        <f t="shared" si="52"/>
        <v>673.55</v>
      </c>
    </row>
    <row r="58" spans="1:43" x14ac:dyDescent="0.2">
      <c r="B58" s="4"/>
      <c r="E58" s="3"/>
      <c r="F58" s="3"/>
    </row>
    <row r="59" spans="1:43" x14ac:dyDescent="0.2">
      <c r="D59" s="15">
        <f>SUM(D31:D58)</f>
        <v>1490890</v>
      </c>
      <c r="E59" s="6"/>
      <c r="F59" s="6"/>
      <c r="G59" s="15">
        <f t="shared" ref="G59:O59" si="66">SUM(G31:G41)</f>
        <v>23543</v>
      </c>
      <c r="H59" s="15">
        <f t="shared" si="66"/>
        <v>20610.149999999998</v>
      </c>
      <c r="I59" s="5">
        <f t="shared" si="66"/>
        <v>44153.149999999994</v>
      </c>
      <c r="J59" s="5">
        <f t="shared" si="66"/>
        <v>22013.1</v>
      </c>
      <c r="K59" s="5">
        <f t="shared" si="66"/>
        <v>66166.25</v>
      </c>
      <c r="L59" s="5">
        <f t="shared" si="66"/>
        <v>34786.649999999994</v>
      </c>
      <c r="M59" s="5">
        <f t="shared" si="66"/>
        <v>100952.9</v>
      </c>
      <c r="N59" s="5">
        <f t="shared" si="66"/>
        <v>48747.399999999994</v>
      </c>
      <c r="O59" s="5">
        <f t="shared" si="66"/>
        <v>149700.29999999999</v>
      </c>
      <c r="P59" s="5">
        <f>SUM(P31:P43)</f>
        <v>48968.200000000004</v>
      </c>
      <c r="Q59" s="5">
        <f>SUM(Q31:Q43)</f>
        <v>202054.85</v>
      </c>
      <c r="R59" s="5">
        <f>SUM(R31:R43)</f>
        <v>49615.500000000007</v>
      </c>
      <c r="S59" s="5">
        <f>SUM(S31:S43)</f>
        <v>251669.74999999997</v>
      </c>
      <c r="T59" s="5">
        <f>SUM(T31:T43)</f>
        <v>48510.8</v>
      </c>
      <c r="U59" s="5">
        <f t="shared" ref="U59:AA59" si="67">SUM(U31:U49)</f>
        <v>300999.55</v>
      </c>
      <c r="V59" s="5">
        <f t="shared" si="67"/>
        <v>55911.3</v>
      </c>
      <c r="W59" s="5">
        <f t="shared" si="67"/>
        <v>356910.85000000003</v>
      </c>
      <c r="X59" s="5">
        <f t="shared" si="67"/>
        <v>142033.79999999999</v>
      </c>
      <c r="Y59" s="5">
        <f t="shared" si="67"/>
        <v>498944.64999999997</v>
      </c>
      <c r="Z59" s="5">
        <f t="shared" si="67"/>
        <v>128144.8</v>
      </c>
      <c r="AA59" s="5">
        <f t="shared" si="67"/>
        <v>627089.44999999995</v>
      </c>
      <c r="AB59" s="1">
        <f>SUM(AB31:AB51)</f>
        <v>125449.4</v>
      </c>
      <c r="AC59" s="1">
        <f t="shared" ref="AC59:AC64" si="68">AA59+AB59</f>
        <v>752538.85</v>
      </c>
      <c r="AD59" s="1">
        <f>SUM(AD31:AD51)</f>
        <v>124358.2</v>
      </c>
      <c r="AE59" s="1">
        <f>SUM(AE31:AE51)</f>
        <v>876897.04999999993</v>
      </c>
      <c r="AF59" s="5">
        <f>SUM(AF31:AF52)</f>
        <v>111654.70000000001</v>
      </c>
      <c r="AG59" s="5">
        <f>SUM(AG31:AG54)</f>
        <v>988551.55</v>
      </c>
      <c r="AH59" s="5">
        <f>SUM(AH31:AH54)</f>
        <v>97837.1</v>
      </c>
      <c r="AI59" s="5">
        <f>SUM(AI31:AI54)</f>
        <v>1086388.6499999999</v>
      </c>
      <c r="AJ59" s="5">
        <f>SUM(AJ31:AJ54)</f>
        <v>97229.3</v>
      </c>
      <c r="AK59" s="5">
        <f>SUM(AK31:AK54)</f>
        <v>1183617.9500000002</v>
      </c>
      <c r="AL59" s="5">
        <f>SUM(AL31:AL55)</f>
        <v>96716.75</v>
      </c>
      <c r="AM59" s="5">
        <f>SUM(AM31:AM55)</f>
        <v>1280334.7</v>
      </c>
      <c r="AN59" s="5">
        <f>SUM(AN31:AN56)</f>
        <v>96043.8</v>
      </c>
      <c r="AO59" s="5">
        <f>SUM(AO31:AO56)</f>
        <v>1376378.5</v>
      </c>
      <c r="AP59" s="5">
        <f>SUM(AP31:AP55)</f>
        <v>1469401</v>
      </c>
    </row>
    <row r="60" spans="1:43" x14ac:dyDescent="0.2">
      <c r="E60" s="3"/>
      <c r="F60" s="3"/>
      <c r="AB60" s="1">
        <f>Z60</f>
        <v>0</v>
      </c>
      <c r="AC60" s="1">
        <f t="shared" si="68"/>
        <v>0</v>
      </c>
      <c r="AD60" s="1">
        <f>AB60</f>
        <v>0</v>
      </c>
      <c r="AE60" s="1">
        <f>AC60+AD60</f>
        <v>0</v>
      </c>
    </row>
    <row r="61" spans="1:43" x14ac:dyDescent="0.2">
      <c r="A61" s="1">
        <v>355</v>
      </c>
      <c r="B61" s="2" t="s">
        <v>53</v>
      </c>
      <c r="E61" s="3"/>
      <c r="F61" s="3"/>
      <c r="AB61" s="1">
        <f>Z61</f>
        <v>0</v>
      </c>
      <c r="AC61" s="1">
        <f t="shared" si="68"/>
        <v>0</v>
      </c>
      <c r="AD61" s="1">
        <f>AB61</f>
        <v>0</v>
      </c>
      <c r="AE61" s="1">
        <f>AC61+AD61</f>
        <v>0</v>
      </c>
    </row>
    <row r="62" spans="1:43" x14ac:dyDescent="0.2">
      <c r="B62" s="4" t="s">
        <v>54</v>
      </c>
      <c r="C62" s="9">
        <v>38168</v>
      </c>
      <c r="D62" s="14">
        <v>8000</v>
      </c>
      <c r="E62" s="3" t="s">
        <v>14</v>
      </c>
      <c r="F62" s="6">
        <v>10</v>
      </c>
      <c r="G62" s="15"/>
      <c r="H62" s="15">
        <f>SUM(D62/F62/2)</f>
        <v>400</v>
      </c>
      <c r="I62" s="5">
        <f>SUM(G62:H62)</f>
        <v>400</v>
      </c>
      <c r="J62" s="5">
        <f>SUM(D62/F62)</f>
        <v>800</v>
      </c>
      <c r="K62" s="5">
        <f>SUM(I62:J62)</f>
        <v>1200</v>
      </c>
      <c r="L62" s="5">
        <f>SUM(D62/F62)</f>
        <v>800</v>
      </c>
      <c r="M62" s="5">
        <f>SUM(K62:L62)</f>
        <v>2000</v>
      </c>
      <c r="N62" s="5">
        <f>SUM(D62/F62)</f>
        <v>800</v>
      </c>
      <c r="O62" s="5">
        <f>SUM(M62+N62)</f>
        <v>2800</v>
      </c>
      <c r="P62" s="5">
        <f>SUM(D62/F62)</f>
        <v>800</v>
      </c>
      <c r="Q62" s="5">
        <f>SUM(O62+P62)</f>
        <v>3600</v>
      </c>
      <c r="R62" s="5">
        <f>SUM(D62/F62)</f>
        <v>800</v>
      </c>
      <c r="S62" s="5">
        <f>SUM(Q62+R62)</f>
        <v>4400</v>
      </c>
      <c r="T62" s="5">
        <f>R62</f>
        <v>800</v>
      </c>
      <c r="U62" s="5">
        <f>S62+T62</f>
        <v>5200</v>
      </c>
      <c r="V62" s="5">
        <f>T62</f>
        <v>800</v>
      </c>
      <c r="W62" s="5">
        <f>U62+V62</f>
        <v>6000</v>
      </c>
      <c r="X62" s="5">
        <f>V62</f>
        <v>800</v>
      </c>
      <c r="Y62" s="5">
        <f>W62+X62</f>
        <v>6800</v>
      </c>
      <c r="Z62" s="5">
        <f>X62</f>
        <v>800</v>
      </c>
      <c r="AA62" s="5">
        <f>Y62+Z62</f>
        <v>7600</v>
      </c>
      <c r="AB62" s="1">
        <v>400</v>
      </c>
      <c r="AC62" s="1">
        <f t="shared" si="68"/>
        <v>8000</v>
      </c>
      <c r="AD62" s="1">
        <v>0</v>
      </c>
      <c r="AE62" s="1">
        <f>AC62+AD62</f>
        <v>8000</v>
      </c>
      <c r="AF62" s="1">
        <v>0</v>
      </c>
      <c r="AG62" s="1">
        <f>AE62+AF62</f>
        <v>8000</v>
      </c>
      <c r="AH62" s="1">
        <v>0</v>
      </c>
      <c r="AI62" s="1">
        <f>AG62+AH62</f>
        <v>8000</v>
      </c>
      <c r="AJ62" s="1">
        <v>0</v>
      </c>
      <c r="AK62" s="1">
        <f>AI62+AJ62</f>
        <v>8000</v>
      </c>
      <c r="AL62" s="1">
        <v>0</v>
      </c>
      <c r="AM62" s="1">
        <f>AK62+AL62</f>
        <v>8000</v>
      </c>
      <c r="AN62" s="1">
        <v>0</v>
      </c>
      <c r="AO62" s="1">
        <v>8000</v>
      </c>
      <c r="AP62" s="1">
        <v>8000</v>
      </c>
      <c r="AQ62" s="1">
        <f>AP62-AO62</f>
        <v>0</v>
      </c>
    </row>
    <row r="63" spans="1:43" x14ac:dyDescent="0.2">
      <c r="E63" s="3"/>
      <c r="F63" s="3"/>
      <c r="AB63" s="1">
        <f>Z63</f>
        <v>0</v>
      </c>
      <c r="AC63" s="1">
        <f t="shared" si="68"/>
        <v>0</v>
      </c>
      <c r="AD63" s="1">
        <f>AB63</f>
        <v>0</v>
      </c>
      <c r="AE63" s="1">
        <f>AC63+AD63</f>
        <v>0</v>
      </c>
    </row>
    <row r="64" spans="1:43" x14ac:dyDescent="0.2">
      <c r="A64" s="1">
        <v>363.1</v>
      </c>
      <c r="B64" s="2" t="s">
        <v>55</v>
      </c>
      <c r="E64" s="3"/>
      <c r="F64" s="3"/>
      <c r="AB64" s="1">
        <f>Z64</f>
        <v>0</v>
      </c>
      <c r="AC64" s="1">
        <f t="shared" si="68"/>
        <v>0</v>
      </c>
      <c r="AD64" s="1">
        <f>AB64</f>
        <v>0</v>
      </c>
      <c r="AE64" s="1">
        <f>AC64+AD64</f>
        <v>0</v>
      </c>
    </row>
    <row r="65" spans="1:43" x14ac:dyDescent="0.2">
      <c r="E65" s="3"/>
      <c r="F65" s="3"/>
    </row>
    <row r="66" spans="1:43" x14ac:dyDescent="0.2">
      <c r="E66" s="3"/>
      <c r="F66" s="3"/>
    </row>
    <row r="67" spans="1:43" x14ac:dyDescent="0.2">
      <c r="B67" s="2" t="s">
        <v>56</v>
      </c>
      <c r="C67" s="9" t="s">
        <v>57</v>
      </c>
      <c r="D67" s="14">
        <v>161</v>
      </c>
      <c r="E67" s="3" t="s">
        <v>14</v>
      </c>
      <c r="F67" s="3">
        <v>10</v>
      </c>
      <c r="AI67" s="1">
        <v>161</v>
      </c>
      <c r="AJ67" s="1">
        <v>0</v>
      </c>
      <c r="AK67" s="1">
        <v>161</v>
      </c>
      <c r="AL67" s="1">
        <v>0</v>
      </c>
      <c r="AM67" s="1">
        <v>161</v>
      </c>
      <c r="AN67" s="1">
        <f>AL67</f>
        <v>0</v>
      </c>
      <c r="AO67" s="1">
        <f t="shared" ref="AO67:AO75" si="69">SUM(AM67:AN67)</f>
        <v>161</v>
      </c>
      <c r="AP67" s="1">
        <v>161</v>
      </c>
      <c r="AQ67" s="1">
        <f t="shared" ref="AQ67:AQ75" si="70">AP67-AO67</f>
        <v>0</v>
      </c>
    </row>
    <row r="68" spans="1:43" x14ac:dyDescent="0.2">
      <c r="B68" s="2" t="s">
        <v>58</v>
      </c>
      <c r="C68" s="9">
        <v>37530</v>
      </c>
      <c r="D68" s="14">
        <v>548</v>
      </c>
      <c r="E68" s="3" t="s">
        <v>14</v>
      </c>
      <c r="F68" s="3">
        <v>10</v>
      </c>
      <c r="G68" s="14">
        <v>70</v>
      </c>
      <c r="H68" s="14">
        <f>SUM(D68/F68)</f>
        <v>54.8</v>
      </c>
      <c r="I68" s="1">
        <f>SUM(G68:H68)</f>
        <v>124.8</v>
      </c>
      <c r="J68" s="1">
        <f>SUM(D68/F68)</f>
        <v>54.8</v>
      </c>
      <c r="K68" s="1">
        <f>SUM(I68:J68)</f>
        <v>179.6</v>
      </c>
      <c r="L68" s="1">
        <f>SUM(D68/F68)</f>
        <v>54.8</v>
      </c>
      <c r="M68" s="1">
        <f>SUM(K68:L68)</f>
        <v>234.39999999999998</v>
      </c>
      <c r="N68" s="1">
        <f>SUM(D68/F68)</f>
        <v>54.8</v>
      </c>
      <c r="O68" s="1">
        <f>SUM(M68+N68)</f>
        <v>289.2</v>
      </c>
      <c r="P68" s="1">
        <f>SUM(D68/F68)</f>
        <v>54.8</v>
      </c>
      <c r="Q68" s="1">
        <f>SUM(O68+P68)</f>
        <v>344</v>
      </c>
      <c r="R68" s="1">
        <f>SUM(D68/F68)</f>
        <v>54.8</v>
      </c>
      <c r="S68" s="1">
        <f>SUM(Q68+R68)-15</f>
        <v>383.8</v>
      </c>
      <c r="T68" s="1">
        <f>R68</f>
        <v>54.8</v>
      </c>
      <c r="U68" s="1">
        <f t="shared" ref="U68:U74" si="71">S68+T68</f>
        <v>438.6</v>
      </c>
      <c r="V68" s="1">
        <f t="shared" ref="V68:V74" si="72">T68</f>
        <v>54.8</v>
      </c>
      <c r="W68" s="1">
        <f t="shared" ref="W68:W75" si="73">U68+V68</f>
        <v>493.40000000000003</v>
      </c>
      <c r="X68" s="1">
        <f t="shared" ref="X68:X74" si="74">V68</f>
        <v>54.8</v>
      </c>
      <c r="Y68" s="1">
        <f t="shared" ref="Y68:Y75" si="75">W68+X68</f>
        <v>548.20000000000005</v>
      </c>
      <c r="Z68" s="1">
        <v>0</v>
      </c>
      <c r="AA68" s="1">
        <f t="shared" ref="AA68:AA75" si="76">Y68+Z68</f>
        <v>548.20000000000005</v>
      </c>
      <c r="AB68" s="1">
        <f t="shared" ref="AB68:AB75" si="77">Z68</f>
        <v>0</v>
      </c>
      <c r="AC68" s="1">
        <f t="shared" ref="AC68:AC75" si="78">AA68+AB68</f>
        <v>548.20000000000005</v>
      </c>
      <c r="AD68" s="1">
        <f t="shared" ref="AD68:AD75" si="79">AB68</f>
        <v>0</v>
      </c>
      <c r="AE68" s="1">
        <f t="shared" ref="AE68:AE75" si="80">AC68+AD68</f>
        <v>548.20000000000005</v>
      </c>
      <c r="AF68" s="1">
        <f t="shared" ref="AF68:AF75" si="81">AD68</f>
        <v>0</v>
      </c>
      <c r="AG68" s="1">
        <f t="shared" ref="AG68:AG75" si="82">AE68+AF68</f>
        <v>548.20000000000005</v>
      </c>
      <c r="AH68" s="1">
        <f t="shared" ref="AH68:AH75" si="83">AF68</f>
        <v>0</v>
      </c>
      <c r="AI68" s="1">
        <f t="shared" ref="AI68:AI75" si="84">AG68+AH68</f>
        <v>548.20000000000005</v>
      </c>
      <c r="AJ68" s="1">
        <f t="shared" ref="AJ68:AJ75" si="85">AH68</f>
        <v>0</v>
      </c>
      <c r="AK68" s="1">
        <f t="shared" ref="AK68:AK75" si="86">AI68+AJ68</f>
        <v>548.20000000000005</v>
      </c>
      <c r="AL68" s="1">
        <f>AJ68</f>
        <v>0</v>
      </c>
      <c r="AM68" s="1">
        <f t="shared" ref="AM68:AM75" si="87">AK68+AL68</f>
        <v>548.20000000000005</v>
      </c>
      <c r="AN68" s="1">
        <f>AL68</f>
        <v>0</v>
      </c>
      <c r="AO68" s="1">
        <f t="shared" si="69"/>
        <v>548.20000000000005</v>
      </c>
      <c r="AP68" s="1">
        <v>548</v>
      </c>
      <c r="AQ68" s="1">
        <f t="shared" si="70"/>
        <v>-0.20000000000004547</v>
      </c>
    </row>
    <row r="69" spans="1:43" x14ac:dyDescent="0.2">
      <c r="B69" s="2" t="s">
        <v>59</v>
      </c>
      <c r="C69" s="9">
        <v>37530</v>
      </c>
      <c r="D69" s="14">
        <v>6934</v>
      </c>
      <c r="E69" s="3" t="s">
        <v>14</v>
      </c>
      <c r="F69" s="3">
        <v>20</v>
      </c>
      <c r="G69" s="14">
        <v>58</v>
      </c>
      <c r="H69" s="14">
        <f>SUM(D69/F69)</f>
        <v>346.7</v>
      </c>
      <c r="I69" s="1">
        <f>SUM(G69:H69)</f>
        <v>404.7</v>
      </c>
      <c r="J69" s="1">
        <f>SUM(D69/F69)</f>
        <v>346.7</v>
      </c>
      <c r="K69" s="1">
        <f>SUM(I69:J69)</f>
        <v>751.4</v>
      </c>
      <c r="L69" s="1">
        <f>SUM(D69/F69)</f>
        <v>346.7</v>
      </c>
      <c r="M69" s="1">
        <f>SUM(K69:L69)</f>
        <v>1098.0999999999999</v>
      </c>
      <c r="N69" s="1">
        <f>SUM(D69/F69)</f>
        <v>346.7</v>
      </c>
      <c r="O69" s="1">
        <f>SUM(M69+N69)</f>
        <v>1444.8</v>
      </c>
      <c r="P69" s="1">
        <f>SUM(D69/F69)</f>
        <v>346.7</v>
      </c>
      <c r="Q69" s="1">
        <f>SUM(O69+P69)</f>
        <v>1791.5</v>
      </c>
      <c r="R69" s="1">
        <f>SUM(D69/F69)</f>
        <v>346.7</v>
      </c>
      <c r="S69" s="1">
        <f t="shared" ref="S69:S74" si="88">SUM(Q69+R69)</f>
        <v>2138.1999999999998</v>
      </c>
      <c r="T69" s="1">
        <f>R69</f>
        <v>346.7</v>
      </c>
      <c r="U69" s="1">
        <f t="shared" si="71"/>
        <v>2484.8999999999996</v>
      </c>
      <c r="V69" s="1">
        <f t="shared" si="72"/>
        <v>346.7</v>
      </c>
      <c r="W69" s="1">
        <f t="shared" si="73"/>
        <v>2831.5999999999995</v>
      </c>
      <c r="X69" s="1">
        <f t="shared" si="74"/>
        <v>346.7</v>
      </c>
      <c r="Y69" s="1">
        <f t="shared" si="75"/>
        <v>3178.2999999999993</v>
      </c>
      <c r="Z69" s="1">
        <f t="shared" ref="Z69:Z74" si="89">X69</f>
        <v>346.7</v>
      </c>
      <c r="AA69" s="1">
        <f t="shared" si="76"/>
        <v>3524.9999999999991</v>
      </c>
      <c r="AB69" s="1">
        <f t="shared" si="77"/>
        <v>346.7</v>
      </c>
      <c r="AC69" s="1">
        <f t="shared" si="78"/>
        <v>3871.6999999999989</v>
      </c>
      <c r="AD69" s="1">
        <f t="shared" si="79"/>
        <v>346.7</v>
      </c>
      <c r="AE69" s="1">
        <f t="shared" si="80"/>
        <v>4218.3999999999987</v>
      </c>
      <c r="AF69" s="1">
        <f t="shared" si="81"/>
        <v>346.7</v>
      </c>
      <c r="AG69" s="1">
        <f t="shared" si="82"/>
        <v>4565.0999999999985</v>
      </c>
      <c r="AH69" s="1">
        <f t="shared" si="83"/>
        <v>346.7</v>
      </c>
      <c r="AI69" s="1">
        <f t="shared" si="84"/>
        <v>4911.7999999999984</v>
      </c>
      <c r="AJ69" s="1">
        <f t="shared" si="85"/>
        <v>346.7</v>
      </c>
      <c r="AK69" s="1">
        <f t="shared" si="86"/>
        <v>5258.4999999999982</v>
      </c>
      <c r="AL69" s="1">
        <f>AJ69</f>
        <v>346.7</v>
      </c>
      <c r="AM69" s="1">
        <f t="shared" si="87"/>
        <v>5605.199999999998</v>
      </c>
      <c r="AN69" s="1">
        <f>AL69</f>
        <v>346.7</v>
      </c>
      <c r="AO69" s="1">
        <f t="shared" si="69"/>
        <v>5951.8999999999978</v>
      </c>
      <c r="AP69" s="1">
        <v>6934</v>
      </c>
      <c r="AQ69" s="1">
        <f t="shared" si="70"/>
        <v>982.10000000000218</v>
      </c>
    </row>
    <row r="70" spans="1:43" x14ac:dyDescent="0.2">
      <c r="B70" s="2" t="s">
        <v>60</v>
      </c>
      <c r="C70" s="9">
        <v>37530</v>
      </c>
      <c r="D70" s="14">
        <v>14795</v>
      </c>
      <c r="E70" s="3" t="s">
        <v>14</v>
      </c>
      <c r="F70" s="3">
        <v>20</v>
      </c>
      <c r="H70" s="14">
        <f>SUM(D70/F70/2)</f>
        <v>369.875</v>
      </c>
      <c r="I70" s="1">
        <f>SUM(G70:H70)</f>
        <v>369.875</v>
      </c>
      <c r="J70" s="1">
        <f>SUM(D70/F70)</f>
        <v>739.75</v>
      </c>
      <c r="K70" s="1">
        <f>SUM(I70:J70)</f>
        <v>1109.625</v>
      </c>
      <c r="L70" s="1">
        <f>SUM(D70/F70)</f>
        <v>739.75</v>
      </c>
      <c r="M70" s="1">
        <f>SUM(K70:L70)</f>
        <v>1849.375</v>
      </c>
      <c r="N70" s="1">
        <f>SUM(D70/F70)</f>
        <v>739.75</v>
      </c>
      <c r="O70" s="1">
        <f>SUM(M70+N70)</f>
        <v>2589.125</v>
      </c>
      <c r="P70" s="1">
        <f>SUM(D70/F70)</f>
        <v>739.75</v>
      </c>
      <c r="Q70" s="1">
        <f>SUM(O70+P70)</f>
        <v>3328.875</v>
      </c>
      <c r="R70" s="1">
        <f>SUM(D70/F70)</f>
        <v>739.75</v>
      </c>
      <c r="S70" s="1">
        <f t="shared" si="88"/>
        <v>4068.625</v>
      </c>
      <c r="T70" s="1">
        <f>R70</f>
        <v>739.75</v>
      </c>
      <c r="U70" s="1">
        <f t="shared" si="71"/>
        <v>4808.375</v>
      </c>
      <c r="V70" s="1">
        <f t="shared" si="72"/>
        <v>739.75</v>
      </c>
      <c r="W70" s="1">
        <f t="shared" si="73"/>
        <v>5548.125</v>
      </c>
      <c r="X70" s="1">
        <f t="shared" si="74"/>
        <v>739.75</v>
      </c>
      <c r="Y70" s="1">
        <f t="shared" si="75"/>
        <v>6287.875</v>
      </c>
      <c r="Z70" s="1">
        <f t="shared" si="89"/>
        <v>739.75</v>
      </c>
      <c r="AA70" s="1">
        <f t="shared" si="76"/>
        <v>7027.625</v>
      </c>
      <c r="AB70" s="1">
        <f t="shared" si="77"/>
        <v>739.75</v>
      </c>
      <c r="AC70" s="1">
        <f t="shared" si="78"/>
        <v>7767.375</v>
      </c>
      <c r="AD70" s="1">
        <f t="shared" si="79"/>
        <v>739.75</v>
      </c>
      <c r="AE70" s="1">
        <f t="shared" si="80"/>
        <v>8507.125</v>
      </c>
      <c r="AF70" s="1">
        <f t="shared" si="81"/>
        <v>739.75</v>
      </c>
      <c r="AG70" s="1">
        <f t="shared" si="82"/>
        <v>9246.875</v>
      </c>
      <c r="AH70" s="1">
        <f t="shared" si="83"/>
        <v>739.75</v>
      </c>
      <c r="AI70" s="1">
        <f t="shared" si="84"/>
        <v>9986.625</v>
      </c>
      <c r="AJ70" s="1">
        <f t="shared" si="85"/>
        <v>739.75</v>
      </c>
      <c r="AK70" s="1">
        <f t="shared" si="86"/>
        <v>10726.375</v>
      </c>
      <c r="AL70" s="1">
        <f>AJ70</f>
        <v>739.75</v>
      </c>
      <c r="AM70" s="1">
        <f t="shared" si="87"/>
        <v>11466.125</v>
      </c>
      <c r="AN70" s="1">
        <f>AL70</f>
        <v>739.75</v>
      </c>
      <c r="AO70" s="1">
        <f t="shared" si="69"/>
        <v>12205.875</v>
      </c>
      <c r="AP70" s="1">
        <v>14795</v>
      </c>
      <c r="AQ70" s="1">
        <f t="shared" si="70"/>
        <v>2589.125</v>
      </c>
    </row>
    <row r="71" spans="1:43" x14ac:dyDescent="0.2">
      <c r="B71" s="2" t="s">
        <v>61</v>
      </c>
      <c r="C71" s="9">
        <v>37530</v>
      </c>
      <c r="D71" s="14">
        <v>39515</v>
      </c>
      <c r="E71" s="3" t="s">
        <v>14</v>
      </c>
      <c r="F71" s="3">
        <v>20</v>
      </c>
      <c r="L71" s="1">
        <f>SUM(D71/F71)</f>
        <v>1975.75</v>
      </c>
      <c r="M71" s="1">
        <f>SUM(K71:L71)</f>
        <v>1975.75</v>
      </c>
      <c r="N71" s="1">
        <f>SUM(D71/F71)</f>
        <v>1975.75</v>
      </c>
      <c r="O71" s="1">
        <f>SUM(M71+N71)</f>
        <v>3951.5</v>
      </c>
      <c r="P71" s="1">
        <f>SUM(D71/F71)</f>
        <v>1975.75</v>
      </c>
      <c r="Q71" s="1">
        <f>SUM(O71+P71)</f>
        <v>5927.25</v>
      </c>
      <c r="R71" s="1">
        <f>SUM(D71/F71)</f>
        <v>1975.75</v>
      </c>
      <c r="S71" s="1">
        <f t="shared" si="88"/>
        <v>7903</v>
      </c>
      <c r="T71" s="1">
        <f>R71</f>
        <v>1975.75</v>
      </c>
      <c r="U71" s="1">
        <f t="shared" si="71"/>
        <v>9878.75</v>
      </c>
      <c r="V71" s="1">
        <f t="shared" si="72"/>
        <v>1975.75</v>
      </c>
      <c r="W71" s="1">
        <f t="shared" si="73"/>
        <v>11854.5</v>
      </c>
      <c r="X71" s="1">
        <f t="shared" si="74"/>
        <v>1975.75</v>
      </c>
      <c r="Y71" s="1">
        <f t="shared" si="75"/>
        <v>13830.25</v>
      </c>
      <c r="Z71" s="1">
        <f t="shared" si="89"/>
        <v>1975.75</v>
      </c>
      <c r="AA71" s="1">
        <f t="shared" si="76"/>
        <v>15806</v>
      </c>
      <c r="AB71" s="1">
        <f t="shared" si="77"/>
        <v>1975.75</v>
      </c>
      <c r="AC71" s="1">
        <f t="shared" si="78"/>
        <v>17781.75</v>
      </c>
      <c r="AD71" s="1">
        <f t="shared" si="79"/>
        <v>1975.75</v>
      </c>
      <c r="AE71" s="1">
        <f t="shared" si="80"/>
        <v>19757.5</v>
      </c>
      <c r="AF71" s="1">
        <f t="shared" si="81"/>
        <v>1975.75</v>
      </c>
      <c r="AG71" s="1">
        <f t="shared" si="82"/>
        <v>21733.25</v>
      </c>
      <c r="AH71" s="1">
        <f t="shared" si="83"/>
        <v>1975.75</v>
      </c>
      <c r="AI71" s="1">
        <f t="shared" si="84"/>
        <v>23709</v>
      </c>
      <c r="AJ71" s="1">
        <f t="shared" si="85"/>
        <v>1975.75</v>
      </c>
      <c r="AK71" s="1">
        <f t="shared" si="86"/>
        <v>25684.75</v>
      </c>
      <c r="AL71" s="1">
        <f>AJ71</f>
        <v>1975.75</v>
      </c>
      <c r="AM71" s="1">
        <f t="shared" si="87"/>
        <v>27660.5</v>
      </c>
      <c r="AN71" s="1">
        <f>AL71</f>
        <v>1975.75</v>
      </c>
      <c r="AO71" s="1">
        <f t="shared" si="69"/>
        <v>29636.25</v>
      </c>
      <c r="AP71" s="1">
        <v>39515</v>
      </c>
      <c r="AQ71" s="1">
        <f t="shared" si="70"/>
        <v>9878.75</v>
      </c>
    </row>
    <row r="72" spans="1:43" x14ac:dyDescent="0.2">
      <c r="B72" s="2" t="s">
        <v>62</v>
      </c>
      <c r="C72" s="9">
        <v>37530</v>
      </c>
      <c r="D72" s="14">
        <v>36012</v>
      </c>
      <c r="E72" s="3" t="s">
        <v>14</v>
      </c>
      <c r="F72" s="3">
        <v>10</v>
      </c>
      <c r="R72" s="1">
        <f>SUM(D72/10/2)</f>
        <v>1800.6</v>
      </c>
      <c r="S72" s="1">
        <f t="shared" si="88"/>
        <v>1800.6</v>
      </c>
      <c r="T72" s="1">
        <f>SUM(D72/10)</f>
        <v>3601.2</v>
      </c>
      <c r="U72" s="1">
        <f t="shared" si="71"/>
        <v>5401.7999999999993</v>
      </c>
      <c r="V72" s="1">
        <f t="shared" si="72"/>
        <v>3601.2</v>
      </c>
      <c r="W72" s="1">
        <f t="shared" si="73"/>
        <v>9003</v>
      </c>
      <c r="X72" s="1">
        <f t="shared" si="74"/>
        <v>3601.2</v>
      </c>
      <c r="Y72" s="1">
        <f t="shared" si="75"/>
        <v>12604.2</v>
      </c>
      <c r="Z72" s="1">
        <f t="shared" si="89"/>
        <v>3601.2</v>
      </c>
      <c r="AA72" s="1">
        <f t="shared" si="76"/>
        <v>16205.400000000001</v>
      </c>
      <c r="AB72" s="1">
        <f t="shared" si="77"/>
        <v>3601.2</v>
      </c>
      <c r="AC72" s="1">
        <f t="shared" si="78"/>
        <v>19806.600000000002</v>
      </c>
      <c r="AD72" s="1">
        <f t="shared" si="79"/>
        <v>3601.2</v>
      </c>
      <c r="AE72" s="1">
        <f t="shared" si="80"/>
        <v>23407.800000000003</v>
      </c>
      <c r="AF72" s="1">
        <f t="shared" si="81"/>
        <v>3601.2</v>
      </c>
      <c r="AG72" s="1">
        <f t="shared" si="82"/>
        <v>27009.000000000004</v>
      </c>
      <c r="AH72" s="1">
        <f t="shared" si="83"/>
        <v>3601.2</v>
      </c>
      <c r="AI72" s="1">
        <f t="shared" si="84"/>
        <v>30610.200000000004</v>
      </c>
      <c r="AJ72" s="1">
        <f t="shared" si="85"/>
        <v>3601.2</v>
      </c>
      <c r="AK72" s="1">
        <f t="shared" si="86"/>
        <v>34211.4</v>
      </c>
      <c r="AL72" s="1">
        <f>36012-34211</f>
        <v>1801</v>
      </c>
      <c r="AM72" s="1">
        <f t="shared" si="87"/>
        <v>36012.400000000001</v>
      </c>
      <c r="AN72" s="1">
        <v>0</v>
      </c>
      <c r="AO72" s="1">
        <f t="shared" si="69"/>
        <v>36012.400000000001</v>
      </c>
      <c r="AP72" s="1">
        <v>36012</v>
      </c>
      <c r="AQ72" s="1">
        <f t="shared" si="70"/>
        <v>-0.40000000000145519</v>
      </c>
    </row>
    <row r="73" spans="1:43" x14ac:dyDescent="0.2">
      <c r="B73" s="4" t="s">
        <v>63</v>
      </c>
      <c r="C73" s="9">
        <v>37530</v>
      </c>
      <c r="D73" s="14">
        <v>82901</v>
      </c>
      <c r="E73" s="3" t="s">
        <v>14</v>
      </c>
      <c r="F73" s="3">
        <v>20</v>
      </c>
      <c r="R73" s="1">
        <f>SUM(D73/20/2)</f>
        <v>2072.5250000000001</v>
      </c>
      <c r="S73" s="1">
        <f t="shared" si="88"/>
        <v>2072.5250000000001</v>
      </c>
      <c r="T73" s="1">
        <f>SUM(D73/20)</f>
        <v>4145.05</v>
      </c>
      <c r="U73" s="1">
        <f t="shared" si="71"/>
        <v>6217.5750000000007</v>
      </c>
      <c r="V73" s="1">
        <f t="shared" si="72"/>
        <v>4145.05</v>
      </c>
      <c r="W73" s="1">
        <f t="shared" si="73"/>
        <v>10362.625</v>
      </c>
      <c r="X73" s="1">
        <f t="shared" si="74"/>
        <v>4145.05</v>
      </c>
      <c r="Y73" s="1">
        <f t="shared" si="75"/>
        <v>14507.674999999999</v>
      </c>
      <c r="Z73" s="1">
        <f t="shared" si="89"/>
        <v>4145.05</v>
      </c>
      <c r="AA73" s="1">
        <f t="shared" si="76"/>
        <v>18652.724999999999</v>
      </c>
      <c r="AB73" s="1">
        <f t="shared" si="77"/>
        <v>4145.05</v>
      </c>
      <c r="AC73" s="1">
        <f t="shared" si="78"/>
        <v>22797.774999999998</v>
      </c>
      <c r="AD73" s="1">
        <f t="shared" si="79"/>
        <v>4145.05</v>
      </c>
      <c r="AE73" s="1">
        <f t="shared" si="80"/>
        <v>26942.824999999997</v>
      </c>
      <c r="AF73" s="1">
        <f t="shared" si="81"/>
        <v>4145.05</v>
      </c>
      <c r="AG73" s="1">
        <f t="shared" si="82"/>
        <v>31087.874999999996</v>
      </c>
      <c r="AH73" s="1">
        <f t="shared" si="83"/>
        <v>4145.05</v>
      </c>
      <c r="AI73" s="1">
        <f t="shared" si="84"/>
        <v>35232.924999999996</v>
      </c>
      <c r="AJ73" s="1">
        <f t="shared" si="85"/>
        <v>4145.05</v>
      </c>
      <c r="AK73" s="1">
        <f t="shared" si="86"/>
        <v>39377.974999999999</v>
      </c>
      <c r="AL73" s="1">
        <f>AJ73</f>
        <v>4145.05</v>
      </c>
      <c r="AM73" s="1">
        <f t="shared" si="87"/>
        <v>43523.025000000001</v>
      </c>
      <c r="AN73" s="1">
        <f>AL73</f>
        <v>4145.05</v>
      </c>
      <c r="AO73" s="1">
        <f t="shared" si="69"/>
        <v>47668.075000000004</v>
      </c>
      <c r="AP73" s="1">
        <v>82901</v>
      </c>
      <c r="AQ73" s="1">
        <f t="shared" si="70"/>
        <v>35232.924999999996</v>
      </c>
    </row>
    <row r="74" spans="1:43" x14ac:dyDescent="0.2">
      <c r="B74" s="4" t="s">
        <v>64</v>
      </c>
      <c r="C74" s="9">
        <v>37530</v>
      </c>
      <c r="D74" s="14">
        <v>58000</v>
      </c>
      <c r="E74" s="3" t="s">
        <v>14</v>
      </c>
      <c r="F74" s="3">
        <v>20</v>
      </c>
      <c r="R74" s="1">
        <f>SUM(D74/20/2)</f>
        <v>1450</v>
      </c>
      <c r="S74" s="1">
        <f t="shared" si="88"/>
        <v>1450</v>
      </c>
      <c r="T74" s="1">
        <f>SUM(D74/20)</f>
        <v>2900</v>
      </c>
      <c r="U74" s="1">
        <f t="shared" si="71"/>
        <v>4350</v>
      </c>
      <c r="V74" s="1">
        <f t="shared" si="72"/>
        <v>2900</v>
      </c>
      <c r="W74" s="1">
        <f t="shared" si="73"/>
        <v>7250</v>
      </c>
      <c r="X74" s="1">
        <f t="shared" si="74"/>
        <v>2900</v>
      </c>
      <c r="Y74" s="1">
        <f t="shared" si="75"/>
        <v>10150</v>
      </c>
      <c r="Z74" s="1">
        <f t="shared" si="89"/>
        <v>2900</v>
      </c>
      <c r="AA74" s="1">
        <f t="shared" si="76"/>
        <v>13050</v>
      </c>
      <c r="AB74" s="1">
        <f t="shared" si="77"/>
        <v>2900</v>
      </c>
      <c r="AC74" s="1">
        <f t="shared" si="78"/>
        <v>15950</v>
      </c>
      <c r="AD74" s="1">
        <f t="shared" si="79"/>
        <v>2900</v>
      </c>
      <c r="AE74" s="1">
        <f t="shared" si="80"/>
        <v>18850</v>
      </c>
      <c r="AF74" s="1">
        <f t="shared" si="81"/>
        <v>2900</v>
      </c>
      <c r="AG74" s="1">
        <f t="shared" si="82"/>
        <v>21750</v>
      </c>
      <c r="AH74" s="1">
        <f t="shared" si="83"/>
        <v>2900</v>
      </c>
      <c r="AI74" s="1">
        <f t="shared" si="84"/>
        <v>24650</v>
      </c>
      <c r="AJ74" s="1">
        <f t="shared" si="85"/>
        <v>2900</v>
      </c>
      <c r="AK74" s="1">
        <f t="shared" si="86"/>
        <v>27550</v>
      </c>
      <c r="AL74" s="1">
        <f>AJ74</f>
        <v>2900</v>
      </c>
      <c r="AM74" s="1">
        <f t="shared" si="87"/>
        <v>30450</v>
      </c>
      <c r="AN74" s="1">
        <f>AL74</f>
        <v>2900</v>
      </c>
      <c r="AO74" s="1">
        <f t="shared" si="69"/>
        <v>33350</v>
      </c>
      <c r="AP74" s="1">
        <v>58000</v>
      </c>
      <c r="AQ74" s="1">
        <f t="shared" si="70"/>
        <v>24650</v>
      </c>
    </row>
    <row r="75" spans="1:43" x14ac:dyDescent="0.2">
      <c r="B75" s="2" t="s">
        <v>65</v>
      </c>
      <c r="C75" s="9">
        <v>37530</v>
      </c>
      <c r="D75" s="14">
        <v>7382</v>
      </c>
      <c r="E75" s="3" t="s">
        <v>14</v>
      </c>
      <c r="F75" s="3">
        <v>20</v>
      </c>
      <c r="T75" s="1">
        <v>369</v>
      </c>
      <c r="U75" s="1">
        <v>369</v>
      </c>
      <c r="V75" s="1">
        <v>369</v>
      </c>
      <c r="W75" s="1">
        <f t="shared" si="73"/>
        <v>738</v>
      </c>
      <c r="X75" s="1">
        <v>369</v>
      </c>
      <c r="Y75" s="1">
        <f t="shared" si="75"/>
        <v>1107</v>
      </c>
      <c r="Z75" s="1">
        <v>369</v>
      </c>
      <c r="AA75" s="1">
        <f t="shared" si="76"/>
        <v>1476</v>
      </c>
      <c r="AB75" s="1">
        <f t="shared" si="77"/>
        <v>369</v>
      </c>
      <c r="AC75" s="1">
        <f t="shared" si="78"/>
        <v>1845</v>
      </c>
      <c r="AD75" s="1">
        <f t="shared" si="79"/>
        <v>369</v>
      </c>
      <c r="AE75" s="1">
        <f t="shared" si="80"/>
        <v>2214</v>
      </c>
      <c r="AF75" s="1">
        <f t="shared" si="81"/>
        <v>369</v>
      </c>
      <c r="AG75" s="1">
        <f t="shared" si="82"/>
        <v>2583</v>
      </c>
      <c r="AH75" s="1">
        <f t="shared" si="83"/>
        <v>369</v>
      </c>
      <c r="AI75" s="1">
        <f t="shared" si="84"/>
        <v>2952</v>
      </c>
      <c r="AJ75" s="1">
        <f t="shared" si="85"/>
        <v>369</v>
      </c>
      <c r="AK75" s="1">
        <f t="shared" si="86"/>
        <v>3321</v>
      </c>
      <c r="AL75" s="1">
        <f>AJ75</f>
        <v>369</v>
      </c>
      <c r="AM75" s="1">
        <f t="shared" si="87"/>
        <v>3690</v>
      </c>
      <c r="AN75" s="1">
        <f>AL75</f>
        <v>369</v>
      </c>
      <c r="AO75" s="1">
        <f t="shared" si="69"/>
        <v>4059</v>
      </c>
      <c r="AP75" s="1">
        <v>7382</v>
      </c>
      <c r="AQ75" s="1">
        <f t="shared" si="70"/>
        <v>3323</v>
      </c>
    </row>
    <row r="76" spans="1:43" x14ac:dyDescent="0.2">
      <c r="E76" s="3"/>
      <c r="F76" s="3"/>
    </row>
    <row r="77" spans="1:43" x14ac:dyDescent="0.2">
      <c r="D77" s="15">
        <f>SUM(D65:D75)</f>
        <v>246248</v>
      </c>
      <c r="E77" s="6"/>
      <c r="F77" s="6"/>
      <c r="G77" s="15">
        <f t="shared" ref="G77:R77" si="90">SUM(G67:G75)</f>
        <v>128</v>
      </c>
      <c r="H77" s="15">
        <f t="shared" si="90"/>
        <v>771.375</v>
      </c>
      <c r="I77" s="5">
        <f t="shared" si="90"/>
        <v>899.375</v>
      </c>
      <c r="J77" s="5">
        <f t="shared" si="90"/>
        <v>1141.25</v>
      </c>
      <c r="K77" s="5">
        <f t="shared" si="90"/>
        <v>2040.625</v>
      </c>
      <c r="L77" s="5">
        <f t="shared" si="90"/>
        <v>3117</v>
      </c>
      <c r="M77" s="5">
        <f t="shared" si="90"/>
        <v>5157.625</v>
      </c>
      <c r="N77" s="5">
        <f t="shared" si="90"/>
        <v>3117</v>
      </c>
      <c r="O77" s="5">
        <f t="shared" si="90"/>
        <v>8274.625</v>
      </c>
      <c r="P77" s="5">
        <f t="shared" si="90"/>
        <v>3117</v>
      </c>
      <c r="Q77" s="5">
        <f t="shared" si="90"/>
        <v>11391.625</v>
      </c>
      <c r="R77" s="5">
        <f t="shared" si="90"/>
        <v>8440.125</v>
      </c>
      <c r="S77" s="5">
        <f>SUM(S67:S74)</f>
        <v>19816.75</v>
      </c>
      <c r="T77" s="5">
        <f t="shared" ref="T77:AA77" si="91">SUM(T67:T75)</f>
        <v>14132.25</v>
      </c>
      <c r="U77" s="5">
        <f t="shared" si="91"/>
        <v>33949</v>
      </c>
      <c r="V77" s="5">
        <f t="shared" si="91"/>
        <v>14132.25</v>
      </c>
      <c r="W77" s="5">
        <f t="shared" si="91"/>
        <v>48081.25</v>
      </c>
      <c r="X77" s="5">
        <f t="shared" si="91"/>
        <v>14132.25</v>
      </c>
      <c r="Y77" s="5">
        <f t="shared" si="91"/>
        <v>62213.5</v>
      </c>
      <c r="Z77" s="5">
        <f t="shared" si="91"/>
        <v>14077.45</v>
      </c>
      <c r="AA77" s="5">
        <f t="shared" si="91"/>
        <v>76290.95</v>
      </c>
      <c r="AB77" s="1">
        <f>Z77</f>
        <v>14077.45</v>
      </c>
      <c r="AC77" s="1">
        <f>AA77+AB77</f>
        <v>90368.4</v>
      </c>
      <c r="AD77" s="1">
        <f>AB77</f>
        <v>14077.45</v>
      </c>
      <c r="AE77" s="1">
        <f>AC77+AD77</f>
        <v>104445.84999999999</v>
      </c>
      <c r="AF77" s="1">
        <f>AD77</f>
        <v>14077.45</v>
      </c>
      <c r="AG77" s="1">
        <f>AE77+AF77</f>
        <v>118523.29999999999</v>
      </c>
      <c r="AH77" s="1">
        <f>AF77</f>
        <v>14077.45</v>
      </c>
      <c r="AI77" s="5">
        <f>SUM(AI65:AI75)</f>
        <v>132761.75</v>
      </c>
      <c r="AJ77" s="5">
        <f>SUM(AJ65:AJ75)</f>
        <v>14077.45</v>
      </c>
      <c r="AK77" s="5">
        <f>SUM(AK65:AK75)</f>
        <v>146839.20000000001</v>
      </c>
      <c r="AL77" s="5">
        <f>SUM(AL65:AL75)</f>
        <v>12277.25</v>
      </c>
      <c r="AM77" s="5">
        <f>SUM(AM65:AM75)</f>
        <v>159116.44999999998</v>
      </c>
      <c r="AN77" s="5">
        <f>SUM(AN67:AN76)</f>
        <v>10476.25</v>
      </c>
      <c r="AO77" s="5">
        <f>SUM(AO67:AO76)</f>
        <v>169592.7</v>
      </c>
      <c r="AP77" s="5">
        <f>SUM(AP65:AP75)</f>
        <v>246248</v>
      </c>
    </row>
    <row r="78" spans="1:43" x14ac:dyDescent="0.2">
      <c r="D78" s="15"/>
      <c r="E78" s="6"/>
      <c r="F78" s="6"/>
      <c r="G78" s="15"/>
      <c r="H78" s="1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AF78" s="5"/>
      <c r="AH78" s="5"/>
      <c r="AJ78" s="5"/>
      <c r="AL78" s="5"/>
      <c r="AP78" s="5"/>
    </row>
    <row r="79" spans="1:43" x14ac:dyDescent="0.2">
      <c r="D79" s="15"/>
      <c r="E79" s="6"/>
      <c r="F79" s="6"/>
      <c r="G79" s="15"/>
      <c r="H79" s="1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AF79" s="5"/>
      <c r="AH79" s="5"/>
      <c r="AJ79" s="5"/>
      <c r="AL79" s="5"/>
      <c r="AP79" s="5"/>
    </row>
    <row r="80" spans="1:43" x14ac:dyDescent="0.2">
      <c r="A80" s="1">
        <v>363.2</v>
      </c>
      <c r="B80" s="2" t="s">
        <v>66</v>
      </c>
      <c r="D80" s="15"/>
      <c r="E80" s="6"/>
      <c r="F80" s="6"/>
      <c r="G80" s="15"/>
      <c r="H80" s="1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AF80" s="5"/>
      <c r="AH80" s="5"/>
      <c r="AJ80" s="5"/>
      <c r="AL80" s="5"/>
      <c r="AP80" s="5"/>
    </row>
    <row r="81" spans="1:43" x14ac:dyDescent="0.2">
      <c r="B81" s="2" t="s">
        <v>67</v>
      </c>
      <c r="C81" s="9">
        <v>38168</v>
      </c>
      <c r="D81" s="15">
        <v>47654</v>
      </c>
      <c r="E81" s="6" t="s">
        <v>14</v>
      </c>
      <c r="F81" s="6">
        <v>20</v>
      </c>
      <c r="G81" s="15"/>
      <c r="H81" s="15">
        <f>SUM(D81/F81/2)</f>
        <v>1191.3499999999999</v>
      </c>
      <c r="I81" s="5">
        <f>SUM(G81:H81)</f>
        <v>1191.3499999999999</v>
      </c>
      <c r="J81" s="5">
        <f>SUM(D81/F81)</f>
        <v>2382.6999999999998</v>
      </c>
      <c r="K81" s="5">
        <f>SUM(I81:J81)</f>
        <v>3574.0499999999997</v>
      </c>
      <c r="L81" s="5">
        <f>SUM(D81/F81)</f>
        <v>2382.6999999999998</v>
      </c>
      <c r="M81" s="5">
        <f>SUM(K81:L81)</f>
        <v>5956.75</v>
      </c>
      <c r="N81" s="5">
        <f>SUM(D81/F81)</f>
        <v>2382.6999999999998</v>
      </c>
      <c r="O81" s="5">
        <f>SUM(M81+N81)</f>
        <v>8339.4500000000007</v>
      </c>
      <c r="P81" s="5">
        <f>SUM(D81/F81)</f>
        <v>2382.6999999999998</v>
      </c>
      <c r="Q81" s="5">
        <f>SUM(O81+P81)</f>
        <v>10722.150000000001</v>
      </c>
      <c r="R81" s="5">
        <f>SUM(D81/F81)</f>
        <v>2382.6999999999998</v>
      </c>
      <c r="S81" s="5">
        <f>SUM(Q81+R81)</f>
        <v>13104.850000000002</v>
      </c>
      <c r="T81" s="5">
        <f>R81</f>
        <v>2382.6999999999998</v>
      </c>
      <c r="U81" s="5">
        <f>S81+T81</f>
        <v>15487.550000000003</v>
      </c>
      <c r="V81" s="5">
        <f>T81</f>
        <v>2382.6999999999998</v>
      </c>
      <c r="W81" s="5">
        <f>U81+V81</f>
        <v>17870.250000000004</v>
      </c>
      <c r="X81" s="5">
        <f>V81</f>
        <v>2382.6999999999998</v>
      </c>
      <c r="Y81" s="5">
        <f>W81+X81</f>
        <v>20252.950000000004</v>
      </c>
      <c r="Z81" s="5">
        <f>X81</f>
        <v>2382.6999999999998</v>
      </c>
      <c r="AA81" s="5">
        <f>Y81+Z81</f>
        <v>22635.650000000005</v>
      </c>
      <c r="AB81" s="1">
        <f>Z81</f>
        <v>2382.6999999999998</v>
      </c>
      <c r="AC81" s="1">
        <f>AA81+AB81</f>
        <v>25018.350000000006</v>
      </c>
      <c r="AD81" s="1">
        <f>AB81</f>
        <v>2382.6999999999998</v>
      </c>
      <c r="AE81" s="1">
        <f>AC81+AD81</f>
        <v>27401.050000000007</v>
      </c>
      <c r="AF81" s="1">
        <f>AD81</f>
        <v>2382.6999999999998</v>
      </c>
      <c r="AG81" s="1">
        <f>AE81+AF81</f>
        <v>29783.750000000007</v>
      </c>
      <c r="AH81" s="1">
        <f>AF81</f>
        <v>2382.6999999999998</v>
      </c>
      <c r="AI81" s="1">
        <f>AG81+AH81</f>
        <v>32166.450000000008</v>
      </c>
      <c r="AJ81" s="1">
        <f>AH81</f>
        <v>2382.6999999999998</v>
      </c>
      <c r="AK81" s="1">
        <f>AI81+AJ81</f>
        <v>34549.150000000009</v>
      </c>
      <c r="AL81" s="1">
        <f>AJ81</f>
        <v>2382.6999999999998</v>
      </c>
      <c r="AM81" s="1">
        <f>AK81+AL81</f>
        <v>36931.850000000006</v>
      </c>
      <c r="AN81" s="1">
        <v>2383</v>
      </c>
      <c r="AO81" s="1">
        <f>AL81+AM81</f>
        <v>39314.550000000003</v>
      </c>
      <c r="AP81" s="5">
        <v>47654</v>
      </c>
      <c r="AQ81" s="1">
        <f>AP81-AO81</f>
        <v>8339.4499999999971</v>
      </c>
    </row>
    <row r="82" spans="1:43" x14ac:dyDescent="0.2">
      <c r="D82" s="15"/>
      <c r="E82" s="6"/>
      <c r="F82" s="6"/>
      <c r="G82" s="15"/>
      <c r="H82" s="1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AF82" s="5"/>
      <c r="AH82" s="5"/>
      <c r="AJ82" s="5"/>
      <c r="AL82" s="5"/>
      <c r="AP82" s="5"/>
    </row>
    <row r="83" spans="1:43" x14ac:dyDescent="0.2">
      <c r="E83" s="3"/>
      <c r="F83" s="3"/>
    </row>
    <row r="84" spans="1:43" x14ac:dyDescent="0.2">
      <c r="A84" s="1">
        <v>373</v>
      </c>
      <c r="B84" s="2" t="s">
        <v>68</v>
      </c>
      <c r="E84" s="3"/>
      <c r="F84" s="3"/>
    </row>
    <row r="85" spans="1:43" x14ac:dyDescent="0.2">
      <c r="E85" s="3"/>
      <c r="F85" s="3"/>
      <c r="G85" s="15"/>
      <c r="H85" s="1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43" x14ac:dyDescent="0.2">
      <c r="E86" s="3"/>
      <c r="F86" s="3"/>
    </row>
    <row r="87" spans="1:43" x14ac:dyDescent="0.2">
      <c r="A87" s="1">
        <v>391</v>
      </c>
      <c r="B87" s="2" t="s">
        <v>69</v>
      </c>
      <c r="E87" s="3"/>
      <c r="F87" s="3"/>
    </row>
    <row r="88" spans="1:43" x14ac:dyDescent="0.2">
      <c r="B88" s="2" t="s">
        <v>70</v>
      </c>
      <c r="C88" s="9">
        <v>37073</v>
      </c>
      <c r="D88" s="14">
        <v>1300</v>
      </c>
      <c r="E88" s="3" t="s">
        <v>14</v>
      </c>
      <c r="F88" s="3">
        <v>10</v>
      </c>
      <c r="G88" s="14">
        <f>192+130</f>
        <v>322</v>
      </c>
      <c r="H88" s="14">
        <f>SUM(D88/F88)</f>
        <v>130</v>
      </c>
      <c r="I88" s="1">
        <f>SUM(G88:H88)</f>
        <v>452</v>
      </c>
      <c r="J88" s="1">
        <f>SUM(D88/F88)</f>
        <v>130</v>
      </c>
      <c r="K88" s="1">
        <f>SUM(I88:J88)</f>
        <v>582</v>
      </c>
      <c r="L88" s="1">
        <f>SUM(D88/F88)</f>
        <v>130</v>
      </c>
      <c r="M88" s="1">
        <f>SUM(K88:L88)</f>
        <v>712</v>
      </c>
      <c r="N88" s="1">
        <f>SUM(D88/F88)</f>
        <v>130</v>
      </c>
      <c r="O88" s="1">
        <f>SUM(M88+N88)</f>
        <v>842</v>
      </c>
      <c r="P88" s="1">
        <f>SUM(D88/F88)</f>
        <v>130</v>
      </c>
      <c r="Q88" s="1">
        <f>SUM(O88+P88)</f>
        <v>972</v>
      </c>
      <c r="R88" s="1">
        <f>SUM(D88/F88)</f>
        <v>130</v>
      </c>
      <c r="S88" s="1">
        <f>SUM(Q88+R88)</f>
        <v>1102</v>
      </c>
      <c r="T88" s="1">
        <f>SUM(D88/10)</f>
        <v>130</v>
      </c>
      <c r="U88" s="1">
        <f>S88+T88</f>
        <v>1232</v>
      </c>
      <c r="V88" s="1">
        <f>1300-1232</f>
        <v>68</v>
      </c>
      <c r="W88" s="1">
        <f>U88+V88</f>
        <v>1300</v>
      </c>
      <c r="X88" s="1">
        <v>0</v>
      </c>
      <c r="Y88" s="1">
        <f>W88+X88</f>
        <v>1300</v>
      </c>
      <c r="Z88" s="1">
        <v>0</v>
      </c>
      <c r="AA88" s="1">
        <f>Y88+Z88</f>
        <v>1300</v>
      </c>
      <c r="AB88" s="1">
        <f>Z88</f>
        <v>0</v>
      </c>
      <c r="AC88" s="1">
        <f>AA88+AB88</f>
        <v>1300</v>
      </c>
      <c r="AD88" s="1">
        <f>AB88</f>
        <v>0</v>
      </c>
      <c r="AE88" s="1">
        <f>AC88+AD88</f>
        <v>1300</v>
      </c>
      <c r="AF88" s="1">
        <f>AD88</f>
        <v>0</v>
      </c>
      <c r="AG88" s="1">
        <f>AE88+AF88</f>
        <v>1300</v>
      </c>
      <c r="AH88" s="1">
        <f>AF88</f>
        <v>0</v>
      </c>
      <c r="AI88" s="1">
        <f>AG88+AH88</f>
        <v>1300</v>
      </c>
      <c r="AJ88" s="1">
        <f>AH88</f>
        <v>0</v>
      </c>
      <c r="AK88" s="1">
        <f>AI88+AJ88</f>
        <v>1300</v>
      </c>
      <c r="AL88" s="1">
        <f>AJ88</f>
        <v>0</v>
      </c>
      <c r="AM88" s="1">
        <f>AK88+AL88</f>
        <v>1300</v>
      </c>
      <c r="AN88" s="1">
        <f>AL88</f>
        <v>0</v>
      </c>
      <c r="AO88" s="1">
        <f>AM88+AN88</f>
        <v>1300</v>
      </c>
      <c r="AP88" s="1">
        <v>1300</v>
      </c>
      <c r="AQ88" s="1">
        <f>AP88-AO88</f>
        <v>0</v>
      </c>
    </row>
    <row r="89" spans="1:43" x14ac:dyDescent="0.2">
      <c r="B89" s="2" t="s">
        <v>71</v>
      </c>
      <c r="C89" s="9">
        <v>37865</v>
      </c>
      <c r="D89" s="14">
        <v>4478</v>
      </c>
      <c r="E89" s="3" t="s">
        <v>14</v>
      </c>
      <c r="F89" s="3">
        <v>10</v>
      </c>
      <c r="G89" s="14">
        <v>149</v>
      </c>
      <c r="H89" s="14">
        <f>SUM(D89/F89)</f>
        <v>447.8</v>
      </c>
      <c r="I89" s="1">
        <f>SUM(G89:H89)</f>
        <v>596.79999999999995</v>
      </c>
      <c r="J89" s="1">
        <f>SUM(D89/F89)</f>
        <v>447.8</v>
      </c>
      <c r="K89" s="1">
        <f>SUM(I89:J89)</f>
        <v>1044.5999999999999</v>
      </c>
      <c r="L89" s="1">
        <f>SUM(D89/F89)</f>
        <v>447.8</v>
      </c>
      <c r="M89" s="1">
        <f>SUM(K89:L89)</f>
        <v>1492.3999999999999</v>
      </c>
      <c r="N89" s="1">
        <f>SUM(D89/F89)</f>
        <v>447.8</v>
      </c>
      <c r="O89" s="1">
        <f>SUM(M89+N89)</f>
        <v>1940.1999999999998</v>
      </c>
      <c r="P89" s="1">
        <f>SUM(D89/F89)</f>
        <v>447.8</v>
      </c>
      <c r="Q89" s="1">
        <f>SUM(O89+P89)</f>
        <v>2388</v>
      </c>
      <c r="R89" s="1">
        <f>SUM(D89/F89)</f>
        <v>447.8</v>
      </c>
      <c r="S89" s="1">
        <f>SUM(Q89+R89)</f>
        <v>2835.8</v>
      </c>
      <c r="T89" s="1">
        <f>SUM(D89/10)</f>
        <v>447.8</v>
      </c>
      <c r="U89" s="1">
        <f>S89+T89</f>
        <v>3283.6000000000004</v>
      </c>
      <c r="V89" s="1">
        <v>448</v>
      </c>
      <c r="W89" s="1">
        <f>U89+V89</f>
        <v>3731.6000000000004</v>
      </c>
      <c r="X89" s="1">
        <v>639</v>
      </c>
      <c r="Y89" s="1">
        <f>W89+X89</f>
        <v>4370.6000000000004</v>
      </c>
      <c r="Z89" s="1">
        <f>4478-4371</f>
        <v>107</v>
      </c>
      <c r="AA89" s="1">
        <f>Y89+Z89</f>
        <v>4477.6000000000004</v>
      </c>
      <c r="AB89" s="1">
        <v>0</v>
      </c>
      <c r="AC89" s="1">
        <f>AA89+AB89</f>
        <v>4477.6000000000004</v>
      </c>
      <c r="AD89" s="1">
        <v>0</v>
      </c>
      <c r="AE89" s="1">
        <f>AC89+AD89</f>
        <v>4477.6000000000004</v>
      </c>
      <c r="AF89" s="1">
        <v>0</v>
      </c>
      <c r="AG89" s="1">
        <f>AE89+AF89</f>
        <v>4477.6000000000004</v>
      </c>
      <c r="AH89" s="1">
        <v>0</v>
      </c>
      <c r="AI89" s="1">
        <f>AG89+AH89</f>
        <v>4477.6000000000004</v>
      </c>
      <c r="AJ89" s="1">
        <v>0</v>
      </c>
      <c r="AK89" s="1">
        <f>AI89+AJ89</f>
        <v>4477.6000000000004</v>
      </c>
      <c r="AL89" s="1">
        <v>0</v>
      </c>
      <c r="AM89" s="1">
        <f>AK89+AL89</f>
        <v>4477.6000000000004</v>
      </c>
      <c r="AN89" s="1">
        <v>0</v>
      </c>
      <c r="AO89" s="1">
        <f>AM89+AN89</f>
        <v>4477.6000000000004</v>
      </c>
      <c r="AP89" s="1">
        <v>4478</v>
      </c>
      <c r="AQ89" s="1">
        <f>AP89-AO89</f>
        <v>0.3999999999996362</v>
      </c>
    </row>
    <row r="90" spans="1:43" x14ac:dyDescent="0.2">
      <c r="E90" s="3"/>
      <c r="F90" s="3"/>
    </row>
    <row r="91" spans="1:43" x14ac:dyDescent="0.2">
      <c r="D91" s="14">
        <f>SUM(D88:D90)</f>
        <v>5778</v>
      </c>
      <c r="E91" s="3"/>
      <c r="F91" s="3"/>
      <c r="G91" s="15">
        <f>SUM(G88:G90)</f>
        <v>471</v>
      </c>
      <c r="H91" s="15">
        <f>SUM(H88:H90)</f>
        <v>577.79999999999995</v>
      </c>
      <c r="I91" s="5">
        <f>SUM(I88:I90)</f>
        <v>1048.8</v>
      </c>
      <c r="J91" s="5">
        <f>SUM(J88:J90)</f>
        <v>577.79999999999995</v>
      </c>
      <c r="K91" s="5">
        <f>SUM(I91:J91)</f>
        <v>1626.6</v>
      </c>
      <c r="L91" s="5">
        <f>SUM(L88:L90)</f>
        <v>577.79999999999995</v>
      </c>
      <c r="M91" s="5">
        <f>SUM(K91:L91)</f>
        <v>2204.3999999999996</v>
      </c>
      <c r="N91" s="5">
        <f t="shared" ref="N91:S91" si="92">SUM(N88:N89)</f>
        <v>577.79999999999995</v>
      </c>
      <c r="O91" s="5">
        <f t="shared" si="92"/>
        <v>2782.2</v>
      </c>
      <c r="P91" s="5">
        <f t="shared" si="92"/>
        <v>577.79999999999995</v>
      </c>
      <c r="Q91" s="5">
        <f t="shared" si="92"/>
        <v>3360</v>
      </c>
      <c r="R91" s="5">
        <f t="shared" si="92"/>
        <v>577.79999999999995</v>
      </c>
      <c r="S91" s="5">
        <f t="shared" si="92"/>
        <v>3937.8</v>
      </c>
      <c r="T91" s="5">
        <f>SUM(T88:T90)</f>
        <v>577.79999999999995</v>
      </c>
      <c r="U91" s="5">
        <f>SUM(U88:U90)</f>
        <v>4515.6000000000004</v>
      </c>
      <c r="V91" s="5">
        <f t="shared" ref="V91:AA91" si="93">SUM(V88:V89)</f>
        <v>516</v>
      </c>
      <c r="W91" s="5">
        <f t="shared" si="93"/>
        <v>5031.6000000000004</v>
      </c>
      <c r="X91" s="5">
        <f t="shared" si="93"/>
        <v>639</v>
      </c>
      <c r="Y91" s="5">
        <f t="shared" si="93"/>
        <v>5670.6</v>
      </c>
      <c r="Z91" s="5">
        <f t="shared" si="93"/>
        <v>107</v>
      </c>
      <c r="AA91" s="5">
        <f t="shared" si="93"/>
        <v>5777.6</v>
      </c>
      <c r="AB91" s="1">
        <v>0</v>
      </c>
      <c r="AC91" s="1">
        <f>AA91+AB91</f>
        <v>5777.6</v>
      </c>
      <c r="AD91" s="1">
        <v>0</v>
      </c>
      <c r="AE91" s="1">
        <f>AC91+AD91</f>
        <v>5777.6</v>
      </c>
      <c r="AF91" s="1">
        <v>0</v>
      </c>
      <c r="AG91" s="1">
        <f>AE91+AF91</f>
        <v>5777.6</v>
      </c>
      <c r="AH91" s="1">
        <v>0</v>
      </c>
      <c r="AI91" s="1">
        <f>AG91+AH91</f>
        <v>5777.6</v>
      </c>
      <c r="AJ91" s="1">
        <v>0</v>
      </c>
      <c r="AK91" s="1">
        <f>AI91+AJ91</f>
        <v>5777.6</v>
      </c>
      <c r="AL91" s="1">
        <v>0</v>
      </c>
      <c r="AM91" s="1">
        <f>AK91+AL91</f>
        <v>5777.6</v>
      </c>
      <c r="AN91" s="1">
        <v>0</v>
      </c>
      <c r="AO91" s="1">
        <f>AM91+AN91</f>
        <v>5777.6</v>
      </c>
      <c r="AP91" s="1">
        <f>SUM(AP88:AP90)</f>
        <v>5778</v>
      </c>
    </row>
    <row r="92" spans="1:43" x14ac:dyDescent="0.2">
      <c r="E92" s="3"/>
      <c r="F92" s="3"/>
    </row>
    <row r="93" spans="1:43" x14ac:dyDescent="0.2">
      <c r="A93" s="1">
        <v>392</v>
      </c>
      <c r="B93" s="2" t="s">
        <v>72</v>
      </c>
      <c r="E93" s="3"/>
      <c r="F93" s="3"/>
    </row>
    <row r="94" spans="1:43" x14ac:dyDescent="0.2">
      <c r="E94" s="3"/>
      <c r="F94" s="3"/>
    </row>
    <row r="95" spans="1:43" x14ac:dyDescent="0.2">
      <c r="B95" s="2" t="s">
        <v>73</v>
      </c>
      <c r="C95" s="11">
        <v>40529</v>
      </c>
      <c r="D95" s="14">
        <v>19828</v>
      </c>
      <c r="E95" s="3" t="s">
        <v>14</v>
      </c>
      <c r="F95" s="3">
        <v>5</v>
      </c>
      <c r="T95" s="1">
        <v>165</v>
      </c>
      <c r="U95" s="1">
        <v>165</v>
      </c>
      <c r="V95" s="1">
        <f>19828/5</f>
        <v>3965.6</v>
      </c>
      <c r="W95" s="1">
        <f>U95+V95</f>
        <v>4130.6000000000004</v>
      </c>
      <c r="X95" s="1">
        <v>3966</v>
      </c>
      <c r="Y95" s="1">
        <f>W95+X95</f>
        <v>8096.6</v>
      </c>
      <c r="Z95" s="1">
        <v>3966</v>
      </c>
      <c r="AA95" s="1">
        <f>Y95+Z95</f>
        <v>12062.6</v>
      </c>
      <c r="AB95" s="1">
        <f>Z95</f>
        <v>3966</v>
      </c>
      <c r="AC95" s="1">
        <f>AA95+AB95</f>
        <v>16028.6</v>
      </c>
      <c r="AD95" s="1">
        <f>19828-16029</f>
        <v>3799</v>
      </c>
      <c r="AE95" s="1">
        <f>AC95+AD95</f>
        <v>19827.599999999999</v>
      </c>
      <c r="AF95" s="1">
        <v>0</v>
      </c>
      <c r="AG95" s="1">
        <f>AE95+AF95</f>
        <v>19827.599999999999</v>
      </c>
      <c r="AH95" s="1">
        <v>0</v>
      </c>
      <c r="AI95" s="1">
        <f>AG95+AH95</f>
        <v>19827.599999999999</v>
      </c>
      <c r="AJ95" s="1">
        <v>0</v>
      </c>
      <c r="AK95" s="1">
        <f>AI95+AJ95</f>
        <v>19827.599999999999</v>
      </c>
      <c r="AL95" s="1">
        <v>0</v>
      </c>
      <c r="AM95" s="1">
        <f>AK95+AL95</f>
        <v>19827.599999999999</v>
      </c>
      <c r="AN95" s="1">
        <v>0</v>
      </c>
      <c r="AO95" s="1">
        <f>AM95+AN95</f>
        <v>19827.599999999999</v>
      </c>
      <c r="AP95" s="1">
        <v>19828</v>
      </c>
      <c r="AQ95" s="1">
        <f>AP95-AO95</f>
        <v>0.40000000000145519</v>
      </c>
    </row>
    <row r="96" spans="1:43" x14ac:dyDescent="0.2">
      <c r="B96" s="2" t="s">
        <v>74</v>
      </c>
      <c r="C96" s="9" t="s">
        <v>75</v>
      </c>
      <c r="D96" s="14">
        <v>7100</v>
      </c>
      <c r="E96" s="3" t="s">
        <v>14</v>
      </c>
      <c r="F96" s="3">
        <v>5</v>
      </c>
      <c r="Y96" s="1">
        <f>W96+X96</f>
        <v>0</v>
      </c>
      <c r="AA96" s="1">
        <f>Y96+Z96</f>
        <v>0</v>
      </c>
      <c r="AB96" s="1">
        <f>7100/5/12*5.5+42</f>
        <v>692.83333333333326</v>
      </c>
      <c r="AC96" s="1">
        <f>AA96+AB96</f>
        <v>692.83333333333326</v>
      </c>
      <c r="AD96" s="1">
        <f>7100/5</f>
        <v>1420</v>
      </c>
      <c r="AE96" s="1">
        <f>AC96+AD96</f>
        <v>2112.833333333333</v>
      </c>
      <c r="AF96" s="1">
        <f>7100/5</f>
        <v>1420</v>
      </c>
      <c r="AG96" s="1">
        <f>AE96+AF96</f>
        <v>3532.833333333333</v>
      </c>
      <c r="AH96" s="1">
        <f>7100/5</f>
        <v>1420</v>
      </c>
      <c r="AI96" s="1">
        <f>AG96+AH96</f>
        <v>4952.833333333333</v>
      </c>
      <c r="AJ96" s="1">
        <f>7100/5</f>
        <v>1420</v>
      </c>
      <c r="AK96" s="1">
        <f>AI96+AJ96</f>
        <v>6372.833333333333</v>
      </c>
      <c r="AL96" s="1">
        <f>7100-6373</f>
        <v>727</v>
      </c>
      <c r="AM96" s="1">
        <f>AK96+AL96</f>
        <v>7099.833333333333</v>
      </c>
      <c r="AN96" s="1">
        <v>0</v>
      </c>
      <c r="AO96" s="1">
        <f>AM96+AN96</f>
        <v>7099.833333333333</v>
      </c>
      <c r="AP96" s="1">
        <v>7100</v>
      </c>
      <c r="AQ96" s="1">
        <f>AP96-AO96</f>
        <v>0.16666666666696983</v>
      </c>
    </row>
    <row r="97" spans="1:43" x14ac:dyDescent="0.2">
      <c r="B97" s="2" t="s">
        <v>76</v>
      </c>
      <c r="C97" s="9">
        <v>42228</v>
      </c>
      <c r="D97" s="14">
        <v>19900</v>
      </c>
      <c r="E97" s="3" t="s">
        <v>14</v>
      </c>
      <c r="F97" s="3">
        <v>5</v>
      </c>
      <c r="AD97" s="1">
        <f>19900/5/365*141+3799</f>
        <v>5336.4794520547948</v>
      </c>
      <c r="AE97" s="1">
        <f>AC97+AD97</f>
        <v>5336.4794520547948</v>
      </c>
      <c r="AF97" s="1">
        <f>19900/5</f>
        <v>3980</v>
      </c>
      <c r="AG97" s="1">
        <f>AE97+AF97</f>
        <v>9316.4794520547948</v>
      </c>
      <c r="AH97" s="1">
        <f>19900/5</f>
        <v>3980</v>
      </c>
      <c r="AI97" s="1">
        <f>AG97+AH97</f>
        <v>13296.479452054795</v>
      </c>
      <c r="AJ97" s="1">
        <f>19900/5</f>
        <v>3980</v>
      </c>
      <c r="AK97" s="1">
        <f>AI97+AJ97</f>
        <v>17276.479452054795</v>
      </c>
      <c r="AL97" s="1">
        <f>19900-17276</f>
        <v>2624</v>
      </c>
      <c r="AM97" s="1">
        <f>AK97+AL97</f>
        <v>19900.479452054795</v>
      </c>
      <c r="AN97" s="1">
        <v>0</v>
      </c>
      <c r="AO97" s="1">
        <f>AM97+AN97</f>
        <v>19900.479452054795</v>
      </c>
      <c r="AP97" s="1">
        <v>19900</v>
      </c>
      <c r="AQ97" s="1">
        <f>AP97-AO97</f>
        <v>-0.47945205479481956</v>
      </c>
    </row>
    <row r="98" spans="1:43" x14ac:dyDescent="0.2">
      <c r="B98" s="2" t="s">
        <v>77</v>
      </c>
      <c r="C98" s="9">
        <v>44014</v>
      </c>
      <c r="D98" s="14">
        <v>66931</v>
      </c>
      <c r="E98" s="3" t="s">
        <v>14</v>
      </c>
      <c r="F98" s="3">
        <v>5</v>
      </c>
      <c r="AN98" s="1">
        <f>66931/5/12*6</f>
        <v>6693.1</v>
      </c>
      <c r="AO98" s="1">
        <f>AM98+AN98</f>
        <v>6693.1</v>
      </c>
      <c r="AP98" s="1">
        <f>D98</f>
        <v>66931</v>
      </c>
      <c r="AQ98" s="1">
        <f>AP98-AO98</f>
        <v>60237.9</v>
      </c>
    </row>
    <row r="99" spans="1:43" x14ac:dyDescent="0.2">
      <c r="E99" s="3"/>
      <c r="F99" s="3"/>
    </row>
    <row r="100" spans="1:43" x14ac:dyDescent="0.2">
      <c r="D100" s="14">
        <f>SUM(D94:D98)</f>
        <v>113759</v>
      </c>
      <c r="E100" s="3"/>
      <c r="F100" s="3"/>
      <c r="G100" s="15">
        <f>SUM(G95:G96)</f>
        <v>0</v>
      </c>
      <c r="H100" s="15">
        <f>SUM(H95:H96)</f>
        <v>0</v>
      </c>
      <c r="I100" s="5">
        <f>SUM(I95:I96)</f>
        <v>0</v>
      </c>
      <c r="J100" s="5">
        <f>SUM(J95:J96)</f>
        <v>0</v>
      </c>
      <c r="K100" s="5">
        <f>SUM(I100:J100)</f>
        <v>0</v>
      </c>
      <c r="L100" s="5">
        <f>SUM(L95:L96)</f>
        <v>0</v>
      </c>
      <c r="M100" s="5">
        <f>SUM(K100:L100)</f>
        <v>0</v>
      </c>
      <c r="N100" s="5">
        <f>SUM(N95:N96)</f>
        <v>0</v>
      </c>
      <c r="O100" s="5" t="e">
        <f>SUM(#N/A)</f>
        <v>#N/A</v>
      </c>
      <c r="P100" s="5">
        <f>SUM(P95:P96)</f>
        <v>0</v>
      </c>
      <c r="Q100" s="5" t="e">
        <f>SUM(#N/A)</f>
        <v>#N/A</v>
      </c>
      <c r="R100" s="5" t="e">
        <f>SUM(#N/A)</f>
        <v>#N/A</v>
      </c>
      <c r="S100" s="5" t="e">
        <f>SUM(#N/A)</f>
        <v>#N/A</v>
      </c>
      <c r="T100" s="5">
        <f t="shared" ref="T100:AB100" si="94">SUM(T95:T96)</f>
        <v>165</v>
      </c>
      <c r="U100" s="5">
        <f t="shared" si="94"/>
        <v>165</v>
      </c>
      <c r="V100" s="5">
        <f t="shared" si="94"/>
        <v>3965.6</v>
      </c>
      <c r="W100" s="5">
        <f t="shared" si="94"/>
        <v>4130.6000000000004</v>
      </c>
      <c r="X100" s="5">
        <f t="shared" si="94"/>
        <v>3966</v>
      </c>
      <c r="Y100" s="5">
        <f t="shared" si="94"/>
        <v>8096.6</v>
      </c>
      <c r="Z100" s="5">
        <f t="shared" si="94"/>
        <v>3966</v>
      </c>
      <c r="AA100" s="5">
        <f t="shared" si="94"/>
        <v>12062.6</v>
      </c>
      <c r="AB100" s="1">
        <f t="shared" si="94"/>
        <v>4658.833333333333</v>
      </c>
      <c r="AC100" s="1">
        <f>AA100+AB100</f>
        <v>16721.433333333334</v>
      </c>
      <c r="AD100" s="1">
        <f>SUM(AD95:AD97)</f>
        <v>10555.479452054795</v>
      </c>
      <c r="AE100" s="1">
        <f>SUM(AE95:AE97)</f>
        <v>27276.912785388125</v>
      </c>
      <c r="AF100" s="1">
        <f>SUM(AF95:AF97)</f>
        <v>5400</v>
      </c>
      <c r="AG100" s="1">
        <f>SUM(AG95:AG97)</f>
        <v>32676.912785388125</v>
      </c>
      <c r="AH100" s="1">
        <f>SUM(AH95:AH97)</f>
        <v>5400</v>
      </c>
      <c r="AI100" s="1">
        <f t="shared" ref="AI100:AP100" si="95">SUM(AI94:AI98)</f>
        <v>38076.912785388122</v>
      </c>
      <c r="AJ100" s="1">
        <f t="shared" si="95"/>
        <v>5400</v>
      </c>
      <c r="AK100" s="1">
        <f t="shared" si="95"/>
        <v>43476.912785388122</v>
      </c>
      <c r="AL100" s="1">
        <f t="shared" si="95"/>
        <v>3351</v>
      </c>
      <c r="AM100" s="1">
        <f t="shared" si="95"/>
        <v>46827.912785388122</v>
      </c>
      <c r="AN100" s="1">
        <f t="shared" si="95"/>
        <v>6693.1</v>
      </c>
      <c r="AO100" s="1">
        <f t="shared" si="95"/>
        <v>53521.01278538812</v>
      </c>
      <c r="AP100" s="1">
        <f t="shared" si="95"/>
        <v>113759</v>
      </c>
    </row>
    <row r="101" spans="1:43" x14ac:dyDescent="0.2">
      <c r="E101" s="3"/>
      <c r="F101" s="3"/>
    </row>
    <row r="102" spans="1:43" x14ac:dyDescent="0.2">
      <c r="E102" s="3"/>
      <c r="F102" s="3"/>
    </row>
    <row r="103" spans="1:43" x14ac:dyDescent="0.2">
      <c r="A103" s="1">
        <v>393.2</v>
      </c>
      <c r="B103" s="2" t="s">
        <v>78</v>
      </c>
      <c r="E103" s="3"/>
      <c r="F103" s="3"/>
    </row>
    <row r="104" spans="1:43" x14ac:dyDescent="0.2">
      <c r="B104" s="2" t="s">
        <v>79</v>
      </c>
      <c r="C104" s="9">
        <v>37438</v>
      </c>
      <c r="D104" s="14">
        <v>533</v>
      </c>
      <c r="E104" s="3" t="s">
        <v>14</v>
      </c>
      <c r="F104" s="3">
        <v>10</v>
      </c>
      <c r="G104" s="14">
        <f>27+53</f>
        <v>80</v>
      </c>
      <c r="H104" s="14">
        <f>SUM(D104/F104)</f>
        <v>53.3</v>
      </c>
      <c r="I104" s="1">
        <f>SUM(G104:H104)</f>
        <v>133.30000000000001</v>
      </c>
      <c r="J104" s="1">
        <f>SUM(D104/F104)</f>
        <v>53.3</v>
      </c>
      <c r="K104" s="1">
        <f>SUM(I104:J104)</f>
        <v>186.60000000000002</v>
      </c>
      <c r="L104" s="1">
        <f>SUM(D104/F104)</f>
        <v>53.3</v>
      </c>
      <c r="M104" s="1">
        <f>SUM(K104:L104)</f>
        <v>239.90000000000003</v>
      </c>
      <c r="N104" s="1">
        <f>SUM(D104/F104)</f>
        <v>53.3</v>
      </c>
      <c r="O104" s="1">
        <f>SUM(M104+N104)</f>
        <v>293.20000000000005</v>
      </c>
      <c r="P104" s="1">
        <f>SUM(D104/F104)</f>
        <v>53.3</v>
      </c>
      <c r="Q104" s="1">
        <f>SUM(O104+P104)</f>
        <v>346.50000000000006</v>
      </c>
      <c r="R104" s="1">
        <f>SUM(D104/F104)</f>
        <v>53.3</v>
      </c>
      <c r="S104" s="1">
        <f>SUM(Q104+R104)</f>
        <v>399.80000000000007</v>
      </c>
      <c r="T104" s="1">
        <f>D104/10</f>
        <v>53.3</v>
      </c>
      <c r="U104" s="1">
        <f>S104+T104</f>
        <v>453.10000000000008</v>
      </c>
      <c r="V104" s="1">
        <f>T104</f>
        <v>53.3</v>
      </c>
      <c r="W104" s="1">
        <f>U104+V104</f>
        <v>506.40000000000009</v>
      </c>
      <c r="X104" s="1">
        <f>533-506</f>
        <v>27</v>
      </c>
      <c r="Y104" s="1">
        <f>W104+X104</f>
        <v>533.40000000000009</v>
      </c>
      <c r="Z104" s="1">
        <v>0</v>
      </c>
      <c r="AA104" s="1">
        <f>Y104+Z104</f>
        <v>533.40000000000009</v>
      </c>
      <c r="AB104" s="1">
        <f>Z104</f>
        <v>0</v>
      </c>
      <c r="AC104" s="1">
        <f>AA104+AB104</f>
        <v>533.40000000000009</v>
      </c>
      <c r="AD104" s="1">
        <f>AB104</f>
        <v>0</v>
      </c>
      <c r="AE104" s="1">
        <f>AC104+AD104</f>
        <v>533.40000000000009</v>
      </c>
      <c r="AF104" s="1">
        <f>AD104</f>
        <v>0</v>
      </c>
      <c r="AG104" s="1">
        <f>AE104+AF104</f>
        <v>533.40000000000009</v>
      </c>
      <c r="AH104" s="1">
        <f>AF104</f>
        <v>0</v>
      </c>
      <c r="AI104" s="1">
        <f>AG104+AH104</f>
        <v>533.40000000000009</v>
      </c>
      <c r="AJ104" s="1">
        <f>AH104</f>
        <v>0</v>
      </c>
      <c r="AK104" s="1">
        <f>AI104+AJ104</f>
        <v>533.40000000000009</v>
      </c>
      <c r="AL104" s="1">
        <f>AJ104</f>
        <v>0</v>
      </c>
      <c r="AM104" s="1">
        <f>AK104+AL104</f>
        <v>533.40000000000009</v>
      </c>
      <c r="AN104" s="1">
        <f>AL104</f>
        <v>0</v>
      </c>
      <c r="AO104" s="1">
        <f>AM104+AN104</f>
        <v>533.40000000000009</v>
      </c>
      <c r="AP104" s="1">
        <v>533</v>
      </c>
      <c r="AQ104" s="1">
        <f>AP104-AO104</f>
        <v>-0.40000000000009095</v>
      </c>
    </row>
    <row r="105" spans="1:43" x14ac:dyDescent="0.2">
      <c r="B105" s="2" t="s">
        <v>80</v>
      </c>
      <c r="C105" s="9">
        <v>37803</v>
      </c>
      <c r="D105" s="14">
        <v>1390</v>
      </c>
      <c r="E105" s="3" t="s">
        <v>14</v>
      </c>
      <c r="F105" s="3">
        <v>10</v>
      </c>
      <c r="G105" s="14">
        <v>70</v>
      </c>
      <c r="H105" s="14">
        <f>SUM(D105/F105)</f>
        <v>139</v>
      </c>
      <c r="I105" s="1">
        <f>SUM(G105:H105)</f>
        <v>209</v>
      </c>
      <c r="J105" s="1">
        <f>SUM(D105/F105)</f>
        <v>139</v>
      </c>
      <c r="K105" s="1">
        <f>SUM(I105:J105)</f>
        <v>348</v>
      </c>
      <c r="L105" s="1">
        <f>SUM(D105/F105)</f>
        <v>139</v>
      </c>
      <c r="M105" s="1">
        <f>SUM(K105:L105)</f>
        <v>487</v>
      </c>
      <c r="N105" s="1">
        <f>SUM(D105/F105)</f>
        <v>139</v>
      </c>
      <c r="O105" s="1">
        <f>SUM(M105+N105)</f>
        <v>626</v>
      </c>
      <c r="P105" s="1">
        <f>SUM(D105/F105)</f>
        <v>139</v>
      </c>
      <c r="Q105" s="1">
        <f>SUM(O105+P105)</f>
        <v>765</v>
      </c>
      <c r="R105" s="1">
        <f>SUM(D105/F105)</f>
        <v>139</v>
      </c>
      <c r="S105" s="1">
        <f>SUM(Q105+R105)</f>
        <v>904</v>
      </c>
      <c r="T105" s="1">
        <f>D105/10</f>
        <v>139</v>
      </c>
      <c r="U105" s="1">
        <f>S105+T105</f>
        <v>1043</v>
      </c>
      <c r="V105" s="1">
        <f>T105</f>
        <v>139</v>
      </c>
      <c r="W105" s="1">
        <f>U105+V105</f>
        <v>1182</v>
      </c>
      <c r="X105" s="1">
        <v>166</v>
      </c>
      <c r="Y105" s="1">
        <f>W105+X105</f>
        <v>1348</v>
      </c>
      <c r="Z105" s="1">
        <f>1390-1348</f>
        <v>42</v>
      </c>
      <c r="AA105" s="1">
        <f>Y105+Z105</f>
        <v>1390</v>
      </c>
      <c r="AB105" s="1">
        <v>0</v>
      </c>
      <c r="AC105" s="1">
        <f>AA105+AB105</f>
        <v>1390</v>
      </c>
      <c r="AD105" s="1">
        <v>0</v>
      </c>
      <c r="AE105" s="1">
        <f>AC105+AD105</f>
        <v>1390</v>
      </c>
      <c r="AF105" s="1">
        <v>0</v>
      </c>
      <c r="AG105" s="1">
        <f>AE105+AF105</f>
        <v>1390</v>
      </c>
      <c r="AH105" s="1">
        <v>0</v>
      </c>
      <c r="AI105" s="1">
        <f>AG105+AH105</f>
        <v>1390</v>
      </c>
      <c r="AJ105" s="1">
        <v>0</v>
      </c>
      <c r="AK105" s="1">
        <f>AI105+AJ105</f>
        <v>1390</v>
      </c>
      <c r="AL105" s="1">
        <v>0</v>
      </c>
      <c r="AM105" s="1">
        <f>AK105+AL105</f>
        <v>1390</v>
      </c>
      <c r="AN105" s="1">
        <v>0</v>
      </c>
      <c r="AO105" s="1">
        <f>AM105+AN105</f>
        <v>1390</v>
      </c>
      <c r="AP105" s="1">
        <v>1390</v>
      </c>
      <c r="AQ105" s="1">
        <f>AP105-AO105</f>
        <v>0</v>
      </c>
    </row>
    <row r="106" spans="1:43" x14ac:dyDescent="0.2">
      <c r="E106" s="3"/>
      <c r="F106" s="3"/>
      <c r="AQ106" s="1">
        <f>AP106-AO106</f>
        <v>0</v>
      </c>
    </row>
    <row r="107" spans="1:43" x14ac:dyDescent="0.2">
      <c r="D107" s="14">
        <f>SUM(D104:D106)</f>
        <v>1923</v>
      </c>
      <c r="E107" s="3"/>
      <c r="F107" s="3"/>
      <c r="G107" s="15">
        <f>SUM(G104:G106)</f>
        <v>150</v>
      </c>
      <c r="H107" s="15">
        <f>SUM(H104:H106)</f>
        <v>192.3</v>
      </c>
      <c r="I107" s="5">
        <f>SUM(I104:I106)</f>
        <v>342.3</v>
      </c>
      <c r="J107" s="5">
        <f>SUM(J104:J106)</f>
        <v>192.3</v>
      </c>
      <c r="K107" s="5">
        <f>SUM(I107:J107)</f>
        <v>534.6</v>
      </c>
      <c r="L107" s="5">
        <f>SUM(L104:L106)</f>
        <v>192.3</v>
      </c>
      <c r="M107" s="5">
        <f>SUM(K107:L107)</f>
        <v>726.90000000000009</v>
      </c>
      <c r="N107" s="5">
        <f>SUM(N104:N106)</f>
        <v>192.3</v>
      </c>
      <c r="O107" s="5">
        <f>SUM(O104:O105)</f>
        <v>919.2</v>
      </c>
      <c r="P107" s="5">
        <f>SUM(P104:P106)</f>
        <v>192.3</v>
      </c>
      <c r="Q107" s="5">
        <f t="shared" ref="Q107:AA107" si="96">SUM(Q104:Q105)</f>
        <v>1111.5</v>
      </c>
      <c r="R107" s="5">
        <f t="shared" si="96"/>
        <v>192.3</v>
      </c>
      <c r="S107" s="5">
        <f t="shared" si="96"/>
        <v>1303.8000000000002</v>
      </c>
      <c r="T107" s="5">
        <f t="shared" si="96"/>
        <v>192.3</v>
      </c>
      <c r="U107" s="5">
        <f t="shared" si="96"/>
        <v>1496.1000000000001</v>
      </c>
      <c r="V107" s="5">
        <f t="shared" si="96"/>
        <v>192.3</v>
      </c>
      <c r="W107" s="5">
        <f t="shared" si="96"/>
        <v>1688.4</v>
      </c>
      <c r="X107" s="5">
        <f t="shared" si="96"/>
        <v>193</v>
      </c>
      <c r="Y107" s="5">
        <f t="shared" si="96"/>
        <v>1881.4</v>
      </c>
      <c r="Z107" s="5">
        <f t="shared" si="96"/>
        <v>42</v>
      </c>
      <c r="AA107" s="5">
        <f t="shared" si="96"/>
        <v>1923.4</v>
      </c>
      <c r="AB107" s="1">
        <v>0</v>
      </c>
      <c r="AC107" s="1">
        <f>AA107+AB107</f>
        <v>1923.4</v>
      </c>
      <c r="AD107" s="1">
        <v>0</v>
      </c>
      <c r="AE107" s="1">
        <f>AC107+AD107</f>
        <v>1923.4</v>
      </c>
      <c r="AF107" s="1">
        <v>0</v>
      </c>
      <c r="AG107" s="1">
        <f>AE107+AF107</f>
        <v>1923.4</v>
      </c>
      <c r="AH107" s="1">
        <v>0</v>
      </c>
      <c r="AI107" s="1">
        <f>AG107+AH107</f>
        <v>1923.4</v>
      </c>
      <c r="AJ107" s="1">
        <v>0</v>
      </c>
      <c r="AK107" s="1">
        <f>AI107+AJ107</f>
        <v>1923.4</v>
      </c>
      <c r="AL107" s="1">
        <v>0</v>
      </c>
      <c r="AM107" s="1">
        <f>AK107+AL107</f>
        <v>1923.4</v>
      </c>
      <c r="AN107" s="1">
        <v>0</v>
      </c>
      <c r="AO107" s="1">
        <f>AM107+AN107</f>
        <v>1923.4</v>
      </c>
      <c r="AP107" s="1">
        <f>SUM(AP104:AP106)</f>
        <v>1923</v>
      </c>
      <c r="AQ107" s="1">
        <f>AP107-AO107</f>
        <v>-0.40000000000009095</v>
      </c>
    </row>
    <row r="108" spans="1:43" x14ac:dyDescent="0.2">
      <c r="E108" s="3"/>
      <c r="F108" s="3"/>
    </row>
    <row r="109" spans="1:43" x14ac:dyDescent="0.2">
      <c r="A109" s="1">
        <v>393.3</v>
      </c>
      <c r="B109" s="2" t="s">
        <v>81</v>
      </c>
      <c r="E109" s="3"/>
      <c r="F109" s="3"/>
    </row>
    <row r="110" spans="1:43" x14ac:dyDescent="0.2">
      <c r="B110" s="2" t="s">
        <v>58</v>
      </c>
      <c r="C110" s="9">
        <v>36069</v>
      </c>
      <c r="D110" s="14">
        <v>572</v>
      </c>
      <c r="E110" s="3" t="s">
        <v>14</v>
      </c>
      <c r="F110" s="3">
        <v>10</v>
      </c>
      <c r="G110" s="14">
        <f>243+57</f>
        <v>300</v>
      </c>
      <c r="H110" s="14">
        <f>SUM(D110/F110)</f>
        <v>57.2</v>
      </c>
      <c r="I110" s="1">
        <f>SUM(G110:H110)</f>
        <v>357.2</v>
      </c>
      <c r="J110" s="1">
        <f>SUM(D110/F110)</f>
        <v>57.2</v>
      </c>
      <c r="K110" s="1">
        <f>SUM(I110:J110)</f>
        <v>414.4</v>
      </c>
      <c r="L110" s="1">
        <f>SUM(D110/F110)</f>
        <v>57.2</v>
      </c>
      <c r="M110" s="1">
        <f>SUM(K110:L110)</f>
        <v>471.59999999999997</v>
      </c>
      <c r="N110" s="1">
        <f>SUM(D110/F110)</f>
        <v>57.2</v>
      </c>
      <c r="O110" s="1">
        <f>SUM(M110+N110)</f>
        <v>528.79999999999995</v>
      </c>
      <c r="P110" s="1">
        <f>SUM(D110/F110-14)</f>
        <v>43.2</v>
      </c>
      <c r="Q110" s="1">
        <f>SUM(O110+P110)</f>
        <v>572</v>
      </c>
      <c r="R110" s="1">
        <v>0</v>
      </c>
      <c r="S110" s="1">
        <f>SUM(Q110+R110)</f>
        <v>572</v>
      </c>
      <c r="T110" s="1">
        <v>0</v>
      </c>
      <c r="U110" s="1">
        <v>572</v>
      </c>
      <c r="V110" s="1">
        <v>0</v>
      </c>
      <c r="W110" s="1">
        <v>572</v>
      </c>
      <c r="X110" s="1">
        <v>0</v>
      </c>
      <c r="Y110" s="1">
        <v>572</v>
      </c>
      <c r="Z110" s="1">
        <v>0</v>
      </c>
      <c r="AA110" s="1">
        <v>572</v>
      </c>
      <c r="AB110" s="1">
        <f>Z110</f>
        <v>0</v>
      </c>
      <c r="AC110" s="1">
        <f>AA110+AB110</f>
        <v>572</v>
      </c>
      <c r="AD110" s="1">
        <f>AB110</f>
        <v>0</v>
      </c>
      <c r="AE110" s="1">
        <f>AC110+AD110</f>
        <v>572</v>
      </c>
      <c r="AF110" s="1">
        <f>AD110</f>
        <v>0</v>
      </c>
      <c r="AG110" s="1">
        <f>AE110+AF110</f>
        <v>572</v>
      </c>
      <c r="AH110" s="1">
        <f>AF110</f>
        <v>0</v>
      </c>
      <c r="AI110" s="1">
        <f>AG110+AH110</f>
        <v>572</v>
      </c>
      <c r="AJ110" s="1">
        <f>AH110</f>
        <v>0</v>
      </c>
      <c r="AK110" s="1">
        <f>AI110+AJ110</f>
        <v>572</v>
      </c>
      <c r="AL110" s="1">
        <f>AJ110</f>
        <v>0</v>
      </c>
      <c r="AM110" s="1">
        <f>AK110+AL110</f>
        <v>572</v>
      </c>
      <c r="AN110" s="1">
        <f>AL110</f>
        <v>0</v>
      </c>
      <c r="AO110" s="1">
        <f>AM110+AN110</f>
        <v>572</v>
      </c>
      <c r="AP110" s="1">
        <v>572</v>
      </c>
      <c r="AQ110" s="1">
        <f>AP110-AO110</f>
        <v>0</v>
      </c>
    </row>
    <row r="111" spans="1:43" x14ac:dyDescent="0.2">
      <c r="B111" s="2" t="s">
        <v>82</v>
      </c>
      <c r="C111" s="9">
        <v>37104</v>
      </c>
      <c r="D111" s="14">
        <v>1485</v>
      </c>
      <c r="E111" s="3" t="s">
        <v>14</v>
      </c>
      <c r="F111" s="3">
        <v>10</v>
      </c>
      <c r="G111" s="14">
        <f>211+149</f>
        <v>360</v>
      </c>
      <c r="H111" s="14">
        <f>SUM(D111/F111)</f>
        <v>148.5</v>
      </c>
      <c r="I111" s="1">
        <f>SUM(G111:H111)</f>
        <v>508.5</v>
      </c>
      <c r="J111" s="1">
        <f>SUM(D111/F111)</f>
        <v>148.5</v>
      </c>
      <c r="K111" s="1">
        <f>SUM(I111:J111)</f>
        <v>657</v>
      </c>
      <c r="L111" s="1">
        <f>SUM(D111/F111)</f>
        <v>148.5</v>
      </c>
      <c r="M111" s="1">
        <f>SUM(K111:L111)</f>
        <v>805.5</v>
      </c>
      <c r="N111" s="1">
        <f>SUM(D111/F111)</f>
        <v>148.5</v>
      </c>
      <c r="O111" s="1">
        <f>SUM(M111+N111)</f>
        <v>954</v>
      </c>
      <c r="P111" s="1">
        <f>SUM(D111/F111)</f>
        <v>148.5</v>
      </c>
      <c r="Q111" s="1">
        <f>SUM(O111+P111)</f>
        <v>1102.5</v>
      </c>
      <c r="R111" s="1">
        <f>SUM(D111/F111)</f>
        <v>148.5</v>
      </c>
      <c r="S111" s="1">
        <f>SUM(Q111+R111)</f>
        <v>1251</v>
      </c>
      <c r="T111" s="1">
        <v>149</v>
      </c>
      <c r="U111" s="1">
        <f>1251+149</f>
        <v>1400</v>
      </c>
      <c r="V111" s="1">
        <v>85</v>
      </c>
      <c r="W111" s="1">
        <v>1485</v>
      </c>
      <c r="X111" s="1">
        <v>0</v>
      </c>
      <c r="Y111" s="1">
        <v>1485</v>
      </c>
      <c r="Z111" s="1">
        <v>0</v>
      </c>
      <c r="AA111" s="1">
        <v>1485</v>
      </c>
      <c r="AB111" s="1">
        <f>Z111</f>
        <v>0</v>
      </c>
      <c r="AC111" s="1">
        <f>AA111+AB111</f>
        <v>1485</v>
      </c>
      <c r="AD111" s="1">
        <f>AB111</f>
        <v>0</v>
      </c>
      <c r="AE111" s="1">
        <f>AC111+AD111</f>
        <v>1485</v>
      </c>
      <c r="AF111" s="1">
        <f>AD111</f>
        <v>0</v>
      </c>
      <c r="AG111" s="1">
        <f>AE111+AF111</f>
        <v>1485</v>
      </c>
      <c r="AH111" s="1">
        <f>AF111</f>
        <v>0</v>
      </c>
      <c r="AI111" s="1">
        <f>AG111+AH111</f>
        <v>1485</v>
      </c>
      <c r="AJ111" s="1">
        <f>AH111</f>
        <v>0</v>
      </c>
      <c r="AK111" s="1">
        <f>AI111+AJ111</f>
        <v>1485</v>
      </c>
      <c r="AL111" s="1">
        <f>AJ111</f>
        <v>0</v>
      </c>
      <c r="AM111" s="1">
        <f>AK111+AL111</f>
        <v>1485</v>
      </c>
      <c r="AN111" s="1">
        <f>AL111</f>
        <v>0</v>
      </c>
      <c r="AO111" s="1">
        <f>AM111+AN111</f>
        <v>1485</v>
      </c>
      <c r="AP111" s="1">
        <v>1485</v>
      </c>
      <c r="AQ111" s="1">
        <f>AP111-AO111</f>
        <v>0</v>
      </c>
    </row>
    <row r="112" spans="1:43" x14ac:dyDescent="0.2">
      <c r="B112" s="2" t="s">
        <v>83</v>
      </c>
      <c r="C112" s="9">
        <v>39263</v>
      </c>
      <c r="D112" s="14">
        <v>3424</v>
      </c>
      <c r="E112" s="3" t="s">
        <v>14</v>
      </c>
      <c r="F112" s="3">
        <v>10</v>
      </c>
      <c r="N112" s="1">
        <f>SUM(D112/F112)/2</f>
        <v>171.2</v>
      </c>
      <c r="O112" s="1">
        <f>SUM(M112+N112)</f>
        <v>171.2</v>
      </c>
      <c r="P112" s="1">
        <f>SUM(D112/F112)</f>
        <v>342.4</v>
      </c>
      <c r="Q112" s="1">
        <f>SUM(O112+P112)</f>
        <v>513.59999999999991</v>
      </c>
      <c r="R112" s="1">
        <f>SUM(D112/F112)</f>
        <v>342.4</v>
      </c>
      <c r="S112" s="1">
        <f>SUM(Q112+R112)</f>
        <v>855.99999999999989</v>
      </c>
      <c r="T112" s="1">
        <v>342</v>
      </c>
      <c r="U112" s="1">
        <f>856+342</f>
        <v>1198</v>
      </c>
      <c r="V112" s="1">
        <f>T112</f>
        <v>342</v>
      </c>
      <c r="W112" s="1">
        <f>U112+V112</f>
        <v>1540</v>
      </c>
      <c r="X112" s="1">
        <f>V112</f>
        <v>342</v>
      </c>
      <c r="Y112" s="1">
        <f>W112+X112</f>
        <v>1882</v>
      </c>
      <c r="Z112" s="1">
        <f>X112</f>
        <v>342</v>
      </c>
      <c r="AA112" s="1">
        <f>Y112+Z112</f>
        <v>2224</v>
      </c>
      <c r="AB112" s="1">
        <f>Z112</f>
        <v>342</v>
      </c>
      <c r="AC112" s="1">
        <f>AA112+AB112</f>
        <v>2566</v>
      </c>
      <c r="AD112" s="1">
        <f>AB112</f>
        <v>342</v>
      </c>
      <c r="AE112" s="1">
        <f>AC112+AD112</f>
        <v>2908</v>
      </c>
      <c r="AF112" s="1">
        <f>AD112</f>
        <v>342</v>
      </c>
      <c r="AG112" s="1">
        <f>AE112+AF112</f>
        <v>3250</v>
      </c>
      <c r="AH112" s="1">
        <f>3424-3250</f>
        <v>174</v>
      </c>
      <c r="AI112" s="1">
        <f>AG112+AH112</f>
        <v>3424</v>
      </c>
      <c r="AJ112" s="1">
        <v>0</v>
      </c>
      <c r="AK112" s="1">
        <f>AI112+AJ112</f>
        <v>3424</v>
      </c>
      <c r="AL112" s="1">
        <v>0</v>
      </c>
      <c r="AM112" s="1">
        <f>AK112+AL112</f>
        <v>3424</v>
      </c>
      <c r="AN112" s="1">
        <v>0</v>
      </c>
      <c r="AO112" s="1">
        <f>AM112+AN112</f>
        <v>3424</v>
      </c>
      <c r="AP112" s="1">
        <v>3424</v>
      </c>
      <c r="AQ112" s="1">
        <f>AP112-AO112</f>
        <v>0</v>
      </c>
    </row>
    <row r="113" spans="1:43" x14ac:dyDescent="0.2">
      <c r="E113" s="3"/>
      <c r="F113" s="3"/>
      <c r="AB113" s="1">
        <f>Z113</f>
        <v>0</v>
      </c>
      <c r="AC113" s="1">
        <f>AA113+AB113</f>
        <v>0</v>
      </c>
      <c r="AD113" s="1">
        <f>AB113</f>
        <v>0</v>
      </c>
      <c r="AE113" s="1">
        <f>AC113+AD113</f>
        <v>0</v>
      </c>
      <c r="AF113" s="1">
        <f>AD113</f>
        <v>0</v>
      </c>
      <c r="AG113" s="1">
        <f>AE113+AF113</f>
        <v>0</v>
      </c>
      <c r="AH113" s="1">
        <f>AF113</f>
        <v>0</v>
      </c>
      <c r="AI113" s="1">
        <f>AG113+AH113</f>
        <v>0</v>
      </c>
      <c r="AJ113" s="1">
        <f>AH113</f>
        <v>0</v>
      </c>
      <c r="AK113" s="1">
        <f>AI113+AJ113</f>
        <v>0</v>
      </c>
      <c r="AL113" s="1">
        <f>AJ113</f>
        <v>0</v>
      </c>
      <c r="AM113" s="1">
        <f>AK113+AL113</f>
        <v>0</v>
      </c>
      <c r="AN113" s="1">
        <f>AL113</f>
        <v>0</v>
      </c>
      <c r="AO113" s="1">
        <f>AM113+AN113</f>
        <v>0</v>
      </c>
      <c r="AQ113" s="1">
        <f>AP113-AO113</f>
        <v>0</v>
      </c>
    </row>
    <row r="114" spans="1:43" x14ac:dyDescent="0.2">
      <c r="D114" s="14">
        <f>SUM(D110:D113)</f>
        <v>5481</v>
      </c>
      <c r="E114" s="3"/>
      <c r="F114" s="3"/>
      <c r="G114" s="15">
        <f>SUM(G110:G113)</f>
        <v>660</v>
      </c>
      <c r="H114" s="15">
        <f>SUM(H110:H113)</f>
        <v>205.7</v>
      </c>
      <c r="I114" s="5">
        <f>SUM(I110:I113)</f>
        <v>865.7</v>
      </c>
      <c r="J114" s="5">
        <f>SUM(J110:J113)</f>
        <v>205.7</v>
      </c>
      <c r="K114" s="5">
        <f>SUM(I114:J114)</f>
        <v>1071.4000000000001</v>
      </c>
      <c r="L114" s="5">
        <f>SUM(L110:L113)</f>
        <v>205.7</v>
      </c>
      <c r="M114" s="5">
        <f>SUM(K114:L114)</f>
        <v>1277.1000000000001</v>
      </c>
      <c r="N114" s="5">
        <f>SUM(N110:N113)</f>
        <v>376.9</v>
      </c>
      <c r="O114" s="5">
        <f t="shared" ref="O114:AA114" si="97">SUM(O110:O112)</f>
        <v>1654</v>
      </c>
      <c r="P114" s="5">
        <f t="shared" si="97"/>
        <v>534.09999999999991</v>
      </c>
      <c r="Q114" s="5">
        <f t="shared" si="97"/>
        <v>2188.1</v>
      </c>
      <c r="R114" s="5">
        <f t="shared" si="97"/>
        <v>490.9</v>
      </c>
      <c r="S114" s="5">
        <f t="shared" si="97"/>
        <v>2679</v>
      </c>
      <c r="T114" s="5">
        <f t="shared" si="97"/>
        <v>491</v>
      </c>
      <c r="U114" s="5">
        <f t="shared" si="97"/>
        <v>3170</v>
      </c>
      <c r="V114" s="5">
        <f t="shared" si="97"/>
        <v>427</v>
      </c>
      <c r="W114" s="5">
        <f t="shared" si="97"/>
        <v>3597</v>
      </c>
      <c r="X114" s="5">
        <f t="shared" si="97"/>
        <v>342</v>
      </c>
      <c r="Y114" s="5">
        <f t="shared" si="97"/>
        <v>3939</v>
      </c>
      <c r="Z114" s="5">
        <f t="shared" si="97"/>
        <v>342</v>
      </c>
      <c r="AA114" s="5">
        <f t="shared" si="97"/>
        <v>4281</v>
      </c>
      <c r="AB114" s="1">
        <f>Z114</f>
        <v>342</v>
      </c>
      <c r="AC114" s="1">
        <f>AA114+AB114</f>
        <v>4623</v>
      </c>
      <c r="AD114" s="1">
        <f>AB114</f>
        <v>342</v>
      </c>
      <c r="AE114" s="1">
        <f>AC114+AD114</f>
        <v>4965</v>
      </c>
      <c r="AF114" s="1">
        <f>AD114</f>
        <v>342</v>
      </c>
      <c r="AG114" s="1">
        <f>AE114+AF114</f>
        <v>5307</v>
      </c>
      <c r="AH114" s="1">
        <f>AF114</f>
        <v>342</v>
      </c>
      <c r="AI114" s="1">
        <f>AG114+AH114</f>
        <v>5649</v>
      </c>
      <c r="AJ114" s="1">
        <v>0</v>
      </c>
      <c r="AK114" s="1">
        <f>AI114+AJ114</f>
        <v>5649</v>
      </c>
      <c r="AL114" s="1">
        <v>0</v>
      </c>
      <c r="AM114" s="1">
        <f>AK114+AL114</f>
        <v>5649</v>
      </c>
      <c r="AN114" s="1">
        <v>0</v>
      </c>
      <c r="AO114" s="1">
        <f>AM114+AN114</f>
        <v>5649</v>
      </c>
      <c r="AP114" s="1">
        <f>SUM(AP110:AP113)</f>
        <v>5481</v>
      </c>
    </row>
    <row r="115" spans="1:43" x14ac:dyDescent="0.2">
      <c r="E115" s="3"/>
      <c r="F115" s="3"/>
    </row>
    <row r="116" spans="1:43" x14ac:dyDescent="0.2">
      <c r="A116" s="1">
        <v>393.5</v>
      </c>
      <c r="B116" s="2" t="s">
        <v>84</v>
      </c>
      <c r="E116" s="3"/>
      <c r="F116" s="3"/>
    </row>
    <row r="118" spans="1:43" x14ac:dyDescent="0.2">
      <c r="D118" s="14">
        <f>SUM(D117:D117)</f>
        <v>0</v>
      </c>
      <c r="E118" s="3"/>
      <c r="F118" s="3"/>
      <c r="G118" s="15">
        <f>SUM(G117:G117)</f>
        <v>0</v>
      </c>
      <c r="H118" s="15">
        <f>SUM(H117:H117)</f>
        <v>0</v>
      </c>
      <c r="I118" s="5">
        <f>SUM(I117:I117)</f>
        <v>0</v>
      </c>
      <c r="J118" s="5">
        <f>SUM(J117:J117)</f>
        <v>0</v>
      </c>
      <c r="K118" s="5">
        <f>SUM(I118:J118)</f>
        <v>0</v>
      </c>
      <c r="L118" s="5">
        <f>SUM(L117:L117)</f>
        <v>0</v>
      </c>
      <c r="M118" s="5">
        <f>SUM(K118:L118)</f>
        <v>0</v>
      </c>
      <c r="N118" s="5">
        <f>SUM(N117:N117)</f>
        <v>0</v>
      </c>
      <c r="O118" s="5" t="e">
        <f>SUM(#N/A)</f>
        <v>#N/A</v>
      </c>
      <c r="P118" s="5">
        <f>SUM(P117:P117)</f>
        <v>0</v>
      </c>
      <c r="Q118" s="5" t="e">
        <f>SUM(#N/A)</f>
        <v>#N/A</v>
      </c>
      <c r="R118" s="5" t="e">
        <f>SUM(#N/A)</f>
        <v>#N/A</v>
      </c>
      <c r="S118" s="5" t="e">
        <f>SUM(#N/A)</f>
        <v>#N/A</v>
      </c>
      <c r="T118" s="5">
        <v>0</v>
      </c>
      <c r="U118" s="5">
        <v>1449</v>
      </c>
      <c r="V118" s="5">
        <v>0</v>
      </c>
      <c r="W118" s="5">
        <v>1449</v>
      </c>
      <c r="X118" s="5">
        <v>0</v>
      </c>
      <c r="Y118" s="5">
        <v>1449</v>
      </c>
      <c r="Z118" s="5">
        <v>0</v>
      </c>
      <c r="AA118" s="5">
        <v>1449</v>
      </c>
      <c r="AB118" s="1">
        <f>Z118</f>
        <v>0</v>
      </c>
      <c r="AC118" s="1">
        <f>AA118+AB118</f>
        <v>1449</v>
      </c>
      <c r="AD118" s="1">
        <f>AB118</f>
        <v>0</v>
      </c>
      <c r="AE118" s="1">
        <f>AC118+AD118</f>
        <v>1449</v>
      </c>
      <c r="AF118" s="1">
        <f>AD118</f>
        <v>0</v>
      </c>
      <c r="AG118" s="1">
        <f>AE118+AF118</f>
        <v>1449</v>
      </c>
      <c r="AH118" s="1">
        <f>AF118</f>
        <v>0</v>
      </c>
      <c r="AI118" s="1">
        <v>0</v>
      </c>
      <c r="AJ118" s="1">
        <f>AH118</f>
        <v>0</v>
      </c>
      <c r="AK118" s="1">
        <f>AI118+AJ118</f>
        <v>0</v>
      </c>
      <c r="AL118" s="1">
        <f>SUM(AL117:AL117)</f>
        <v>0</v>
      </c>
      <c r="AN118" s="1">
        <v>0</v>
      </c>
      <c r="AO118" s="1">
        <v>0</v>
      </c>
      <c r="AP118" s="1">
        <f>SUM(AP117:AP117)</f>
        <v>0</v>
      </c>
    </row>
    <row r="119" spans="1:43" x14ac:dyDescent="0.2">
      <c r="E119" s="3"/>
      <c r="F119" s="3"/>
    </row>
    <row r="120" spans="1:43" x14ac:dyDescent="0.2">
      <c r="A120" s="1">
        <v>393.6</v>
      </c>
      <c r="B120" s="2" t="s">
        <v>85</v>
      </c>
      <c r="E120" s="3"/>
      <c r="F120" s="3"/>
    </row>
    <row r="121" spans="1:43" x14ac:dyDescent="0.2">
      <c r="B121" s="2" t="s">
        <v>86</v>
      </c>
      <c r="C121" s="9">
        <v>37834</v>
      </c>
      <c r="D121" s="14">
        <v>2122</v>
      </c>
      <c r="E121" s="3" t="s">
        <v>14</v>
      </c>
      <c r="F121" s="3">
        <v>10</v>
      </c>
      <c r="G121" s="14">
        <v>88</v>
      </c>
      <c r="H121" s="14">
        <f>SUM(D121/F121)</f>
        <v>212.2</v>
      </c>
      <c r="I121" s="1">
        <f>SUM(G121:H121)</f>
        <v>300.2</v>
      </c>
      <c r="J121" s="1">
        <f>SUM(D121/F121)</f>
        <v>212.2</v>
      </c>
      <c r="K121" s="1">
        <f>SUM(I121:J121)</f>
        <v>512.4</v>
      </c>
      <c r="L121" s="1">
        <f>SUM(D121/F121)</f>
        <v>212.2</v>
      </c>
      <c r="M121" s="1">
        <f>SUM(K121:L121)</f>
        <v>724.59999999999991</v>
      </c>
      <c r="N121" s="1">
        <f>SUM(D121/F121)</f>
        <v>212.2</v>
      </c>
      <c r="O121" s="1">
        <f>SUM(M121+N121)</f>
        <v>936.8</v>
      </c>
      <c r="P121" s="1">
        <f>SUM(D121/F121)</f>
        <v>212.2</v>
      </c>
      <c r="Q121" s="1">
        <f>SUM(O121+P121)</f>
        <v>1149</v>
      </c>
      <c r="R121" s="1">
        <f>SUM(D121/F121)</f>
        <v>212.2</v>
      </c>
      <c r="S121" s="1">
        <f>SUM(Q121+R121)</f>
        <v>1361.2</v>
      </c>
      <c r="T121" s="1">
        <v>212</v>
      </c>
      <c r="U121" s="1">
        <f>S121+T121</f>
        <v>1573.2</v>
      </c>
      <c r="V121" s="1">
        <f>T121</f>
        <v>212</v>
      </c>
      <c r="W121" s="1">
        <f>U121+V121</f>
        <v>1785.2</v>
      </c>
      <c r="X121" s="1">
        <f>V121</f>
        <v>212</v>
      </c>
      <c r="Y121" s="1">
        <f>W121+X121</f>
        <v>1997.2</v>
      </c>
      <c r="Z121" s="1">
        <f>2122-1997</f>
        <v>125</v>
      </c>
      <c r="AA121" s="1">
        <f>Y121+Z121</f>
        <v>2122.1999999999998</v>
      </c>
      <c r="AB121" s="1">
        <v>0</v>
      </c>
      <c r="AC121" s="1">
        <f>AA121+AB121</f>
        <v>2122.1999999999998</v>
      </c>
      <c r="AD121" s="1">
        <v>0</v>
      </c>
      <c r="AE121" s="1">
        <f>AC121+AD121</f>
        <v>2122.1999999999998</v>
      </c>
      <c r="AF121" s="1">
        <v>0</v>
      </c>
      <c r="AG121" s="1">
        <f>AE121+AF121</f>
        <v>2122.1999999999998</v>
      </c>
      <c r="AH121" s="1">
        <v>0</v>
      </c>
      <c r="AI121" s="1">
        <f>AG121+AH121</f>
        <v>2122.1999999999998</v>
      </c>
      <c r="AJ121" s="1">
        <v>0</v>
      </c>
      <c r="AK121" s="1">
        <f>AI121+AJ121</f>
        <v>2122.1999999999998</v>
      </c>
      <c r="AL121" s="1">
        <v>0</v>
      </c>
      <c r="AM121" s="1">
        <f>AK121+AL121</f>
        <v>2122.1999999999998</v>
      </c>
      <c r="AN121" s="1">
        <v>0</v>
      </c>
      <c r="AO121" s="1">
        <f>AM121+AN121</f>
        <v>2122.1999999999998</v>
      </c>
      <c r="AP121" s="1">
        <v>2122</v>
      </c>
      <c r="AQ121" s="1">
        <f>AP121-AO121</f>
        <v>-0.1999999999998181</v>
      </c>
    </row>
    <row r="122" spans="1:43" x14ac:dyDescent="0.2">
      <c r="B122" s="2" t="s">
        <v>86</v>
      </c>
      <c r="C122" s="9">
        <v>38030</v>
      </c>
      <c r="D122" s="14">
        <v>7000</v>
      </c>
      <c r="E122" s="3" t="s">
        <v>14</v>
      </c>
      <c r="F122" s="3">
        <v>10</v>
      </c>
      <c r="H122" s="14">
        <f>SUM(D122/F122/2)</f>
        <v>350</v>
      </c>
      <c r="I122" s="1">
        <f>SUM(G122:H122)</f>
        <v>350</v>
      </c>
      <c r="J122" s="1">
        <f>SUM(D122/F122)</f>
        <v>700</v>
      </c>
      <c r="K122" s="1">
        <f>SUM(I122:J122)</f>
        <v>1050</v>
      </c>
      <c r="L122" s="1">
        <f>SUM(D122/F122)</f>
        <v>700</v>
      </c>
      <c r="M122" s="1">
        <f>SUM(K122:L122)</f>
        <v>1750</v>
      </c>
      <c r="N122" s="1">
        <f>SUM(D122/F122)</f>
        <v>700</v>
      </c>
      <c r="O122" s="1">
        <f>SUM(M122+N122)</f>
        <v>2450</v>
      </c>
      <c r="P122" s="1">
        <f>SUM(D122/F122)</f>
        <v>700</v>
      </c>
      <c r="Q122" s="1">
        <f>SUM(O122+P122)</f>
        <v>3150</v>
      </c>
      <c r="R122" s="1">
        <f>SUM(D122/F122)</f>
        <v>700</v>
      </c>
      <c r="S122" s="1">
        <f>SUM(Q122+R122)</f>
        <v>3850</v>
      </c>
      <c r="T122" s="1">
        <v>700</v>
      </c>
      <c r="U122" s="1">
        <f>S122+T122</f>
        <v>4550</v>
      </c>
      <c r="V122" s="1">
        <f>T122</f>
        <v>700</v>
      </c>
      <c r="W122" s="1">
        <f>U122+V122</f>
        <v>5250</v>
      </c>
      <c r="X122" s="1">
        <f>V122</f>
        <v>700</v>
      </c>
      <c r="Y122" s="1">
        <f>W122+X122</f>
        <v>5950</v>
      </c>
      <c r="Z122" s="1">
        <f>X122</f>
        <v>700</v>
      </c>
      <c r="AA122" s="1">
        <f>Y122+Z122</f>
        <v>6650</v>
      </c>
      <c r="AB122" s="1">
        <v>350</v>
      </c>
      <c r="AC122" s="1">
        <f>AA122+AB122</f>
        <v>7000</v>
      </c>
      <c r="AD122" s="1">
        <v>0</v>
      </c>
      <c r="AE122" s="1">
        <f>AC122+AD122</f>
        <v>7000</v>
      </c>
      <c r="AF122" s="1">
        <v>0</v>
      </c>
      <c r="AG122" s="1">
        <f>AE122+AF122</f>
        <v>7000</v>
      </c>
      <c r="AH122" s="1">
        <v>0</v>
      </c>
      <c r="AI122" s="1">
        <f>AG122+AH122</f>
        <v>7000</v>
      </c>
      <c r="AJ122" s="1">
        <v>0</v>
      </c>
      <c r="AK122" s="1">
        <f>AI122+AJ122</f>
        <v>7000</v>
      </c>
      <c r="AL122" s="1">
        <v>0</v>
      </c>
      <c r="AM122" s="1">
        <f>AK122+AL122</f>
        <v>7000</v>
      </c>
      <c r="AN122" s="1">
        <v>0</v>
      </c>
      <c r="AO122" s="1">
        <f>AM122+AN122</f>
        <v>7000</v>
      </c>
      <c r="AP122" s="1">
        <v>7000</v>
      </c>
      <c r="AQ122" s="1">
        <f>AP122-AO122</f>
        <v>0</v>
      </c>
    </row>
    <row r="123" spans="1:43" x14ac:dyDescent="0.2">
      <c r="B123" s="2" t="s">
        <v>87</v>
      </c>
      <c r="C123" s="9">
        <v>41201</v>
      </c>
      <c r="D123" s="14">
        <v>3609</v>
      </c>
      <c r="E123" s="3" t="s">
        <v>14</v>
      </c>
      <c r="F123" s="3">
        <v>10</v>
      </c>
      <c r="X123" s="1">
        <v>75</v>
      </c>
      <c r="Y123" s="1">
        <f>W123+X123</f>
        <v>75</v>
      </c>
      <c r="Z123" s="1">
        <v>75</v>
      </c>
      <c r="AA123" s="1">
        <f>Y123+Z123</f>
        <v>150</v>
      </c>
      <c r="AB123" s="1">
        <v>361</v>
      </c>
      <c r="AC123" s="1">
        <f>AA123+AB123</f>
        <v>511</v>
      </c>
      <c r="AD123" s="1">
        <f>3609/10</f>
        <v>360.9</v>
      </c>
      <c r="AE123" s="1">
        <f>AC123+AD123</f>
        <v>871.9</v>
      </c>
      <c r="AF123" s="1">
        <f>3609/10</f>
        <v>360.9</v>
      </c>
      <c r="AG123" s="1">
        <f>AE123+AF123</f>
        <v>1232.8</v>
      </c>
      <c r="AH123" s="1">
        <f>3609/10</f>
        <v>360.9</v>
      </c>
      <c r="AI123" s="1">
        <f>AG123+AH123</f>
        <v>1593.6999999999998</v>
      </c>
      <c r="AJ123" s="1">
        <f>3609/10</f>
        <v>360.9</v>
      </c>
      <c r="AK123" s="1">
        <f>AI123+AJ123</f>
        <v>1954.6</v>
      </c>
      <c r="AL123" s="1">
        <f>3609/10</f>
        <v>360.9</v>
      </c>
      <c r="AM123" s="1">
        <f>AK123+AL123</f>
        <v>2315.5</v>
      </c>
      <c r="AN123" s="1">
        <f>3609/10</f>
        <v>360.9</v>
      </c>
      <c r="AO123" s="1">
        <f>AM123+AN123</f>
        <v>2676.4</v>
      </c>
      <c r="AP123" s="1">
        <v>3609</v>
      </c>
      <c r="AQ123" s="1">
        <f>AP123-AO123</f>
        <v>932.59999999999991</v>
      </c>
    </row>
    <row r="124" spans="1:43" x14ac:dyDescent="0.2">
      <c r="B124" s="2" t="s">
        <v>88</v>
      </c>
      <c r="C124" s="9">
        <v>40662</v>
      </c>
      <c r="D124" s="14">
        <v>2728</v>
      </c>
      <c r="E124" s="3" t="s">
        <v>14</v>
      </c>
      <c r="F124" s="3">
        <v>10</v>
      </c>
      <c r="V124" s="1">
        <v>182</v>
      </c>
      <c r="W124" s="1">
        <f>U124+V124</f>
        <v>182</v>
      </c>
      <c r="X124" s="1">
        <v>273</v>
      </c>
      <c r="Y124" s="1">
        <f>W124+X124</f>
        <v>455</v>
      </c>
      <c r="Z124" s="1">
        <v>273</v>
      </c>
      <c r="AA124" s="1">
        <f>Y124+Z124</f>
        <v>728</v>
      </c>
      <c r="AB124" s="1">
        <f>Z124</f>
        <v>273</v>
      </c>
      <c r="AC124" s="1">
        <f>AA124+AB124</f>
        <v>1001</v>
      </c>
      <c r="AD124" s="1">
        <f>AB124</f>
        <v>273</v>
      </c>
      <c r="AE124" s="1">
        <f>AC124+AD124</f>
        <v>1274</v>
      </c>
      <c r="AF124" s="1">
        <f>AD124</f>
        <v>273</v>
      </c>
      <c r="AG124" s="1">
        <f>AE124+AF124</f>
        <v>1547</v>
      </c>
      <c r="AH124" s="1">
        <f>AF124</f>
        <v>273</v>
      </c>
      <c r="AI124" s="1">
        <f>AG124+AH124</f>
        <v>1820</v>
      </c>
      <c r="AJ124" s="1">
        <f>AH124</f>
        <v>273</v>
      </c>
      <c r="AK124" s="1">
        <f>AI124+AJ124</f>
        <v>2093</v>
      </c>
      <c r="AL124" s="1">
        <f>AJ124</f>
        <v>273</v>
      </c>
      <c r="AM124" s="1">
        <f>AK124+AL124</f>
        <v>2366</v>
      </c>
      <c r="AN124" s="1">
        <f>AL124</f>
        <v>273</v>
      </c>
      <c r="AO124" s="1">
        <f>AM124+AN124</f>
        <v>2639</v>
      </c>
      <c r="AP124" s="1">
        <v>2728</v>
      </c>
      <c r="AQ124" s="1">
        <f>AP124-AO124</f>
        <v>89</v>
      </c>
    </row>
    <row r="125" spans="1:43" x14ac:dyDescent="0.2">
      <c r="E125" s="3"/>
      <c r="F125" s="3"/>
    </row>
    <row r="126" spans="1:43" x14ac:dyDescent="0.2">
      <c r="D126" s="14">
        <f>SUM(D120:D125)</f>
        <v>15459</v>
      </c>
      <c r="E126" s="3"/>
      <c r="F126" s="3"/>
      <c r="G126" s="15">
        <f>SUM(G120:G125)</f>
        <v>88</v>
      </c>
      <c r="H126" s="15">
        <f>SUM(H120:H125)</f>
        <v>562.20000000000005</v>
      </c>
      <c r="I126" s="5">
        <f>SUM(I120:I125)</f>
        <v>650.20000000000005</v>
      </c>
      <c r="J126" s="5">
        <f>SUM(J120:J125)</f>
        <v>912.2</v>
      </c>
      <c r="K126" s="5">
        <f>SUM(I126:J126)</f>
        <v>1562.4</v>
      </c>
      <c r="L126" s="5">
        <f>SUM(L120:L125)</f>
        <v>912.2</v>
      </c>
      <c r="M126" s="5">
        <f>SUM(K126:L126)</f>
        <v>2474.6000000000004</v>
      </c>
      <c r="N126" s="5">
        <f>SUM(N120:N125)</f>
        <v>912.2</v>
      </c>
      <c r="O126" s="5">
        <f t="shared" ref="O126:U126" si="98">SUM(O121:O123)</f>
        <v>3386.8</v>
      </c>
      <c r="P126" s="5">
        <f t="shared" si="98"/>
        <v>912.2</v>
      </c>
      <c r="Q126" s="5">
        <f t="shared" si="98"/>
        <v>4299</v>
      </c>
      <c r="R126" s="5">
        <f t="shared" si="98"/>
        <v>912.2</v>
      </c>
      <c r="S126" s="5">
        <f t="shared" si="98"/>
        <v>5211.2</v>
      </c>
      <c r="T126" s="5">
        <f t="shared" si="98"/>
        <v>912</v>
      </c>
      <c r="U126" s="5">
        <f t="shared" si="98"/>
        <v>6123.2</v>
      </c>
      <c r="V126" s="5">
        <f t="shared" ref="V126:AA126" si="99">SUM(V121:V124)</f>
        <v>1094</v>
      </c>
      <c r="W126" s="5">
        <f t="shared" si="99"/>
        <v>7217.2</v>
      </c>
      <c r="X126" s="5">
        <f t="shared" si="99"/>
        <v>1260</v>
      </c>
      <c r="Y126" s="5">
        <f t="shared" si="99"/>
        <v>8477.2000000000007</v>
      </c>
      <c r="Z126" s="5">
        <f t="shared" si="99"/>
        <v>1173</v>
      </c>
      <c r="AA126" s="5">
        <f t="shared" si="99"/>
        <v>9650.2000000000007</v>
      </c>
      <c r="AB126" s="1">
        <f>Z126</f>
        <v>1173</v>
      </c>
      <c r="AC126" s="1">
        <f>AA126+AB126</f>
        <v>10823.2</v>
      </c>
      <c r="AD126" s="1">
        <f>AB126</f>
        <v>1173</v>
      </c>
      <c r="AE126" s="1">
        <f>AC126+AD126</f>
        <v>11996.2</v>
      </c>
      <c r="AF126" s="1">
        <f>AD126</f>
        <v>1173</v>
      </c>
      <c r="AG126" s="1">
        <f>AE126+AF126</f>
        <v>13169.2</v>
      </c>
      <c r="AH126" s="1">
        <f>AF126</f>
        <v>1173</v>
      </c>
      <c r="AI126" s="1">
        <f>AG126+AH126</f>
        <v>14342.2</v>
      </c>
      <c r="AJ126" s="1">
        <f>SUM(AJ121:AJ124)</f>
        <v>633.9</v>
      </c>
      <c r="AK126" s="1">
        <f>AI126+AJ126</f>
        <v>14976.1</v>
      </c>
      <c r="AL126" s="1">
        <f>SUM(AL121:AL124)</f>
        <v>633.9</v>
      </c>
      <c r="AM126" s="1">
        <f>AK126+AL126</f>
        <v>15610</v>
      </c>
      <c r="AN126" s="1">
        <f>SUM(AN121:AN124)</f>
        <v>633.9</v>
      </c>
      <c r="AO126" s="1">
        <f>AM126+AN126</f>
        <v>16243.9</v>
      </c>
      <c r="AP126" s="1">
        <f>SUM(AP120:AP125)</f>
        <v>15459</v>
      </c>
    </row>
    <row r="127" spans="1:43" x14ac:dyDescent="0.2">
      <c r="E127" s="3"/>
      <c r="F127" s="3"/>
    </row>
    <row r="128" spans="1:43" x14ac:dyDescent="0.2">
      <c r="D128" s="14">
        <f>SUM(D126+D118+D114+D107+D100+D91+D85+D81+D77+D62+D59+D29+D11)</f>
        <v>19229490.870000001</v>
      </c>
      <c r="E128" s="3"/>
      <c r="F128" s="3"/>
      <c r="G128" s="14">
        <f t="shared" ref="G128:N128" si="100">SUM(G126+G118+G114+G107+G100+G91+G85+G81+G77+G62+G59+G29+G11)</f>
        <v>536086</v>
      </c>
      <c r="H128" s="14">
        <f t="shared" si="100"/>
        <v>207021.61250000002</v>
      </c>
      <c r="I128" s="1">
        <f t="shared" si="100"/>
        <v>743107.61249999993</v>
      </c>
      <c r="J128" s="1">
        <f t="shared" si="100"/>
        <v>304754.7</v>
      </c>
      <c r="K128" s="1">
        <f t="shared" si="100"/>
        <v>1051689.3125</v>
      </c>
      <c r="L128" s="1">
        <f t="shared" si="100"/>
        <v>353157.42337500001</v>
      </c>
      <c r="M128" s="1">
        <f t="shared" si="100"/>
        <v>1404846.7358750002</v>
      </c>
      <c r="N128" s="1">
        <f t="shared" si="100"/>
        <v>399956.13425</v>
      </c>
      <c r="O128" s="1" t="e">
        <f>SUM(O11+O29+O59+O62+O77+O81+O85+O91+O100+O107+O114+O118+O126)</f>
        <v>#N/A</v>
      </c>
      <c r="P128" s="1">
        <f>SUM(P126+P118+P114+P107+P100+P91+P85+P81+P77+P62+P59+P29+P11)</f>
        <v>423792.89675000007</v>
      </c>
      <c r="Q128" s="1" t="e">
        <f t="shared" ref="Q128:AA128" si="101">SUM(Q11+Q29+Q59+Q62+Q77+Q81+Q85+Q91+Q100+Q107+Q114+Q118+Q126)</f>
        <v>#N/A</v>
      </c>
      <c r="R128" s="1" t="e">
        <f t="shared" si="101"/>
        <v>#N/A</v>
      </c>
      <c r="S128" s="1" t="e">
        <f t="shared" si="101"/>
        <v>#N/A</v>
      </c>
      <c r="T128" s="1">
        <f t="shared" si="101"/>
        <v>473947.77174999996</v>
      </c>
      <c r="U128" s="1">
        <f t="shared" si="101"/>
        <v>3176036.9291250003</v>
      </c>
      <c r="V128" s="7">
        <f t="shared" si="101"/>
        <v>486065.07174999994</v>
      </c>
      <c r="W128" s="1">
        <f t="shared" si="101"/>
        <v>3662102.0008750008</v>
      </c>
      <c r="X128" s="8">
        <f t="shared" si="101"/>
        <v>581439.67174999998</v>
      </c>
      <c r="Y128" s="1">
        <f t="shared" si="101"/>
        <v>4243541.6726249997</v>
      </c>
      <c r="Z128" s="8">
        <f t="shared" si="101"/>
        <v>566725.87174999993</v>
      </c>
      <c r="AA128" s="1">
        <f t="shared" si="101"/>
        <v>4810267.5443750005</v>
      </c>
      <c r="AB128" s="1">
        <f>AB11+AB29+AB59+AB62+AB77+AB81+AB85+AB91+AB100+AB107+AB114+AB118+AB126</f>
        <v>564174.30508333328</v>
      </c>
      <c r="AC128" s="1">
        <f>AA128+AB128</f>
        <v>5374441.849458334</v>
      </c>
      <c r="AD128" s="1">
        <f>AD11+AD29+AD59+AD62+AD77+AD81+AD85+AD91+AD100+AD107+AD114+AD118+AD126</f>
        <v>568579.75120205467</v>
      </c>
      <c r="AE128" s="1">
        <f>AC128+AD128</f>
        <v>5943021.6006603884</v>
      </c>
      <c r="AF128" s="1">
        <f>AF11+AF29+AF59+AF62+AF77+AF81+AF85+AF91+AF100+AF107+AF114+AF118+AF126</f>
        <v>552109.66133333324</v>
      </c>
      <c r="AG128" s="1">
        <f>AE128+AF128</f>
        <v>6495131.2619937211</v>
      </c>
      <c r="AH128" s="1">
        <f>AH11+AH29+AH59+AH62+AH77+AH81+AH85+AH91+AH100+AH107+AH114+AH118+AH126</f>
        <v>538292.06133333326</v>
      </c>
      <c r="AI128" s="1">
        <f t="shared" ref="AI128:AP128" si="102">SUM(AI126+AI118+AI114+AI107+AI100+AI91+AI85+AI81+AI77+AI62+AI59+AI29+AI11)</f>
        <v>7032135.123327055</v>
      </c>
      <c r="AJ128" s="1">
        <f t="shared" si="102"/>
        <v>536803.16133333335</v>
      </c>
      <c r="AK128" s="1">
        <f t="shared" si="102"/>
        <v>7568938.2846603887</v>
      </c>
      <c r="AL128" s="1">
        <f t="shared" si="102"/>
        <v>532441.41133333335</v>
      </c>
      <c r="AM128" s="1">
        <f t="shared" si="102"/>
        <v>8101379.6959937224</v>
      </c>
      <c r="AN128" s="1">
        <f t="shared" si="102"/>
        <v>533309.86133333331</v>
      </c>
      <c r="AO128" s="1">
        <f t="shared" si="102"/>
        <v>8634689.2573270556</v>
      </c>
      <c r="AP128" s="1">
        <f t="shared" si="102"/>
        <v>19208001.870000001</v>
      </c>
    </row>
    <row r="129" spans="1:42" x14ac:dyDescent="0.2">
      <c r="E129" s="3"/>
      <c r="F129" s="3"/>
    </row>
    <row r="130" spans="1:42" x14ac:dyDescent="0.2">
      <c r="E130" s="3"/>
      <c r="F130" s="3"/>
      <c r="I130" s="1">
        <f>D130+G130-H130</f>
        <v>0</v>
      </c>
    </row>
    <row r="131" spans="1:42" x14ac:dyDescent="0.2">
      <c r="B131" s="2" t="s">
        <v>89</v>
      </c>
      <c r="D131" s="14">
        <f>SUM(D128)</f>
        <v>19229490.870000001</v>
      </c>
      <c r="E131" s="3"/>
      <c r="F131" s="3"/>
      <c r="G131" s="14">
        <f t="shared" ref="G131:L131" si="103">SUM(G128)</f>
        <v>536086</v>
      </c>
      <c r="H131" s="14">
        <f t="shared" si="103"/>
        <v>207021.61250000002</v>
      </c>
      <c r="I131" s="1">
        <f t="shared" si="103"/>
        <v>743107.61249999993</v>
      </c>
      <c r="J131" s="1">
        <f t="shared" si="103"/>
        <v>304754.7</v>
      </c>
      <c r="K131" s="1">
        <f t="shared" si="103"/>
        <v>1051689.3125</v>
      </c>
      <c r="L131" s="1">
        <f t="shared" si="103"/>
        <v>353157.42337500001</v>
      </c>
      <c r="M131" s="1">
        <f>SUM(K131:L131)</f>
        <v>1404846.735875</v>
      </c>
      <c r="N131" s="1">
        <f>SUM(N128)</f>
        <v>399956.13425</v>
      </c>
      <c r="O131" s="1">
        <f>SUM(M131+N131+2820)</f>
        <v>1807622.8701249999</v>
      </c>
      <c r="P131" s="1">
        <f>SUM(P128)</f>
        <v>423792.89675000007</v>
      </c>
      <c r="AL131" s="1">
        <f>SUM(AL128)</f>
        <v>532441.41133333335</v>
      </c>
      <c r="AN131" s="1">
        <v>528210</v>
      </c>
      <c r="AP131" s="1">
        <f>SUM(AP128)</f>
        <v>19208001.870000001</v>
      </c>
    </row>
    <row r="132" spans="1:42" x14ac:dyDescent="0.2">
      <c r="E132" s="3"/>
      <c r="F132" s="3"/>
    </row>
    <row r="133" spans="1:42" x14ac:dyDescent="0.2">
      <c r="B133" s="2" t="s">
        <v>90</v>
      </c>
      <c r="D133" s="14">
        <f>AO128</f>
        <v>8634689.2573270556</v>
      </c>
      <c r="E133" s="3"/>
      <c r="F133" s="3"/>
      <c r="AL133" s="1">
        <f>BS128</f>
        <v>0</v>
      </c>
      <c r="AP133" s="1">
        <f>BU128</f>
        <v>0</v>
      </c>
    </row>
    <row r="134" spans="1:42" x14ac:dyDescent="0.2">
      <c r="E134" s="3"/>
      <c r="F134" s="3"/>
    </row>
    <row r="135" spans="1:42" x14ac:dyDescent="0.2">
      <c r="B135" s="4" t="s">
        <v>91</v>
      </c>
      <c r="D135" s="14">
        <f>D131-D133</f>
        <v>10594801.612672945</v>
      </c>
      <c r="E135" s="3"/>
      <c r="F135" s="3"/>
      <c r="AL135" s="1">
        <f>AL131-AL133</f>
        <v>532441.41133333335</v>
      </c>
      <c r="AN135" s="1">
        <v>528210</v>
      </c>
      <c r="AP135" s="1">
        <f>AP131-AP133</f>
        <v>19208001.870000001</v>
      </c>
    </row>
    <row r="136" spans="1:42" x14ac:dyDescent="0.2">
      <c r="E136" s="3"/>
      <c r="F136" s="3"/>
    </row>
    <row r="137" spans="1:42" x14ac:dyDescent="0.2">
      <c r="A137" s="1">
        <v>107</v>
      </c>
      <c r="B137" s="2" t="s">
        <v>92</v>
      </c>
      <c r="D137" s="14">
        <v>0</v>
      </c>
      <c r="E137" s="3"/>
      <c r="F137" s="3"/>
      <c r="AL137" s="1">
        <v>0</v>
      </c>
      <c r="AP137" s="1">
        <v>0</v>
      </c>
    </row>
    <row r="138" spans="1:42" x14ac:dyDescent="0.2">
      <c r="E138" s="3"/>
      <c r="F138" s="3"/>
    </row>
    <row r="139" spans="1:42" x14ac:dyDescent="0.2">
      <c r="B139" s="2" t="s">
        <v>93</v>
      </c>
      <c r="D139" s="14">
        <f>D135+D137</f>
        <v>10594801.612672945</v>
      </c>
      <c r="E139" s="3"/>
      <c r="F139" s="3"/>
      <c r="AL139" s="1">
        <f>AL135+AL137</f>
        <v>532441.41133333335</v>
      </c>
      <c r="AN139" s="1">
        <v>528210</v>
      </c>
      <c r="AP139" s="1">
        <f>AP135+AP137</f>
        <v>19208001.870000001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0ADB9-C32A-4811-AAF7-304EF294412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</vt:lpstr>
      <vt:lpstr>Sheet1</vt:lpstr>
    </vt:vector>
  </TitlesOfParts>
  <Company>Stoll Keenon Ogden PLLC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Wuetcher, Gerald</dc:creator>
  <cp:lastModifiedBy>Wuetcher, Gerald</cp:lastModifiedBy>
  <dcterms:created xsi:type="dcterms:W3CDTF">2021-08-10T19:03:26Z</dcterms:created>
  <dcterms:modified xsi:type="dcterms:W3CDTF">2021-08-17T21:45:35Z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>20210817171019988</vt:lpwstr>
  </property>
</Properties>
</file>