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heckCompatibility="1" defaultThemeVersion="124226"/>
  <xr:revisionPtr revIDLastSave="0" documentId="14_{D5CE4C15-216D-42A6-B65E-9B7CE825F167}" xr6:coauthVersionLast="36" xr6:coauthVersionMax="36" xr10:uidLastSave="{00000000-0000-0000-0000-000000000000}"/>
  <bookViews>
    <workbookView xWindow="-105" yWindow="-105" windowWidth="19305" windowHeight="7335" tabRatio="599" firstSheet="12" activeTab="16" xr2:uid="{00000000-000D-0000-FFFF-FFFF00000000}"/>
  </bookViews>
  <sheets>
    <sheet name="ScheduleOfAdjustedOperations" sheetId="32" r:id="rId1"/>
    <sheet name="Adjustments_General" sheetId="38" r:id="rId2"/>
    <sheet name="SewerOperationsAndMaintenance" sheetId="1" r:id="rId3"/>
    <sheet name="Adjustments" sheetId="31" r:id="rId4"/>
    <sheet name="DebtServiceRequirements" sheetId="39" r:id="rId5"/>
    <sheet name="RevReq Calculation" sheetId="25" r:id="rId6"/>
    <sheet name="BillingAnalysis_Current" sheetId="34" r:id="rId7"/>
    <sheet name="BillingAnalysis_100%RevReq" sheetId="45" r:id="rId8"/>
    <sheet name="BillingAnalysis_Phase1" sheetId="48" r:id="rId9"/>
    <sheet name="BillingAnalysis_Phase2" sheetId="49" r:id="rId10"/>
    <sheet name="BillingAnalysis_Phase3" sheetId="50" r:id="rId11"/>
    <sheet name="All District Employees" sheetId="46" r:id="rId12"/>
    <sheet name="Wage-Benefits" sheetId="41" r:id="rId13"/>
    <sheet name="Adjustment_Contract-MiscExpense" sheetId="44" r:id="rId14"/>
    <sheet name="ItemsRemovedFromRevenues" sheetId="43" r:id="rId15"/>
    <sheet name="SewerBillingAdjustments" sheetId="42" r:id="rId16"/>
    <sheet name="RelatedTransactions" sheetId="51" r:id="rId17"/>
  </sheets>
  <definedNames>
    <definedName name="_xlnm._FilterDatabase" localSheetId="11" hidden="1">'All District Employees'!$A$1:$R$35</definedName>
    <definedName name="_xlnm._FilterDatabase" localSheetId="16" hidden="1">RelatedTransactions!$A$1:$F$23</definedName>
    <definedName name="_xlnm._FilterDatabase" localSheetId="12" hidden="1">'Wage-Benefits'!$A$1:$AK$33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 i="43" l="1"/>
  <c r="B14" i="50" l="1"/>
  <c r="C14" i="50"/>
  <c r="N18" i="50"/>
  <c r="N19" i="50"/>
  <c r="N20" i="50"/>
  <c r="B21" i="50"/>
  <c r="C21" i="50"/>
  <c r="N21" i="50" s="1"/>
  <c r="D21" i="50"/>
  <c r="E21" i="50"/>
  <c r="F21" i="50"/>
  <c r="G21" i="50"/>
  <c r="H21" i="50"/>
  <c r="I21" i="50"/>
  <c r="J21" i="50"/>
  <c r="K21" i="50"/>
  <c r="L21" i="50"/>
  <c r="M21" i="50"/>
  <c r="N25" i="50"/>
  <c r="N28" i="50" s="1"/>
  <c r="N26" i="50"/>
  <c r="N27" i="50"/>
  <c r="B28" i="50"/>
  <c r="C28" i="50"/>
  <c r="D28" i="50"/>
  <c r="E28" i="50"/>
  <c r="F28" i="50"/>
  <c r="G28" i="50"/>
  <c r="H28" i="50"/>
  <c r="I28" i="50"/>
  <c r="J28" i="50"/>
  <c r="K28" i="50"/>
  <c r="L28" i="50"/>
  <c r="M28" i="50"/>
  <c r="N33" i="50"/>
  <c r="N34" i="50"/>
  <c r="B35" i="50"/>
  <c r="C35" i="50"/>
  <c r="N35" i="50" s="1"/>
  <c r="D35" i="50"/>
  <c r="D36" i="50" s="1"/>
  <c r="E35" i="50"/>
  <c r="F35" i="50"/>
  <c r="G35" i="50"/>
  <c r="H35" i="50"/>
  <c r="I35" i="50"/>
  <c r="J35" i="50"/>
  <c r="J36" i="50" s="1"/>
  <c r="K35" i="50"/>
  <c r="L35" i="50"/>
  <c r="M35" i="50"/>
  <c r="B36" i="50"/>
  <c r="C36" i="50"/>
  <c r="E36" i="50"/>
  <c r="F36" i="50"/>
  <c r="G36" i="50"/>
  <c r="H36" i="50"/>
  <c r="I36" i="50"/>
  <c r="K36" i="50"/>
  <c r="L36" i="50"/>
  <c r="M36" i="50"/>
  <c r="N40" i="50"/>
  <c r="N43" i="50" s="1"/>
  <c r="N41" i="50"/>
  <c r="N42" i="50"/>
  <c r="B49" i="50" s="1"/>
  <c r="B43" i="50"/>
  <c r="C43" i="50"/>
  <c r="D43" i="50"/>
  <c r="E43" i="50"/>
  <c r="F43" i="50"/>
  <c r="G43" i="50"/>
  <c r="H43" i="50"/>
  <c r="I43" i="50"/>
  <c r="J43" i="50"/>
  <c r="K43" i="50"/>
  <c r="L43" i="50"/>
  <c r="M43" i="50"/>
  <c r="C47" i="50"/>
  <c r="D47" i="50"/>
  <c r="G47" i="50" s="1"/>
  <c r="B48" i="50"/>
  <c r="C48" i="50"/>
  <c r="D48" i="50"/>
  <c r="E48" i="50"/>
  <c r="G48" i="50"/>
  <c r="D54" i="50"/>
  <c r="D55" i="50"/>
  <c r="D56" i="50"/>
  <c r="C63" i="50"/>
  <c r="B64" i="50"/>
  <c r="C64" i="50"/>
  <c r="C67" i="50"/>
  <c r="C68" i="50"/>
  <c r="C69" i="50"/>
  <c r="C79" i="50" s="1"/>
  <c r="D63" i="50" s="1"/>
  <c r="C70" i="50"/>
  <c r="C71" i="50"/>
  <c r="C72" i="50"/>
  <c r="C73" i="50"/>
  <c r="C74" i="50"/>
  <c r="C75" i="50"/>
  <c r="C76" i="50"/>
  <c r="C77" i="50"/>
  <c r="C78" i="50"/>
  <c r="B79" i="50"/>
  <c r="C83" i="50"/>
  <c r="D83" i="50"/>
  <c r="F83" i="50" s="1"/>
  <c r="D84" i="50"/>
  <c r="D84" i="49"/>
  <c r="D83" i="49"/>
  <c r="F83" i="49" s="1"/>
  <c r="B79" i="49"/>
  <c r="C78" i="49"/>
  <c r="C77" i="49"/>
  <c r="C76" i="49"/>
  <c r="C75" i="49"/>
  <c r="C74" i="49"/>
  <c r="C73" i="49"/>
  <c r="C72" i="49"/>
  <c r="C71" i="49"/>
  <c r="C70" i="49"/>
  <c r="C69" i="49"/>
  <c r="C68" i="49"/>
  <c r="C67" i="49"/>
  <c r="C79" i="49" s="1"/>
  <c r="D63" i="49" s="1"/>
  <c r="C64" i="49"/>
  <c r="B64" i="49"/>
  <c r="C63" i="49"/>
  <c r="C83" i="49" s="1"/>
  <c r="D56" i="49"/>
  <c r="D55" i="49"/>
  <c r="D54" i="49"/>
  <c r="B49" i="49"/>
  <c r="E49" i="49" s="1"/>
  <c r="D47" i="49"/>
  <c r="M43" i="49"/>
  <c r="L43" i="49"/>
  <c r="K43" i="49"/>
  <c r="J43" i="49"/>
  <c r="I43" i="49"/>
  <c r="H43" i="49"/>
  <c r="G43" i="49"/>
  <c r="F43" i="49"/>
  <c r="E43" i="49"/>
  <c r="D43" i="49"/>
  <c r="C43" i="49"/>
  <c r="B43" i="49"/>
  <c r="N42" i="49"/>
  <c r="N41" i="49"/>
  <c r="B48" i="49" s="1"/>
  <c r="D48" i="49" s="1"/>
  <c r="N40" i="49"/>
  <c r="B47" i="49" s="1"/>
  <c r="B50" i="49" s="1"/>
  <c r="B54" i="49" s="1"/>
  <c r="I36" i="49"/>
  <c r="C36" i="49"/>
  <c r="M35" i="49"/>
  <c r="M36" i="49" s="1"/>
  <c r="L35" i="49"/>
  <c r="L36" i="49" s="1"/>
  <c r="K35" i="49"/>
  <c r="K36" i="49" s="1"/>
  <c r="J35" i="49"/>
  <c r="J36" i="49" s="1"/>
  <c r="I35" i="49"/>
  <c r="H35" i="49"/>
  <c r="H36" i="49" s="1"/>
  <c r="G35" i="49"/>
  <c r="G36" i="49" s="1"/>
  <c r="F35" i="49"/>
  <c r="F36" i="49" s="1"/>
  <c r="E35" i="49"/>
  <c r="E36" i="49" s="1"/>
  <c r="D35" i="49"/>
  <c r="D36" i="49" s="1"/>
  <c r="C35" i="49"/>
  <c r="B35" i="49"/>
  <c r="B36" i="49" s="1"/>
  <c r="N36" i="49" s="1"/>
  <c r="N34" i="49"/>
  <c r="N33" i="49"/>
  <c r="C47" i="49" s="1"/>
  <c r="M28" i="49"/>
  <c r="L28" i="49"/>
  <c r="K28" i="49"/>
  <c r="J28" i="49"/>
  <c r="I28" i="49"/>
  <c r="H28" i="49"/>
  <c r="G28" i="49"/>
  <c r="F28" i="49"/>
  <c r="E28" i="49"/>
  <c r="D28" i="49"/>
  <c r="C28" i="49"/>
  <c r="B28" i="49"/>
  <c r="N27" i="49"/>
  <c r="N28" i="49" s="1"/>
  <c r="N26" i="49"/>
  <c r="N25" i="49"/>
  <c r="M21" i="49"/>
  <c r="L21" i="49"/>
  <c r="K21" i="49"/>
  <c r="J21" i="49"/>
  <c r="I21" i="49"/>
  <c r="H21" i="49"/>
  <c r="G21" i="49"/>
  <c r="F21" i="49"/>
  <c r="E21" i="49"/>
  <c r="D21" i="49"/>
  <c r="C21" i="49"/>
  <c r="B21" i="49"/>
  <c r="N21" i="49" s="1"/>
  <c r="N20" i="49"/>
  <c r="N19" i="49"/>
  <c r="N18" i="49"/>
  <c r="C14" i="49"/>
  <c r="B14" i="49"/>
  <c r="D84" i="48"/>
  <c r="F83" i="48"/>
  <c r="D83" i="48"/>
  <c r="B79" i="48"/>
  <c r="C78" i="48"/>
  <c r="C77" i="48"/>
  <c r="C76" i="48"/>
  <c r="C75" i="48"/>
  <c r="C74" i="48"/>
  <c r="C73" i="48"/>
  <c r="C72" i="48"/>
  <c r="C71" i="48"/>
  <c r="C70" i="48"/>
  <c r="C69" i="48"/>
  <c r="C68" i="48"/>
  <c r="C67" i="48"/>
  <c r="C79" i="48" s="1"/>
  <c r="D63" i="48" s="1"/>
  <c r="B64" i="48"/>
  <c r="C63" i="48"/>
  <c r="C64" i="48" s="1"/>
  <c r="D56" i="48"/>
  <c r="D55" i="48"/>
  <c r="D54" i="48"/>
  <c r="B49" i="48"/>
  <c r="E49" i="48" s="1"/>
  <c r="M43" i="48"/>
  <c r="L43" i="48"/>
  <c r="K43" i="48"/>
  <c r="J43" i="48"/>
  <c r="I43" i="48"/>
  <c r="H43" i="48"/>
  <c r="G43" i="48"/>
  <c r="F43" i="48"/>
  <c r="E43" i="48"/>
  <c r="D43" i="48"/>
  <c r="C43" i="48"/>
  <c r="B43" i="48"/>
  <c r="N42" i="48"/>
  <c r="N41" i="48"/>
  <c r="B48" i="48" s="1"/>
  <c r="D48" i="48" s="1"/>
  <c r="N40" i="48"/>
  <c r="B47" i="48" s="1"/>
  <c r="B50" i="48" s="1"/>
  <c r="B54" i="48" s="1"/>
  <c r="J36" i="48"/>
  <c r="I36" i="48"/>
  <c r="D36" i="48"/>
  <c r="C36" i="48"/>
  <c r="M35" i="48"/>
  <c r="M36" i="48" s="1"/>
  <c r="L35" i="48"/>
  <c r="L36" i="48" s="1"/>
  <c r="K35" i="48"/>
  <c r="K36" i="48" s="1"/>
  <c r="J35" i="48"/>
  <c r="I35" i="48"/>
  <c r="H35" i="48"/>
  <c r="H36" i="48" s="1"/>
  <c r="G35" i="48"/>
  <c r="G36" i="48" s="1"/>
  <c r="F35" i="48"/>
  <c r="F36" i="48" s="1"/>
  <c r="E35" i="48"/>
  <c r="E36" i="48" s="1"/>
  <c r="D35" i="48"/>
  <c r="C35" i="48"/>
  <c r="B35" i="48"/>
  <c r="B36" i="48" s="1"/>
  <c r="N34" i="48"/>
  <c r="E48" i="48" s="1"/>
  <c r="E50" i="48" s="1"/>
  <c r="C55" i="48" s="1"/>
  <c r="F55" i="48" s="1"/>
  <c r="N33" i="48"/>
  <c r="D47" i="48" s="1"/>
  <c r="N28" i="48"/>
  <c r="M28" i="48"/>
  <c r="L28" i="48"/>
  <c r="K28" i="48"/>
  <c r="J28" i="48"/>
  <c r="I28" i="48"/>
  <c r="H28" i="48"/>
  <c r="G28" i="48"/>
  <c r="F28" i="48"/>
  <c r="E28" i="48"/>
  <c r="D28" i="48"/>
  <c r="C28" i="48"/>
  <c r="B28" i="48"/>
  <c r="N27" i="48"/>
  <c r="N26" i="48"/>
  <c r="N25" i="48"/>
  <c r="M21" i="48"/>
  <c r="L21" i="48"/>
  <c r="K21" i="48"/>
  <c r="J21" i="48"/>
  <c r="I21" i="48"/>
  <c r="H21" i="48"/>
  <c r="G21" i="48"/>
  <c r="F21" i="48"/>
  <c r="E21" i="48"/>
  <c r="D21" i="48"/>
  <c r="C21" i="48"/>
  <c r="B21" i="48"/>
  <c r="N21" i="48" s="1"/>
  <c r="N20" i="48"/>
  <c r="N19" i="48"/>
  <c r="N18" i="48"/>
  <c r="C14" i="48"/>
  <c r="B14" i="48"/>
  <c r="N36" i="50" l="1"/>
  <c r="D49" i="50"/>
  <c r="D50" i="50" s="1"/>
  <c r="C54" i="50" s="1"/>
  <c r="E49" i="50"/>
  <c r="E50" i="50" s="1"/>
  <c r="C55" i="50" s="1"/>
  <c r="F55" i="50" s="1"/>
  <c r="C50" i="50"/>
  <c r="F49" i="50"/>
  <c r="F50" i="50" s="1"/>
  <c r="C56" i="50" s="1"/>
  <c r="F56" i="50" s="1"/>
  <c r="C49" i="50"/>
  <c r="D64" i="50"/>
  <c r="C84" i="50"/>
  <c r="F84" i="50" s="1"/>
  <c r="F85" i="50" s="1"/>
  <c r="E63" i="50"/>
  <c r="E64" i="50" s="1"/>
  <c r="C85" i="50"/>
  <c r="B47" i="50"/>
  <c r="B50" i="50" s="1"/>
  <c r="B54" i="50" s="1"/>
  <c r="C84" i="49"/>
  <c r="F84" i="49" s="1"/>
  <c r="F85" i="49" s="1"/>
  <c r="D64" i="49"/>
  <c r="B57" i="49"/>
  <c r="B87" i="49" s="1"/>
  <c r="F54" i="49"/>
  <c r="C85" i="49"/>
  <c r="E48" i="49"/>
  <c r="E50" i="49" s="1"/>
  <c r="C55" i="49" s="1"/>
  <c r="F55" i="49" s="1"/>
  <c r="G47" i="49"/>
  <c r="N43" i="49"/>
  <c r="C48" i="49"/>
  <c r="D49" i="49"/>
  <c r="N35" i="49"/>
  <c r="E63" i="49"/>
  <c r="E64" i="49" s="1"/>
  <c r="D50" i="48"/>
  <c r="C54" i="48" s="1"/>
  <c r="G47" i="48"/>
  <c r="B57" i="48"/>
  <c r="B87" i="48" s="1"/>
  <c r="F54" i="48"/>
  <c r="G48" i="48"/>
  <c r="N36" i="48"/>
  <c r="C84" i="48"/>
  <c r="F84" i="48" s="1"/>
  <c r="F85" i="48" s="1"/>
  <c r="D64" i="48"/>
  <c r="N43" i="48"/>
  <c r="D49" i="48"/>
  <c r="N35" i="48"/>
  <c r="E63" i="48"/>
  <c r="E64" i="48" s="1"/>
  <c r="C48" i="48"/>
  <c r="C47" i="48"/>
  <c r="C83" i="48"/>
  <c r="C57" i="50" l="1"/>
  <c r="C87" i="50" s="1"/>
  <c r="G49" i="50"/>
  <c r="G50" i="50" s="1"/>
  <c r="F54" i="50"/>
  <c r="F57" i="50" s="1"/>
  <c r="F87" i="50" s="1"/>
  <c r="B57" i="50"/>
  <c r="B87" i="50" s="1"/>
  <c r="F49" i="49"/>
  <c r="F50" i="49" s="1"/>
  <c r="C56" i="49" s="1"/>
  <c r="F56" i="49" s="1"/>
  <c r="C49" i="49"/>
  <c r="C50" i="49" s="1"/>
  <c r="F57" i="49"/>
  <c r="F87" i="49" s="1"/>
  <c r="G48" i="49"/>
  <c r="D50" i="49"/>
  <c r="C54" i="49" s="1"/>
  <c r="C57" i="49" s="1"/>
  <c r="C87" i="49" s="1"/>
  <c r="F49" i="48"/>
  <c r="F50" i="48" s="1"/>
  <c r="C56" i="48" s="1"/>
  <c r="F56" i="48" s="1"/>
  <c r="F57" i="48" s="1"/>
  <c r="F87" i="48" s="1"/>
  <c r="C49" i="48"/>
  <c r="C85" i="48"/>
  <c r="C50" i="48"/>
  <c r="G49" i="49" l="1"/>
  <c r="G50" i="49" s="1"/>
  <c r="C57" i="48"/>
  <c r="C87" i="48" s="1"/>
  <c r="G49" i="48"/>
  <c r="G50" i="48" s="1"/>
  <c r="C47" i="34" l="1"/>
  <c r="AE32" i="41"/>
  <c r="C8" i="32" l="1"/>
  <c r="C50" i="1" l="1"/>
  <c r="C49" i="1" l="1"/>
  <c r="C15" i="32" l="1"/>
  <c r="C11" i="32"/>
  <c r="C24" i="32"/>
  <c r="C51" i="1"/>
  <c r="C47" i="1"/>
  <c r="C38" i="1"/>
  <c r="C41" i="1"/>
  <c r="C15" i="1"/>
  <c r="C10" i="1"/>
  <c r="C14" i="1"/>
  <c r="O35" i="46"/>
  <c r="N35" i="46"/>
  <c r="R34" i="46"/>
  <c r="Q34" i="46"/>
  <c r="G34" i="46"/>
  <c r="P34" i="46" s="1"/>
  <c r="R33" i="46"/>
  <c r="Q33" i="46"/>
  <c r="P33" i="46"/>
  <c r="G33" i="46"/>
  <c r="J33" i="46" s="1"/>
  <c r="G32" i="46"/>
  <c r="Q32" i="46" s="1"/>
  <c r="Q31" i="46"/>
  <c r="G31" i="46"/>
  <c r="P31" i="46" s="1"/>
  <c r="Q30" i="46"/>
  <c r="P30" i="46"/>
  <c r="Q29" i="46"/>
  <c r="P29" i="46"/>
  <c r="G29" i="46"/>
  <c r="G28" i="46"/>
  <c r="Q28" i="46" s="1"/>
  <c r="Q27" i="46"/>
  <c r="P27" i="46"/>
  <c r="G27" i="46"/>
  <c r="G26" i="46"/>
  <c r="Q26" i="46" s="1"/>
  <c r="R25" i="46"/>
  <c r="Q25" i="46"/>
  <c r="G25" i="46"/>
  <c r="P25" i="46" s="1"/>
  <c r="G23" i="46"/>
  <c r="Q23" i="46" s="1"/>
  <c r="G22" i="46"/>
  <c r="Q22" i="46" s="1"/>
  <c r="G21" i="46"/>
  <c r="P21" i="46" s="1"/>
  <c r="Q20" i="46"/>
  <c r="G20" i="46"/>
  <c r="P20" i="46" s="1"/>
  <c r="G19" i="46"/>
  <c r="Q19" i="46" s="1"/>
  <c r="P18" i="46"/>
  <c r="G18" i="46"/>
  <c r="G17" i="46"/>
  <c r="Q17" i="46" s="1"/>
  <c r="Q16" i="46"/>
  <c r="P16" i="46"/>
  <c r="G16" i="46"/>
  <c r="G15" i="46"/>
  <c r="Q15" i="46" s="1"/>
  <c r="Q14" i="46"/>
  <c r="P14" i="46"/>
  <c r="G14" i="46"/>
  <c r="G13" i="46"/>
  <c r="Q13" i="46" s="1"/>
  <c r="Q12" i="46"/>
  <c r="P12" i="46"/>
  <c r="G12" i="46"/>
  <c r="G11" i="46"/>
  <c r="Q11" i="46" s="1"/>
  <c r="Q10" i="46"/>
  <c r="P10" i="46"/>
  <c r="Q9" i="46"/>
  <c r="P9" i="46"/>
  <c r="R8" i="46"/>
  <c r="Q8" i="46"/>
  <c r="P8" i="46"/>
  <c r="J8" i="46"/>
  <c r="G8" i="46"/>
  <c r="G7" i="46"/>
  <c r="Q7" i="46" s="1"/>
  <c r="Q6" i="46"/>
  <c r="P6" i="46"/>
  <c r="G6" i="46"/>
  <c r="G5" i="46"/>
  <c r="Q5" i="46" s="1"/>
  <c r="P4" i="46"/>
  <c r="Q3" i="46"/>
  <c r="G3" i="46"/>
  <c r="P3" i="46" s="1"/>
  <c r="G2" i="46"/>
  <c r="Q2" i="46" s="1"/>
  <c r="P23" i="46" l="1"/>
  <c r="P2" i="46"/>
  <c r="P19" i="46"/>
  <c r="P32" i="46"/>
  <c r="P5" i="46"/>
  <c r="P7" i="46"/>
  <c r="P11" i="46"/>
  <c r="P13" i="46"/>
  <c r="P15" i="46"/>
  <c r="P17" i="46"/>
  <c r="P26" i="46"/>
  <c r="P28" i="46"/>
  <c r="P22" i="46"/>
  <c r="J25" i="46"/>
  <c r="J34" i="46"/>
  <c r="B79" i="45" l="1"/>
  <c r="C78" i="45"/>
  <c r="C77" i="45"/>
  <c r="C76" i="45"/>
  <c r="C75" i="45"/>
  <c r="C74" i="45"/>
  <c r="C73" i="45"/>
  <c r="C72" i="45"/>
  <c r="C71" i="45"/>
  <c r="C70" i="45"/>
  <c r="C69" i="45"/>
  <c r="C68" i="45"/>
  <c r="C67" i="45"/>
  <c r="C79" i="45" s="1"/>
  <c r="D63" i="45" s="1"/>
  <c r="C64" i="45"/>
  <c r="B64" i="45"/>
  <c r="C63" i="45"/>
  <c r="C83" i="45" s="1"/>
  <c r="B49" i="45"/>
  <c r="E49" i="45" s="1"/>
  <c r="B47" i="45"/>
  <c r="M43" i="45"/>
  <c r="L43" i="45"/>
  <c r="K43" i="45"/>
  <c r="J43" i="45"/>
  <c r="I43" i="45"/>
  <c r="H43" i="45"/>
  <c r="G43" i="45"/>
  <c r="F43" i="45"/>
  <c r="E43" i="45"/>
  <c r="D43" i="45"/>
  <c r="C43" i="45"/>
  <c r="B43" i="45"/>
  <c r="N42" i="45"/>
  <c r="N41" i="45"/>
  <c r="B48" i="45" s="1"/>
  <c r="N40" i="45"/>
  <c r="J36" i="45"/>
  <c r="D36" i="45"/>
  <c r="M35" i="45"/>
  <c r="M36" i="45" s="1"/>
  <c r="L35" i="45"/>
  <c r="L36" i="45" s="1"/>
  <c r="K35" i="45"/>
  <c r="K36" i="45" s="1"/>
  <c r="J35" i="45"/>
  <c r="I35" i="45"/>
  <c r="I36" i="45" s="1"/>
  <c r="H35" i="45"/>
  <c r="H36" i="45" s="1"/>
  <c r="G35" i="45"/>
  <c r="G36" i="45" s="1"/>
  <c r="F35" i="45"/>
  <c r="F36" i="45" s="1"/>
  <c r="E35" i="45"/>
  <c r="E36" i="45" s="1"/>
  <c r="D35" i="45"/>
  <c r="C35" i="45"/>
  <c r="C36" i="45" s="1"/>
  <c r="B35" i="45"/>
  <c r="B36" i="45" s="1"/>
  <c r="N34" i="45"/>
  <c r="N33" i="45"/>
  <c r="D47" i="45" s="1"/>
  <c r="N28" i="45"/>
  <c r="M28" i="45"/>
  <c r="L28" i="45"/>
  <c r="K28" i="45"/>
  <c r="J28" i="45"/>
  <c r="I28" i="45"/>
  <c r="H28" i="45"/>
  <c r="G28" i="45"/>
  <c r="F28" i="45"/>
  <c r="E28" i="45"/>
  <c r="D28" i="45"/>
  <c r="C28" i="45"/>
  <c r="B28" i="45"/>
  <c r="N27" i="45"/>
  <c r="N26" i="45"/>
  <c r="N25" i="45"/>
  <c r="M21" i="45"/>
  <c r="L21" i="45"/>
  <c r="K21" i="45"/>
  <c r="J21" i="45"/>
  <c r="I21" i="45"/>
  <c r="H21" i="45"/>
  <c r="G21" i="45"/>
  <c r="F21" i="45"/>
  <c r="E21" i="45"/>
  <c r="D21" i="45"/>
  <c r="C21" i="45"/>
  <c r="B21" i="45"/>
  <c r="N21" i="45" s="1"/>
  <c r="N20" i="45"/>
  <c r="N19" i="45"/>
  <c r="N18" i="45"/>
  <c r="C14" i="45"/>
  <c r="B14" i="45"/>
  <c r="B50" i="45" l="1"/>
  <c r="B54" i="45" s="1"/>
  <c r="D48" i="45"/>
  <c r="G47" i="45"/>
  <c r="C84" i="45"/>
  <c r="E63" i="45"/>
  <c r="E64" i="45" s="1"/>
  <c r="D64" i="45"/>
  <c r="N36" i="45"/>
  <c r="N43" i="45"/>
  <c r="C48" i="45"/>
  <c r="D49" i="45"/>
  <c r="N35" i="45"/>
  <c r="C47" i="45"/>
  <c r="G48" i="45" l="1"/>
  <c r="C49" i="45"/>
  <c r="C50" i="45" s="1"/>
  <c r="F49" i="45"/>
  <c r="F50" i="45" s="1"/>
  <c r="C56" i="45" s="1"/>
  <c r="E48" i="45"/>
  <c r="E50" i="45" s="1"/>
  <c r="C55" i="45" s="1"/>
  <c r="B57" i="45"/>
  <c r="B87" i="45" s="1"/>
  <c r="C85" i="45"/>
  <c r="D50" i="45"/>
  <c r="C54" i="45" s="1"/>
  <c r="C57" i="45" s="1"/>
  <c r="C87" i="45" s="1"/>
  <c r="G49" i="45" l="1"/>
  <c r="G50" i="45" s="1"/>
  <c r="AX17" i="39" l="1"/>
  <c r="AX16" i="39"/>
  <c r="AX15" i="39"/>
  <c r="AX8" i="39"/>
  <c r="AX10" i="39"/>
  <c r="AX12" i="39"/>
  <c r="AX14" i="39"/>
  <c r="AX6" i="39"/>
  <c r="C22" i="32"/>
  <c r="I105" i="44" l="1"/>
  <c r="I104" i="44"/>
  <c r="I103" i="44"/>
  <c r="I102" i="44"/>
  <c r="I95" i="44"/>
  <c r="I93" i="44"/>
  <c r="I106" i="44" s="1"/>
  <c r="I88" i="44"/>
  <c r="I72" i="44"/>
  <c r="I71" i="44"/>
  <c r="I70" i="44"/>
  <c r="I69" i="44"/>
  <c r="I68" i="44"/>
  <c r="I67" i="44"/>
  <c r="I66" i="44"/>
  <c r="I65" i="44"/>
  <c r="I64" i="44"/>
  <c r="I63" i="44"/>
  <c r="I62" i="44"/>
  <c r="I61" i="44"/>
  <c r="I73" i="44" s="1"/>
  <c r="I60" i="44"/>
  <c r="I56" i="44"/>
  <c r="I55" i="44"/>
  <c r="I54" i="44"/>
  <c r="I53" i="44"/>
  <c r="I52" i="44"/>
  <c r="I51" i="44"/>
  <c r="I50" i="44"/>
  <c r="I57" i="44" s="1"/>
  <c r="I47" i="44"/>
  <c r="I46" i="44"/>
  <c r="I45" i="44"/>
  <c r="I44" i="44"/>
  <c r="I43" i="44"/>
  <c r="I42" i="44"/>
  <c r="I41" i="44"/>
  <c r="I40" i="44"/>
  <c r="I39" i="44"/>
  <c r="I38" i="44"/>
  <c r="I37" i="44"/>
  <c r="I36" i="44"/>
  <c r="I35" i="44"/>
  <c r="I48" i="44" s="1"/>
  <c r="I32" i="44"/>
  <c r="I31" i="44"/>
  <c r="I30" i="44"/>
  <c r="I29" i="44"/>
  <c r="I28" i="44"/>
  <c r="I27" i="44"/>
  <c r="I26" i="44"/>
  <c r="I25" i="44"/>
  <c r="I24" i="44"/>
  <c r="I23" i="44"/>
  <c r="I22" i="44"/>
  <c r="I21" i="44"/>
  <c r="I33" i="44" s="1"/>
  <c r="I20" i="44"/>
  <c r="I14" i="44"/>
  <c r="I13" i="44"/>
  <c r="I12" i="44"/>
  <c r="I11" i="44"/>
  <c r="I10" i="44"/>
  <c r="I9" i="44"/>
  <c r="I8" i="44"/>
  <c r="I7" i="44"/>
  <c r="I6" i="44"/>
  <c r="I5" i="44"/>
  <c r="I4" i="44"/>
  <c r="I3" i="44"/>
  <c r="I17" i="44" s="1"/>
  <c r="C54" i="1"/>
  <c r="I91" i="44" l="1"/>
  <c r="C7" i="1" l="1"/>
  <c r="C48" i="1"/>
  <c r="C16" i="32" l="1"/>
  <c r="C14" i="42" l="1"/>
  <c r="B14" i="42"/>
  <c r="H32" i="41"/>
  <c r="D47" i="34" l="1"/>
  <c r="G47" i="34"/>
  <c r="G50" i="34" s="1"/>
  <c r="G48" i="34"/>
  <c r="G49" i="34"/>
  <c r="F49" i="34"/>
  <c r="E48" i="34"/>
  <c r="C49" i="34"/>
  <c r="C48" i="34"/>
  <c r="B49" i="34"/>
  <c r="N25" i="34"/>
  <c r="N40" i="34"/>
  <c r="F43" i="34"/>
  <c r="G43" i="34"/>
  <c r="H43" i="34"/>
  <c r="I43" i="34"/>
  <c r="L43" i="34"/>
  <c r="M43" i="34"/>
  <c r="B43" i="34"/>
  <c r="C43" i="34"/>
  <c r="D43" i="34"/>
  <c r="E43" i="34"/>
  <c r="J43" i="34"/>
  <c r="K43" i="34"/>
  <c r="N35" i="34"/>
  <c r="C36" i="34"/>
  <c r="D36" i="34"/>
  <c r="N36" i="34" s="1"/>
  <c r="E36" i="34"/>
  <c r="F36" i="34"/>
  <c r="G36" i="34"/>
  <c r="H36" i="34"/>
  <c r="I36" i="34"/>
  <c r="J36" i="34"/>
  <c r="K36" i="34"/>
  <c r="L36" i="34"/>
  <c r="M36" i="34"/>
  <c r="B36" i="34"/>
  <c r="M35" i="34"/>
  <c r="L35" i="34"/>
  <c r="K35" i="34"/>
  <c r="J35" i="34"/>
  <c r="I35" i="34"/>
  <c r="H35" i="34"/>
  <c r="G35" i="34"/>
  <c r="F35" i="34"/>
  <c r="E35" i="34"/>
  <c r="D35" i="34"/>
  <c r="B35" i="34"/>
  <c r="C35" i="34"/>
  <c r="N34" i="34"/>
  <c r="N33" i="34"/>
  <c r="N19" i="34"/>
  <c r="N20" i="34"/>
  <c r="N21" i="34"/>
  <c r="N18" i="34"/>
  <c r="M21" i="34"/>
  <c r="M28" i="34"/>
  <c r="L21" i="34"/>
  <c r="L28" i="34"/>
  <c r="K21" i="34"/>
  <c r="K28" i="34"/>
  <c r="J21" i="34"/>
  <c r="J28" i="34"/>
  <c r="I21" i="34"/>
  <c r="I28" i="34"/>
  <c r="G21" i="34"/>
  <c r="H21" i="34"/>
  <c r="H28" i="34"/>
  <c r="G28" i="34"/>
  <c r="F21" i="34"/>
  <c r="F28" i="34"/>
  <c r="E21" i="34"/>
  <c r="E28" i="34"/>
  <c r="D28" i="34"/>
  <c r="N27" i="34"/>
  <c r="C28" i="34"/>
  <c r="N26" i="34"/>
  <c r="D21" i="34"/>
  <c r="C21" i="34"/>
  <c r="B21" i="34"/>
  <c r="I36" i="41"/>
  <c r="D33" i="41"/>
  <c r="M32" i="41"/>
  <c r="I32" i="41"/>
  <c r="AJ31" i="41"/>
  <c r="AI31" i="41"/>
  <c r="AH31" i="41"/>
  <c r="AD31" i="41"/>
  <c r="AE31" i="41" s="1"/>
  <c r="AB31" i="41"/>
  <c r="AA31" i="41"/>
  <c r="Z31" i="41"/>
  <c r="V31" i="41"/>
  <c r="W31" i="41" s="1"/>
  <c r="U31" i="41"/>
  <c r="Y31" i="41" s="1"/>
  <c r="T31" i="41"/>
  <c r="AF31" i="41" s="1"/>
  <c r="S31" i="41"/>
  <c r="P31" i="41"/>
  <c r="AJ30" i="41"/>
  <c r="AI30" i="41"/>
  <c r="AH30" i="41"/>
  <c r="AD30" i="41"/>
  <c r="AE30" i="41" s="1"/>
  <c r="AB30" i="41"/>
  <c r="AA30" i="41"/>
  <c r="Z30" i="41"/>
  <c r="V30" i="41"/>
  <c r="W30" i="41" s="1"/>
  <c r="U30" i="41"/>
  <c r="AG30" i="41" s="1"/>
  <c r="T30" i="41"/>
  <c r="X30" i="41" s="1"/>
  <c r="S30" i="41"/>
  <c r="P30" i="41"/>
  <c r="AJ29" i="41"/>
  <c r="AI29" i="41"/>
  <c r="AH29" i="41"/>
  <c r="AD29" i="41"/>
  <c r="AE29" i="41" s="1"/>
  <c r="AB29" i="41"/>
  <c r="AA29" i="41"/>
  <c r="Z29" i="41"/>
  <c r="V29" i="41"/>
  <c r="W29" i="41" s="1"/>
  <c r="U29" i="41"/>
  <c r="AG29" i="41" s="1"/>
  <c r="T29" i="41"/>
  <c r="X29" i="41" s="1"/>
  <c r="S29" i="41"/>
  <c r="P29" i="41"/>
  <c r="AJ28" i="41"/>
  <c r="AI28" i="41"/>
  <c r="AH28" i="41"/>
  <c r="AD28" i="41"/>
  <c r="AE28" i="41" s="1"/>
  <c r="AB28" i="41"/>
  <c r="AA28" i="41"/>
  <c r="Z28" i="41"/>
  <c r="V28" i="41"/>
  <c r="W28" i="41" s="1"/>
  <c r="U28" i="41"/>
  <c r="Y28" i="41" s="1"/>
  <c r="T28" i="41"/>
  <c r="AF28" i="41" s="1"/>
  <c r="S28" i="41"/>
  <c r="P28" i="41"/>
  <c r="AJ27" i="41"/>
  <c r="AI27" i="41"/>
  <c r="AH27" i="41"/>
  <c r="AD27" i="41"/>
  <c r="AE27" i="41" s="1"/>
  <c r="AB27" i="41"/>
  <c r="AA27" i="41"/>
  <c r="Z27" i="41"/>
  <c r="V27" i="41"/>
  <c r="W27" i="41" s="1"/>
  <c r="U27" i="41"/>
  <c r="AG27" i="41" s="1"/>
  <c r="T27" i="41"/>
  <c r="X27" i="41" s="1"/>
  <c r="S27" i="41"/>
  <c r="P27" i="41"/>
  <c r="AI26" i="41"/>
  <c r="AH26" i="41"/>
  <c r="AD26" i="41"/>
  <c r="AE26" i="41" s="1"/>
  <c r="AA26" i="41"/>
  <c r="Z26" i="41"/>
  <c r="V26" i="41"/>
  <c r="W26" i="41" s="1"/>
  <c r="U26" i="41"/>
  <c r="AG26" i="41" s="1"/>
  <c r="T26" i="41"/>
  <c r="X26" i="41" s="1"/>
  <c r="S26" i="41"/>
  <c r="R26" i="41"/>
  <c r="AJ26" i="41" s="1"/>
  <c r="Q26" i="41"/>
  <c r="P26" i="41"/>
  <c r="AI25" i="41"/>
  <c r="AH25" i="41"/>
  <c r="AD25" i="41"/>
  <c r="AE25" i="41" s="1"/>
  <c r="AA25" i="41"/>
  <c r="Z25" i="41"/>
  <c r="V25" i="41"/>
  <c r="W25" i="41" s="1"/>
  <c r="U25" i="41"/>
  <c r="AG25" i="41" s="1"/>
  <c r="T25" i="41"/>
  <c r="X25" i="41" s="1"/>
  <c r="S25" i="41"/>
  <c r="R25" i="41"/>
  <c r="Q25" i="41"/>
  <c r="P25" i="41"/>
  <c r="AI24" i="41"/>
  <c r="AH24" i="41"/>
  <c r="AD24" i="41"/>
  <c r="AE24" i="41" s="1"/>
  <c r="AA24" i="41"/>
  <c r="Z24" i="41"/>
  <c r="V24" i="41"/>
  <c r="W24" i="41" s="1"/>
  <c r="U24" i="41"/>
  <c r="Y24" i="41" s="1"/>
  <c r="T24" i="41"/>
  <c r="AF24" i="41" s="1"/>
  <c r="S24" i="41"/>
  <c r="R24" i="41"/>
  <c r="AJ24" i="41" s="1"/>
  <c r="Q24" i="41"/>
  <c r="P24" i="41"/>
  <c r="AI23" i="41"/>
  <c r="AH23" i="41"/>
  <c r="AD23" i="41"/>
  <c r="AE23" i="41" s="1"/>
  <c r="AA23" i="41"/>
  <c r="Z23" i="41"/>
  <c r="V23" i="41"/>
  <c r="W23" i="41" s="1"/>
  <c r="U23" i="41"/>
  <c r="Y23" i="41" s="1"/>
  <c r="T23" i="41"/>
  <c r="X23" i="41" s="1"/>
  <c r="S23" i="41"/>
  <c r="R23" i="41"/>
  <c r="AJ23" i="41" s="1"/>
  <c r="Q23" i="41"/>
  <c r="P23" i="41"/>
  <c r="AI22" i="41"/>
  <c r="AH22" i="41"/>
  <c r="AD22" i="41"/>
  <c r="AE22" i="41" s="1"/>
  <c r="AA22" i="41"/>
  <c r="Z22" i="41"/>
  <c r="V22" i="41"/>
  <c r="W22" i="41" s="1"/>
  <c r="U22" i="41"/>
  <c r="AG22" i="41" s="1"/>
  <c r="T22" i="41"/>
  <c r="AF22" i="41" s="1"/>
  <c r="S22" i="41"/>
  <c r="R22" i="41"/>
  <c r="AB22" i="41" s="1"/>
  <c r="Q22" i="41"/>
  <c r="P22" i="41"/>
  <c r="AI21" i="41"/>
  <c r="AH21" i="41"/>
  <c r="AD21" i="41"/>
  <c r="AE21" i="41" s="1"/>
  <c r="AA21" i="41"/>
  <c r="Z21" i="41"/>
  <c r="V21" i="41"/>
  <c r="W21" i="41" s="1"/>
  <c r="U21" i="41"/>
  <c r="Y21" i="41" s="1"/>
  <c r="T21" i="41"/>
  <c r="AF21" i="41" s="1"/>
  <c r="S21" i="41"/>
  <c r="R21" i="41"/>
  <c r="AJ21" i="41" s="1"/>
  <c r="Q21" i="41"/>
  <c r="P21" i="41"/>
  <c r="AI20" i="41"/>
  <c r="AH20" i="41"/>
  <c r="AD20" i="41"/>
  <c r="AE20" i="41" s="1"/>
  <c r="AA20" i="41"/>
  <c r="Z20" i="41"/>
  <c r="V20" i="41"/>
  <c r="W20" i="41" s="1"/>
  <c r="U20" i="41"/>
  <c r="Y20" i="41" s="1"/>
  <c r="T20" i="41"/>
  <c r="X20" i="41" s="1"/>
  <c r="S20" i="41"/>
  <c r="R20" i="41"/>
  <c r="AJ20" i="41" s="1"/>
  <c r="Q20" i="41"/>
  <c r="P20" i="41"/>
  <c r="AI19" i="41"/>
  <c r="AH19" i="41"/>
  <c r="AD19" i="41"/>
  <c r="AE19" i="41" s="1"/>
  <c r="AA19" i="41"/>
  <c r="Z19" i="41"/>
  <c r="V19" i="41"/>
  <c r="W19" i="41" s="1"/>
  <c r="U19" i="41"/>
  <c r="AG19" i="41" s="1"/>
  <c r="T19" i="41"/>
  <c r="X19" i="41" s="1"/>
  <c r="S19" i="41"/>
  <c r="R19" i="41"/>
  <c r="AB19" i="41" s="1"/>
  <c r="Q19" i="41"/>
  <c r="P19" i="41"/>
  <c r="AI18" i="41"/>
  <c r="AH18" i="41"/>
  <c r="AD18" i="41"/>
  <c r="AE18" i="41" s="1"/>
  <c r="AA18" i="41"/>
  <c r="Z18" i="41"/>
  <c r="V18" i="41"/>
  <c r="W18" i="41" s="1"/>
  <c r="U18" i="41"/>
  <c r="Y18" i="41" s="1"/>
  <c r="T18" i="41"/>
  <c r="AF18" i="41" s="1"/>
  <c r="S18" i="41"/>
  <c r="R18" i="41"/>
  <c r="AJ18" i="41" s="1"/>
  <c r="Q18" i="41"/>
  <c r="P18" i="41"/>
  <c r="AI17" i="41"/>
  <c r="AH17" i="41"/>
  <c r="AD17" i="41"/>
  <c r="AE17" i="41" s="1"/>
  <c r="AA17" i="41"/>
  <c r="Z17" i="41"/>
  <c r="V17" i="41"/>
  <c r="W17" i="41" s="1"/>
  <c r="U17" i="41"/>
  <c r="Y17" i="41" s="1"/>
  <c r="T17" i="41"/>
  <c r="X17" i="41" s="1"/>
  <c r="S17" i="41"/>
  <c r="R17" i="41"/>
  <c r="AJ17" i="41" s="1"/>
  <c r="Q17" i="41"/>
  <c r="P17" i="41"/>
  <c r="AI16" i="41"/>
  <c r="AH16" i="41"/>
  <c r="AD16" i="41"/>
  <c r="AE16" i="41" s="1"/>
  <c r="AA16" i="41"/>
  <c r="Z16" i="41"/>
  <c r="V16" i="41"/>
  <c r="W16" i="41" s="1"/>
  <c r="U16" i="41"/>
  <c r="AG16" i="41" s="1"/>
  <c r="T16" i="41"/>
  <c r="AF16" i="41" s="1"/>
  <c r="S16" i="41"/>
  <c r="R16" i="41"/>
  <c r="AB16" i="41" s="1"/>
  <c r="Q16" i="41"/>
  <c r="P16" i="41"/>
  <c r="AI15" i="41"/>
  <c r="AH15" i="41"/>
  <c r="AD15" i="41"/>
  <c r="AE15" i="41" s="1"/>
  <c r="AA15" i="41"/>
  <c r="Z15" i="41"/>
  <c r="V15" i="41"/>
  <c r="W15" i="41" s="1"/>
  <c r="U15" i="41"/>
  <c r="AG15" i="41" s="1"/>
  <c r="T15" i="41"/>
  <c r="AF15" i="41" s="1"/>
  <c r="S15" i="41"/>
  <c r="R15" i="41"/>
  <c r="AJ15" i="41" s="1"/>
  <c r="Q15" i="41"/>
  <c r="P15" i="41"/>
  <c r="AI14" i="41"/>
  <c r="AH14" i="41"/>
  <c r="AD14" i="41"/>
  <c r="AE14" i="41" s="1"/>
  <c r="AA14" i="41"/>
  <c r="Z14" i="41"/>
  <c r="V14" i="41"/>
  <c r="W14" i="41" s="1"/>
  <c r="U14" i="41"/>
  <c r="AG14" i="41" s="1"/>
  <c r="T14" i="41"/>
  <c r="X14" i="41" s="1"/>
  <c r="S14" i="41"/>
  <c r="R14" i="41"/>
  <c r="AJ14" i="41" s="1"/>
  <c r="Q14" i="41"/>
  <c r="P14" i="41"/>
  <c r="AI13" i="41"/>
  <c r="AH13" i="41"/>
  <c r="AD13" i="41"/>
  <c r="AE13" i="41" s="1"/>
  <c r="AA13" i="41"/>
  <c r="Z13" i="41"/>
  <c r="V13" i="41"/>
  <c r="W13" i="41" s="1"/>
  <c r="U13" i="41"/>
  <c r="Y13" i="41" s="1"/>
  <c r="T13" i="41"/>
  <c r="AF13" i="41" s="1"/>
  <c r="S13" i="41"/>
  <c r="R13" i="41"/>
  <c r="AB13" i="41" s="1"/>
  <c r="Q13" i="41"/>
  <c r="P13" i="41"/>
  <c r="AI12" i="41"/>
  <c r="AH12" i="41"/>
  <c r="AD12" i="41"/>
  <c r="AE12" i="41" s="1"/>
  <c r="AA12" i="41"/>
  <c r="Z12" i="41"/>
  <c r="V12" i="41"/>
  <c r="W12" i="41" s="1"/>
  <c r="U12" i="41"/>
  <c r="AG12" i="41" s="1"/>
  <c r="T12" i="41"/>
  <c r="AF12" i="41" s="1"/>
  <c r="S12" i="41"/>
  <c r="R12" i="41"/>
  <c r="AB12" i="41" s="1"/>
  <c r="Q12" i="41"/>
  <c r="P12" i="41"/>
  <c r="AI11" i="41"/>
  <c r="AH11" i="41"/>
  <c r="AD11" i="41"/>
  <c r="AE11" i="41" s="1"/>
  <c r="AA11" i="41"/>
  <c r="Z11" i="41"/>
  <c r="V11" i="41"/>
  <c r="W11" i="41" s="1"/>
  <c r="U11" i="41"/>
  <c r="Y11" i="41" s="1"/>
  <c r="T11" i="41"/>
  <c r="X11" i="41" s="1"/>
  <c r="S11" i="41"/>
  <c r="R11" i="41"/>
  <c r="AJ11" i="41" s="1"/>
  <c r="Q11" i="41"/>
  <c r="P11" i="41"/>
  <c r="AI10" i="41"/>
  <c r="AH10" i="41"/>
  <c r="AD10" i="41"/>
  <c r="AE10" i="41" s="1"/>
  <c r="AA10" i="41"/>
  <c r="Z10" i="41"/>
  <c r="V10" i="41"/>
  <c r="W10" i="41" s="1"/>
  <c r="U10" i="41"/>
  <c r="Y10" i="41" s="1"/>
  <c r="T10" i="41"/>
  <c r="AF10" i="41" s="1"/>
  <c r="S10" i="41"/>
  <c r="R10" i="41"/>
  <c r="AB10" i="41" s="1"/>
  <c r="Q10" i="41"/>
  <c r="P10" i="41"/>
  <c r="AI9" i="41"/>
  <c r="AH9" i="41"/>
  <c r="AD9" i="41"/>
  <c r="AE9" i="41" s="1"/>
  <c r="AA9" i="41"/>
  <c r="Z9" i="41"/>
  <c r="V9" i="41"/>
  <c r="W9" i="41" s="1"/>
  <c r="U9" i="41"/>
  <c r="AG9" i="41" s="1"/>
  <c r="T9" i="41"/>
  <c r="AF9" i="41" s="1"/>
  <c r="S9" i="41"/>
  <c r="R9" i="41"/>
  <c r="AB9" i="41" s="1"/>
  <c r="Q9" i="41"/>
  <c r="P9" i="41"/>
  <c r="AI8" i="41"/>
  <c r="AH8" i="41"/>
  <c r="AD8" i="41"/>
  <c r="AE8" i="41" s="1"/>
  <c r="AA8" i="41"/>
  <c r="Z8" i="41"/>
  <c r="V8" i="41"/>
  <c r="W8" i="41" s="1"/>
  <c r="U8" i="41"/>
  <c r="Y8" i="41" s="1"/>
  <c r="T8" i="41"/>
  <c r="X8" i="41" s="1"/>
  <c r="S8" i="41"/>
  <c r="R8" i="41"/>
  <c r="AJ8" i="41" s="1"/>
  <c r="Q8" i="41"/>
  <c r="P8" i="41"/>
  <c r="AI7" i="41"/>
  <c r="AH7" i="41"/>
  <c r="AD7" i="41"/>
  <c r="AE7" i="41" s="1"/>
  <c r="AA7" i="41"/>
  <c r="Z7" i="41"/>
  <c r="X7" i="41"/>
  <c r="V7" i="41"/>
  <c r="W7" i="41" s="1"/>
  <c r="U7" i="41"/>
  <c r="Y7" i="41" s="1"/>
  <c r="T7" i="41"/>
  <c r="AF7" i="41" s="1"/>
  <c r="S7" i="41"/>
  <c r="R7" i="41"/>
  <c r="AB7" i="41" s="1"/>
  <c r="Q7" i="41"/>
  <c r="P7" i="41"/>
  <c r="AI6" i="41"/>
  <c r="AH6" i="41"/>
  <c r="AD6" i="41"/>
  <c r="AE6" i="41" s="1"/>
  <c r="AA6" i="41"/>
  <c r="Z6" i="41"/>
  <c r="V6" i="41"/>
  <c r="W6" i="41" s="1"/>
  <c r="U6" i="41"/>
  <c r="AG6" i="41" s="1"/>
  <c r="T6" i="41"/>
  <c r="AF6" i="41" s="1"/>
  <c r="S6" i="41"/>
  <c r="R6" i="41"/>
  <c r="AJ6" i="41" s="1"/>
  <c r="Q6" i="41"/>
  <c r="P6" i="41"/>
  <c r="AI5" i="41"/>
  <c r="AH5" i="41"/>
  <c r="AD5" i="41"/>
  <c r="AE5" i="41" s="1"/>
  <c r="AA5" i="41"/>
  <c r="Z5" i="41"/>
  <c r="V5" i="41"/>
  <c r="W5" i="41" s="1"/>
  <c r="U5" i="41"/>
  <c r="AG5" i="41" s="1"/>
  <c r="T5" i="41"/>
  <c r="X5" i="41" s="1"/>
  <c r="S5" i="41"/>
  <c r="R5" i="41"/>
  <c r="AJ5" i="41" s="1"/>
  <c r="Q5" i="41"/>
  <c r="P5" i="41"/>
  <c r="AI4" i="41"/>
  <c r="AH4" i="41"/>
  <c r="AD4" i="41"/>
  <c r="AE4" i="41" s="1"/>
  <c r="AA4" i="41"/>
  <c r="Z4" i="41"/>
  <c r="V4" i="41"/>
  <c r="W4" i="41" s="1"/>
  <c r="U4" i="41"/>
  <c r="Y4" i="41" s="1"/>
  <c r="T4" i="41"/>
  <c r="AF4" i="41" s="1"/>
  <c r="S4" i="41"/>
  <c r="R4" i="41"/>
  <c r="AB4" i="41" s="1"/>
  <c r="Q4" i="41"/>
  <c r="P4" i="41"/>
  <c r="AA3" i="41"/>
  <c r="Z3" i="41"/>
  <c r="V3" i="41"/>
  <c r="W3" i="41" s="1"/>
  <c r="U3" i="41"/>
  <c r="Y3" i="41" s="1"/>
  <c r="T3" i="41"/>
  <c r="X3" i="41" s="1"/>
  <c r="S3" i="41"/>
  <c r="R3" i="41"/>
  <c r="Q3" i="41"/>
  <c r="P3" i="41"/>
  <c r="Y22" i="41" l="1"/>
  <c r="X9" i="41"/>
  <c r="AG7" i="41"/>
  <c r="AB8" i="41"/>
  <c r="AC8" i="41" s="1"/>
  <c r="Y9" i="41"/>
  <c r="AC9" i="41" s="1"/>
  <c r="AF14" i="41"/>
  <c r="AK14" i="41" s="1"/>
  <c r="X12" i="41"/>
  <c r="AB17" i="41"/>
  <c r="AC17" i="41" s="1"/>
  <c r="Y16" i="41"/>
  <c r="AJ22" i="41"/>
  <c r="AK22" i="41" s="1"/>
  <c r="AB11" i="41"/>
  <c r="AC11" i="41" s="1"/>
  <c r="Y14" i="41"/>
  <c r="AB15" i="41"/>
  <c r="AF20" i="41"/>
  <c r="X18" i="41"/>
  <c r="AG20" i="41"/>
  <c r="Y5" i="41"/>
  <c r="X10" i="41"/>
  <c r="AC10" i="41" s="1"/>
  <c r="AG13" i="41"/>
  <c r="Y25" i="41"/>
  <c r="AB6" i="41"/>
  <c r="AB24" i="41"/>
  <c r="Y26" i="41"/>
  <c r="AF5" i="41"/>
  <c r="AK5" i="41" s="1"/>
  <c r="AG18" i="41"/>
  <c r="AK18" i="41" s="1"/>
  <c r="X28" i="41"/>
  <c r="AC28" i="41" s="1"/>
  <c r="Y29" i="41"/>
  <c r="Y30" i="41"/>
  <c r="AC30" i="41" s="1"/>
  <c r="AB5" i="41"/>
  <c r="AC5" i="41" s="1"/>
  <c r="AF19" i="41"/>
  <c r="AG4" i="41"/>
  <c r="AJ10" i="41"/>
  <c r="AF8" i="41"/>
  <c r="AJ16" i="41"/>
  <c r="AK16" i="41" s="1"/>
  <c r="X31" i="41"/>
  <c r="AG21" i="41"/>
  <c r="AK21" i="41" s="1"/>
  <c r="Y27" i="41"/>
  <c r="AC27" i="41" s="1"/>
  <c r="AF27" i="41"/>
  <c r="AK27" i="41" s="1"/>
  <c r="Q32" i="41"/>
  <c r="X6" i="41"/>
  <c r="AJ9" i="41"/>
  <c r="AF11" i="41"/>
  <c r="Y12" i="41"/>
  <c r="AC12" i="41" s="1"/>
  <c r="AJ12" i="41"/>
  <c r="AK12" i="41" s="1"/>
  <c r="AB14" i="41"/>
  <c r="AG17" i="41"/>
  <c r="AB20" i="41"/>
  <c r="AC20" i="41" s="1"/>
  <c r="X24" i="41"/>
  <c r="AC24" i="41" s="1"/>
  <c r="R32" i="41"/>
  <c r="AG10" i="41"/>
  <c r="AG11" i="41"/>
  <c r="X15" i="41"/>
  <c r="Y19" i="41"/>
  <c r="AC19" i="41" s="1"/>
  <c r="X21" i="41"/>
  <c r="AB23" i="41"/>
  <c r="AC23" i="41" s="1"/>
  <c r="AB26" i="41"/>
  <c r="N28" i="34"/>
  <c r="B28" i="34"/>
  <c r="AK9" i="41"/>
  <c r="AK6" i="41"/>
  <c r="Z32" i="41"/>
  <c r="AC7" i="41"/>
  <c r="AA32" i="41"/>
  <c r="X4" i="41"/>
  <c r="AC4" i="41" s="1"/>
  <c r="Y6" i="41"/>
  <c r="X13" i="41"/>
  <c r="AC13" i="41" s="1"/>
  <c r="Y15" i="41"/>
  <c r="X16" i="41"/>
  <c r="AC16" i="41" s="1"/>
  <c r="AJ19" i="41"/>
  <c r="AG23" i="41"/>
  <c r="AG24" i="41"/>
  <c r="AK24" i="41" s="1"/>
  <c r="AB25" i="41"/>
  <c r="AC25" i="41" s="1"/>
  <c r="AJ25" i="41"/>
  <c r="AF25" i="41"/>
  <c r="P32" i="41"/>
  <c r="V32" i="41"/>
  <c r="W32" i="41" s="1"/>
  <c r="AB3" i="41"/>
  <c r="AJ7" i="41"/>
  <c r="AK7" i="41" s="1"/>
  <c r="AG8" i="41"/>
  <c r="AK15" i="41"/>
  <c r="AF17" i="41"/>
  <c r="AB21" i="41"/>
  <c r="AC21" i="41" s="1"/>
  <c r="AF30" i="41"/>
  <c r="AK30" i="41" s="1"/>
  <c r="X22" i="41"/>
  <c r="AG31" i="41"/>
  <c r="AK31" i="41" s="1"/>
  <c r="S32" i="41"/>
  <c r="AD36" i="41"/>
  <c r="D3" i="41" s="1"/>
  <c r="AJ4" i="41"/>
  <c r="AJ13" i="41"/>
  <c r="AB18" i="41"/>
  <c r="AC18" i="41" s="1"/>
  <c r="AF23" i="41"/>
  <c r="AG28" i="41"/>
  <c r="AK28" i="41" s="1"/>
  <c r="AC29" i="41"/>
  <c r="AC31" i="41"/>
  <c r="AF26" i="41"/>
  <c r="AK26" i="41" s="1"/>
  <c r="AF29" i="41"/>
  <c r="AK29" i="41" s="1"/>
  <c r="B12" i="32"/>
  <c r="AC22" i="41" l="1"/>
  <c r="AC14" i="41"/>
  <c r="AC15" i="41"/>
  <c r="AC26" i="41"/>
  <c r="AK10" i="41"/>
  <c r="AK19" i="41"/>
  <c r="AK13" i="41"/>
  <c r="AK4" i="41"/>
  <c r="AK20" i="41"/>
  <c r="AK17" i="41"/>
  <c r="Y32" i="41"/>
  <c r="AK8" i="41"/>
  <c r="AC6" i="41"/>
  <c r="AK11" i="41"/>
  <c r="AK25" i="41"/>
  <c r="AK23" i="41"/>
  <c r="AF3" i="41"/>
  <c r="AG3" i="41"/>
  <c r="AG32" i="41" s="1"/>
  <c r="AJ3" i="41"/>
  <c r="AJ32" i="41" s="1"/>
  <c r="AI3" i="41"/>
  <c r="AI32" i="41" s="1"/>
  <c r="AH3" i="41"/>
  <c r="AH32" i="41" s="1"/>
  <c r="AD3" i="41"/>
  <c r="X32" i="41"/>
  <c r="AB32" i="41"/>
  <c r="AC3" i="41"/>
  <c r="AC32" i="41" l="1"/>
  <c r="AF32" i="41"/>
  <c r="AK3" i="41"/>
  <c r="AK32" i="41" s="1"/>
  <c r="AD32" i="41"/>
  <c r="I38" i="41" s="1"/>
  <c r="AE3" i="41"/>
  <c r="B4" i="25"/>
  <c r="AR14" i="39" l="1"/>
  <c r="AR12" i="39"/>
  <c r="AR10" i="39"/>
  <c r="AR8" i="39"/>
  <c r="AR6" i="39"/>
  <c r="AQ14" i="39"/>
  <c r="AQ12" i="39"/>
  <c r="AQ10" i="39"/>
  <c r="AQ8" i="39"/>
  <c r="AQ6" i="39"/>
  <c r="AI6" i="39"/>
  <c r="AI7" i="39"/>
  <c r="AI8" i="39"/>
  <c r="AI9" i="39"/>
  <c r="AI10" i="39"/>
  <c r="AI11" i="39"/>
  <c r="AI12" i="39"/>
  <c r="AI13" i="39"/>
  <c r="AI14" i="39"/>
  <c r="AI5" i="39"/>
  <c r="AH7" i="39"/>
  <c r="AH9" i="39"/>
  <c r="AH11" i="39"/>
  <c r="AH13" i="39"/>
  <c r="AH5" i="39"/>
  <c r="AB7" i="39"/>
  <c r="AB9" i="39"/>
  <c r="AB11" i="39"/>
  <c r="AB13" i="39"/>
  <c r="AB5" i="39"/>
  <c r="AC6" i="39"/>
  <c r="AC7" i="39"/>
  <c r="AC8" i="39"/>
  <c r="AC9" i="39"/>
  <c r="AC10" i="39"/>
  <c r="AC11" i="39"/>
  <c r="AC12" i="39"/>
  <c r="AC13" i="39"/>
  <c r="AC14" i="39"/>
  <c r="AC5" i="39"/>
  <c r="W14" i="39" l="1"/>
  <c r="T14" i="39"/>
  <c r="K14" i="39"/>
  <c r="H14" i="39"/>
  <c r="W13" i="39"/>
  <c r="V13" i="39"/>
  <c r="T13" i="39"/>
  <c r="S13" i="39"/>
  <c r="K13" i="39"/>
  <c r="J13" i="39"/>
  <c r="H13" i="39"/>
  <c r="G13" i="39"/>
  <c r="W12" i="39"/>
  <c r="V12" i="39"/>
  <c r="T12" i="39"/>
  <c r="K12" i="39"/>
  <c r="H12" i="39"/>
  <c r="W11" i="39"/>
  <c r="V11" i="39"/>
  <c r="T11" i="39"/>
  <c r="S11" i="39"/>
  <c r="K11" i="39"/>
  <c r="J11" i="39"/>
  <c r="H11" i="39"/>
  <c r="G11" i="39"/>
  <c r="W10" i="39"/>
  <c r="V10" i="39"/>
  <c r="T10" i="39"/>
  <c r="K10" i="39"/>
  <c r="H10" i="39"/>
  <c r="W9" i="39"/>
  <c r="V9" i="39"/>
  <c r="T9" i="39"/>
  <c r="S9" i="39"/>
  <c r="K9" i="39"/>
  <c r="J9" i="39"/>
  <c r="H9" i="39"/>
  <c r="G9" i="39"/>
  <c r="W8" i="39"/>
  <c r="V8" i="39"/>
  <c r="T8" i="39"/>
  <c r="K8" i="39"/>
  <c r="H8" i="39"/>
  <c r="W7" i="39"/>
  <c r="V7" i="39"/>
  <c r="T7" i="39"/>
  <c r="S7" i="39"/>
  <c r="K7" i="39"/>
  <c r="J7" i="39"/>
  <c r="H7" i="39"/>
  <c r="G7" i="39"/>
  <c r="W6" i="39"/>
  <c r="V6" i="39"/>
  <c r="T6" i="39"/>
  <c r="K6" i="39"/>
  <c r="H6" i="39"/>
  <c r="W5" i="39"/>
  <c r="V5" i="39"/>
  <c r="T5" i="39"/>
  <c r="S5" i="39"/>
  <c r="K5" i="39"/>
  <c r="J5" i="39"/>
  <c r="H5" i="39"/>
  <c r="G5" i="39"/>
  <c r="AT6" i="39" l="1"/>
  <c r="AT8" i="39"/>
  <c r="AT10" i="39"/>
  <c r="AT12" i="39"/>
  <c r="AT14" i="39"/>
  <c r="AV15" i="39" l="1"/>
  <c r="AV16" i="39" s="1"/>
  <c r="AV17" i="39" s="1"/>
  <c r="C44" i="1" l="1"/>
  <c r="C34" i="1"/>
  <c r="C23" i="1"/>
  <c r="B16" i="32" l="1"/>
  <c r="C63" i="34" l="1"/>
  <c r="C64" i="34" s="1"/>
  <c r="C68" i="34"/>
  <c r="C69" i="34"/>
  <c r="C70" i="34"/>
  <c r="C71" i="34"/>
  <c r="C72" i="34"/>
  <c r="C73" i="34"/>
  <c r="C74" i="34"/>
  <c r="C75" i="34"/>
  <c r="C76" i="34"/>
  <c r="C77" i="34"/>
  <c r="C78" i="34"/>
  <c r="C67" i="34"/>
  <c r="N41" i="34"/>
  <c r="B48" i="34" s="1"/>
  <c r="N42" i="34"/>
  <c r="B47" i="34"/>
  <c r="F83" i="34"/>
  <c r="B79" i="34"/>
  <c r="B64" i="34"/>
  <c r="C14" i="34"/>
  <c r="B14" i="34"/>
  <c r="E49" i="34" l="1"/>
  <c r="D49" i="34"/>
  <c r="D48" i="34"/>
  <c r="B50" i="34"/>
  <c r="B54" i="34" s="1"/>
  <c r="N43" i="34"/>
  <c r="C79" i="34"/>
  <c r="D63" i="34" s="1"/>
  <c r="E63" i="34" s="1"/>
  <c r="E64" i="34" s="1"/>
  <c r="C83" i="34"/>
  <c r="F54" i="34" l="1"/>
  <c r="B57" i="34"/>
  <c r="B87" i="34" s="1"/>
  <c r="D50" i="34"/>
  <c r="C54" i="34" s="1"/>
  <c r="F50" i="34"/>
  <c r="C56" i="34" s="1"/>
  <c r="F56" i="34" s="1"/>
  <c r="C84" i="34"/>
  <c r="F84" i="34" s="1"/>
  <c r="F85" i="34" s="1"/>
  <c r="D64" i="34"/>
  <c r="B57" i="1"/>
  <c r="B44" i="1"/>
  <c r="B34" i="1"/>
  <c r="E34" i="1" s="1"/>
  <c r="E27" i="1"/>
  <c r="E28" i="1"/>
  <c r="E29" i="1"/>
  <c r="E30" i="1"/>
  <c r="E31" i="1"/>
  <c r="E32" i="1"/>
  <c r="E33" i="1"/>
  <c r="E37" i="1"/>
  <c r="E38" i="1"/>
  <c r="E39" i="1"/>
  <c r="E40" i="1"/>
  <c r="E41" i="1"/>
  <c r="E42" i="1"/>
  <c r="E43" i="1"/>
  <c r="E47" i="1"/>
  <c r="E48" i="1"/>
  <c r="E49" i="1"/>
  <c r="E50" i="1"/>
  <c r="E51" i="1"/>
  <c r="E53" i="1"/>
  <c r="E54" i="1"/>
  <c r="E55" i="1"/>
  <c r="E56" i="1"/>
  <c r="E25" i="32"/>
  <c r="E24" i="32"/>
  <c r="E23" i="32"/>
  <c r="E22" i="32"/>
  <c r="E17" i="32"/>
  <c r="E16" i="32"/>
  <c r="B7" i="25" s="1"/>
  <c r="E15" i="32"/>
  <c r="E14" i="32"/>
  <c r="E11" i="32"/>
  <c r="E10" i="32"/>
  <c r="E9" i="32"/>
  <c r="E8" i="32"/>
  <c r="E7" i="32"/>
  <c r="E7" i="1"/>
  <c r="E8" i="1"/>
  <c r="E10" i="1"/>
  <c r="E11" i="1"/>
  <c r="E12" i="1"/>
  <c r="E13" i="1"/>
  <c r="E14" i="1"/>
  <c r="E16" i="1"/>
  <c r="E17" i="1"/>
  <c r="E19" i="1"/>
  <c r="E20" i="1"/>
  <c r="E21" i="1"/>
  <c r="E18" i="1"/>
  <c r="E15" i="1"/>
  <c r="E50" i="34" l="1"/>
  <c r="C55" i="34" s="1"/>
  <c r="E44" i="1"/>
  <c r="C50" i="34"/>
  <c r="C85" i="34"/>
  <c r="F55" i="34" l="1"/>
  <c r="F57" i="34" s="1"/>
  <c r="F87" i="34" s="1"/>
  <c r="C57" i="34"/>
  <c r="C87" i="34" s="1"/>
  <c r="E22" i="1"/>
  <c r="E23" i="1" s="1"/>
  <c r="B23" i="1"/>
  <c r="B59" i="1" s="1"/>
  <c r="B21" i="32" l="1"/>
  <c r="B27" i="32" l="1"/>
  <c r="B5" i="25" l="1"/>
  <c r="B18" i="32" l="1"/>
  <c r="B29" i="32" l="1"/>
  <c r="C12" i="32"/>
  <c r="C18" i="32" s="1"/>
  <c r="E18" i="32" l="1"/>
  <c r="C52" i="1" s="1"/>
  <c r="E12" i="32"/>
  <c r="B11" i="25" s="1"/>
  <c r="C57" i="1" l="1"/>
  <c r="E52" i="1"/>
  <c r="C59" i="1" l="1"/>
  <c r="E57" i="1"/>
  <c r="C21" i="32" l="1"/>
  <c r="E59" i="1"/>
  <c r="C27" i="32" l="1"/>
  <c r="E21" i="32"/>
  <c r="E27" i="32" l="1"/>
  <c r="B3" i="25" s="1"/>
  <c r="B6" i="25" s="1"/>
  <c r="B10" i="25" s="1"/>
  <c r="B12" i="25" s="1"/>
  <c r="B14" i="25" s="1"/>
  <c r="C29" i="32"/>
  <c r="E29" i="32" s="1"/>
  <c r="D54" i="45" l="1"/>
  <c r="F54" i="45" s="1"/>
  <c r="D55" i="45"/>
  <c r="F55" i="45" s="1"/>
  <c r="D56" i="45"/>
  <c r="F56" i="45" s="1"/>
  <c r="D83" i="45"/>
  <c r="F83" i="45" s="1"/>
  <c r="D84" i="45"/>
  <c r="F84" i="45" s="1"/>
  <c r="F85" i="45" l="1"/>
  <c r="F57" i="45"/>
  <c r="F87" i="45" s="1"/>
</calcChain>
</file>

<file path=xl/sharedStrings.xml><?xml version="1.0" encoding="utf-8"?>
<sst xmlns="http://schemas.openxmlformats.org/spreadsheetml/2006/main" count="1659" uniqueCount="508">
  <si>
    <t>Test Year</t>
  </si>
  <si>
    <t>Adjustment</t>
  </si>
  <si>
    <t>Ref.</t>
  </si>
  <si>
    <t>Pro Forma</t>
  </si>
  <si>
    <t>Operating Revenues</t>
  </si>
  <si>
    <t>Forfeited Discounts</t>
  </si>
  <si>
    <t>Total Operating Revenues</t>
  </si>
  <si>
    <t>Operating Expenses</t>
  </si>
  <si>
    <t>Employee Pensions and Benefits</t>
  </si>
  <si>
    <t>Chemicals</t>
  </si>
  <si>
    <t>Rents</t>
  </si>
  <si>
    <t>Total Operation and Maintenance Expenses</t>
  </si>
  <si>
    <t>Depreciation Expense</t>
  </si>
  <si>
    <t>Amortization Expense</t>
  </si>
  <si>
    <t>Taxes Other than Income</t>
  </si>
  <si>
    <t>Income Tax Expense</t>
  </si>
  <si>
    <t>Total Operating Expenses</t>
  </si>
  <si>
    <t>Utility Operating Income</t>
  </si>
  <si>
    <t>A</t>
  </si>
  <si>
    <t>B</t>
  </si>
  <si>
    <t>Pro forma Operating Expenses</t>
  </si>
  <si>
    <t>Plus:  Average Annual Debt Principal and Interest Payment</t>
  </si>
  <si>
    <t>Debt Coverage Requirement</t>
  </si>
  <si>
    <t>Total Revenue Requirement</t>
  </si>
  <si>
    <t>Non-Operating Revenue</t>
  </si>
  <si>
    <t>Interest Income</t>
  </si>
  <si>
    <t>Required Revenue Increase</t>
  </si>
  <si>
    <t>H</t>
  </si>
  <si>
    <t>I</t>
  </si>
  <si>
    <t>G</t>
  </si>
  <si>
    <t>C</t>
  </si>
  <si>
    <t>D</t>
  </si>
  <si>
    <t>E</t>
  </si>
  <si>
    <t>F</t>
  </si>
  <si>
    <t>K</t>
  </si>
  <si>
    <t>TYE 12/31/2020</t>
  </si>
  <si>
    <t>REVENUE REQUIREMENT CALCULATION - DEBT COVERAGE METHOD</t>
  </si>
  <si>
    <t>KRWA Finance Corporation</t>
  </si>
  <si>
    <t>KIA Loan</t>
  </si>
  <si>
    <t>Total</t>
  </si>
  <si>
    <t>Series 2020</t>
  </si>
  <si>
    <t xml:space="preserve">Cash </t>
  </si>
  <si>
    <t>Principal</t>
  </si>
  <si>
    <t>Interest</t>
  </si>
  <si>
    <t>Payments</t>
  </si>
  <si>
    <t>5-year Total:</t>
  </si>
  <si>
    <t>Annual Average:</t>
  </si>
  <si>
    <t>Coverage:</t>
  </si>
  <si>
    <t>Reference</t>
  </si>
  <si>
    <t>Remarks</t>
  </si>
  <si>
    <t>J</t>
  </si>
  <si>
    <t>Less: Other Operating Revenue</t>
  </si>
  <si>
    <t>Sewer Service Revenues</t>
  </si>
  <si>
    <t>Flat Rate Revenues</t>
  </si>
  <si>
    <t>Revenues from Public Authorities</t>
  </si>
  <si>
    <t>Revenue from Other Systems</t>
  </si>
  <si>
    <t>Miscellaneous Sewage Revenues</t>
  </si>
  <si>
    <t>Total Sewage Service Revenues</t>
  </si>
  <si>
    <t>Other Operating Revenues</t>
  </si>
  <si>
    <t>Miscellaneous Operating Revenues</t>
  </si>
  <si>
    <t>Total Other Operating Revenues</t>
  </si>
  <si>
    <t>SCHEDULE OF ADJUSTED OPERATIONS - SEWER</t>
  </si>
  <si>
    <t>SEWER OPERATIONS AND MAINTENANCE EXPENSES</t>
  </si>
  <si>
    <t>Operation Expenses</t>
  </si>
  <si>
    <t>Supervision and Maintenance</t>
  </si>
  <si>
    <t>Owner/Manager-Management Fee</t>
  </si>
  <si>
    <t>Other Expenses</t>
  </si>
  <si>
    <t>Labor and Expenses</t>
  </si>
  <si>
    <t>Collection System-Labor, Materials and Expenses</t>
  </si>
  <si>
    <t>Pumping System-Labor, Materials and Expenses</t>
  </si>
  <si>
    <t>Treatment System</t>
  </si>
  <si>
    <t>Sludge Hauling</t>
  </si>
  <si>
    <t>Utility Service-Water Costs</t>
  </si>
  <si>
    <t>Other-Labor, Materials, and Expenses</t>
  </si>
  <si>
    <t>Fuel/Power Purchased for Pumping and Treatment</t>
  </si>
  <si>
    <t>Miscellaneous Supplies and Expenses</t>
  </si>
  <si>
    <t>Collection System</t>
  </si>
  <si>
    <t>Pumping System</t>
  </si>
  <si>
    <t>Treatment and Disposal</t>
  </si>
  <si>
    <t>Maintenance Expenses</t>
  </si>
  <si>
    <t>Supervision and Engineering</t>
  </si>
  <si>
    <t>Routine Maintenance Service Fee</t>
  </si>
  <si>
    <t>Internal supervision and Engineering</t>
  </si>
  <si>
    <t>Maintenance of Structures and Improvements</t>
  </si>
  <si>
    <t>Maintenance of Collection Sewer System</t>
  </si>
  <si>
    <t>Maintenance of Pumping System</t>
  </si>
  <si>
    <t>Maintenance of Treatment and Disposal Plant</t>
  </si>
  <si>
    <t>Maintenance of Other Plant and Facilities</t>
  </si>
  <si>
    <t>Customer Accounts Expenses</t>
  </si>
  <si>
    <t>Supervision</t>
  </si>
  <si>
    <t>Meter Reading Expenses and Flat Rate Inspections</t>
  </si>
  <si>
    <t>Customer records and Collection Expenses</t>
  </si>
  <si>
    <t>Agency Collection Fee</t>
  </si>
  <si>
    <t>Internal Labor, Materials and Expenses</t>
  </si>
  <si>
    <t>Uncollectable Accounts</t>
  </si>
  <si>
    <t>Miscellaneous Customer Accounts Expenses</t>
  </si>
  <si>
    <t>Administrative and General Expenses</t>
  </si>
  <si>
    <t>Administrative and General Salaries</t>
  </si>
  <si>
    <t>Office Supplies and Other Expenses</t>
  </si>
  <si>
    <t>Insurance Expenses</t>
  </si>
  <si>
    <t>Regulatory Commission Expense</t>
  </si>
  <si>
    <t>Transportation Expense</t>
  </si>
  <si>
    <t>Miscellaneous General Expenses</t>
  </si>
  <si>
    <t>Maintenance of General Plant</t>
  </si>
  <si>
    <t>Outside Services Employed</t>
  </si>
  <si>
    <t>Total Operation Expenses</t>
  </si>
  <si>
    <t>Total Maintenance Expenses</t>
  </si>
  <si>
    <t>Total Customer Accounts Expenses</t>
  </si>
  <si>
    <t>Total Administrative and General Expenses</t>
  </si>
  <si>
    <t>Employee</t>
  </si>
  <si>
    <t>Job Title</t>
  </si>
  <si>
    <t>Employment
Start</t>
  </si>
  <si>
    <t>Reg Hours</t>
  </si>
  <si>
    <t>OT Hours</t>
  </si>
  <si>
    <t>2019 Rate</t>
  </si>
  <si>
    <t>2020 Rate</t>
  </si>
  <si>
    <t>2021 Rate</t>
  </si>
  <si>
    <t>2020 Total</t>
  </si>
  <si>
    <t>Division</t>
  </si>
  <si>
    <t>Type</t>
  </si>
  <si>
    <t>Adjusted
Total</t>
  </si>
  <si>
    <t>W</t>
  </si>
  <si>
    <t>FT</t>
  </si>
  <si>
    <t>Distribution Lineman</t>
  </si>
  <si>
    <t>Distribution Supervisor/Machine Operator</t>
  </si>
  <si>
    <t>PT</t>
  </si>
  <si>
    <t>Meter Reader/Distribution Lineman</t>
  </si>
  <si>
    <t>Office Customer Service</t>
  </si>
  <si>
    <t>Water Treatment Plant Operator</t>
  </si>
  <si>
    <t>Distribution Lineman/Machine Operator</t>
  </si>
  <si>
    <t>Water Treatment Plant Operator/Supervisor</t>
  </si>
  <si>
    <t>Distribution Lineman/Mechanic</t>
  </si>
  <si>
    <t>Administrative Assistant</t>
  </si>
  <si>
    <t xml:space="preserve">Distribution Lineman </t>
  </si>
  <si>
    <t>Office Manager</t>
  </si>
  <si>
    <t>S</t>
  </si>
  <si>
    <t>Manager/Superintendent</t>
  </si>
  <si>
    <t>Wastewater Treatment Plant Operator</t>
  </si>
  <si>
    <t xml:space="preserve">Wastewater Treatment &amp; Collections </t>
  </si>
  <si>
    <t>Wastewater Treatment &amp; Collections Supervisor</t>
  </si>
  <si>
    <t>Wastewater Collections</t>
  </si>
  <si>
    <t xml:space="preserve">Month </t>
  </si>
  <si>
    <t>Water Sales</t>
  </si>
  <si>
    <t>Bills</t>
  </si>
  <si>
    <t>January</t>
  </si>
  <si>
    <t>February</t>
  </si>
  <si>
    <t>March</t>
  </si>
  <si>
    <t>April</t>
  </si>
  <si>
    <t>May</t>
  </si>
  <si>
    <t>June</t>
  </si>
  <si>
    <t>July</t>
  </si>
  <si>
    <t>August</t>
  </si>
  <si>
    <t>September</t>
  </si>
  <si>
    <t>October</t>
  </si>
  <si>
    <t>November</t>
  </si>
  <si>
    <t>December</t>
  </si>
  <si>
    <t>First 2,000 gallons</t>
  </si>
  <si>
    <t>Number of Bills</t>
  </si>
  <si>
    <t>Gallons</t>
  </si>
  <si>
    <t>Month</t>
  </si>
  <si>
    <t>Usage</t>
  </si>
  <si>
    <t>Exceeded Min.</t>
  </si>
  <si>
    <t>Below Min.</t>
  </si>
  <si>
    <t xml:space="preserve">US Penitentary McCreary Prison </t>
  </si>
  <si>
    <t>Over 1,9500,000 gallons</t>
  </si>
  <si>
    <t>Rates</t>
  </si>
  <si>
    <t>Revenue</t>
  </si>
  <si>
    <t>Minimum Bill</t>
  </si>
  <si>
    <t>Per Gallon</t>
  </si>
  <si>
    <t>Next 18,000 gallons</t>
  </si>
  <si>
    <t>Over 20,000 gallons</t>
  </si>
  <si>
    <t>Residential and Non-Residential Meter</t>
  </si>
  <si>
    <t>0 - 2,000</t>
  </si>
  <si>
    <t>Next 18,000</t>
  </si>
  <si>
    <t>Over 20,000</t>
  </si>
  <si>
    <t>Residential and Non-Residential Meters</t>
  </si>
  <si>
    <t>Totals</t>
  </si>
  <si>
    <t>Residential and Non-Residential Meters - Revenue</t>
  </si>
  <si>
    <t>First 1,300,000</t>
  </si>
  <si>
    <t>Over 1,300,000</t>
  </si>
  <si>
    <t>First 1,300,000 gallons</t>
  </si>
  <si>
    <t>Over 1,300,000 gallons</t>
  </si>
  <si>
    <t>Adjusted
Laid Off
Employees</t>
  </si>
  <si>
    <t>Status</t>
  </si>
  <si>
    <t>Position</t>
  </si>
  <si>
    <t>Actual 2020 Wage/Salary</t>
  </si>
  <si>
    <t>Adjusted Wage/Salary</t>
  </si>
  <si>
    <t>Health Plan</t>
  </si>
  <si>
    <t>Health (Monthly)</t>
  </si>
  <si>
    <t>Dental</t>
  </si>
  <si>
    <t>Vision</t>
  </si>
  <si>
    <t>Life</t>
  </si>
  <si>
    <t>Total Insurance
Benefits
Adjusted Period</t>
  </si>
  <si>
    <t>Retirement Contribution</t>
  </si>
  <si>
    <t>FICA Adjusted</t>
  </si>
  <si>
    <t>PSC Allowed
Health Insurance</t>
  </si>
  <si>
    <t>PSC Allowed Dental Insurance</t>
  </si>
  <si>
    <t>Adjusted Wage/Salary
PSC Allocation Rules</t>
  </si>
  <si>
    <t>FICA
PSC Allocation Rules</t>
  </si>
  <si>
    <t>Adjusted</t>
  </si>
  <si>
    <t>W/S</t>
  </si>
  <si>
    <t>Superintendent</t>
  </si>
  <si>
    <t>FAM</t>
  </si>
  <si>
    <t>Office Assistant</t>
  </si>
  <si>
    <t>FAM-SP</t>
  </si>
  <si>
    <t>Distribution</t>
  </si>
  <si>
    <t>SINGLE</t>
  </si>
  <si>
    <t>Customer Service</t>
  </si>
  <si>
    <t>NONE</t>
  </si>
  <si>
    <t>WWTP Operator/Collections</t>
  </si>
  <si>
    <t>WWTP Operator</t>
  </si>
  <si>
    <t>WITH CHILDREN</t>
  </si>
  <si>
    <t>WWTP Supervisor</t>
  </si>
  <si>
    <t>Allocation
To Sewer (%)
(District Method)</t>
  </si>
  <si>
    <t>Total Hours
Adjusted</t>
  </si>
  <si>
    <t>Total Hours
2020</t>
  </si>
  <si>
    <t>Adjusted Wage/Salary Allocated to Sewer
WD Allocation</t>
  </si>
  <si>
    <t>FICA on Adjusted Wage/Salary Allocated to Sewer
WD Allocation</t>
  </si>
  <si>
    <t>Adjusted PSC Allowed Health Insurance Allocated to Sewer
WD Allocation</t>
  </si>
  <si>
    <t>Adjusted PSC Allowed Dental Insurance Allocated to Sewer
WD Allocation</t>
  </si>
  <si>
    <t>Life Insurance Allocated to Sewer
WD Allocation</t>
  </si>
  <si>
    <t>Adjusted Retirement Contribution Allocated to Sewer
WD Allocation</t>
  </si>
  <si>
    <t>Adjusted Fringe Benefits Allocated to Sewer
WD Allocation</t>
  </si>
  <si>
    <t>Adjusted PSC Allowed Health Insurance Allocated to Sewer
PSC Allocation Rules</t>
  </si>
  <si>
    <t>Adjusted PSC Allowed Dental Insurance Allocated to Sewer
PSC Allocation Rules</t>
  </si>
  <si>
    <t>Series 2020(W)</t>
  </si>
  <si>
    <t>Series 2020(S)</t>
  </si>
  <si>
    <t>Series 2012D</t>
  </si>
  <si>
    <t>Series 2012D (W)</t>
  </si>
  <si>
    <t>Series 2012D (S)</t>
  </si>
  <si>
    <t>Series 2020E-Bldg</t>
  </si>
  <si>
    <t>Series 2020E-Refund</t>
  </si>
  <si>
    <t>A20-047</t>
  </si>
  <si>
    <t>Series 2020E-Bldg (S)</t>
  </si>
  <si>
    <t>Series  2020E-Refund (S)</t>
  </si>
  <si>
    <t>Revenue Required from Rates</t>
  </si>
  <si>
    <t>Less: Revenue from Sales at Present Rates</t>
  </si>
  <si>
    <t>No.</t>
  </si>
  <si>
    <t>WTP Operator/Supervisor</t>
  </si>
  <si>
    <t>WTP Operator</t>
  </si>
  <si>
    <t>Line Forman</t>
  </si>
  <si>
    <t>Water Treatment Operator</t>
  </si>
  <si>
    <t>Excluding GM:</t>
  </si>
  <si>
    <t>Allocation
To Sewer (%)
PSC Method</t>
  </si>
  <si>
    <t>Vision Insurance Allocated to Sewer
WD Allocation</t>
  </si>
  <si>
    <t>Vision Insurance Allocated to Sewer
PSC Allocation Rules</t>
  </si>
  <si>
    <t>Life Insurance Allocated to Sewer
PSC Allocation Rules</t>
  </si>
  <si>
    <t>Total Usage</t>
  </si>
  <si>
    <t>Total Number of Bills</t>
  </si>
  <si>
    <t>WWTP/Collections</t>
  </si>
  <si>
    <t>Allocation of adjusted Commissioner Salaries ($27,400) to Sewer Operations based upon percentage of total combined customers (15.45 percent).  Allocation of portion of Superintendent's salary ($26,630.03) based upon allocation rules.</t>
  </si>
  <si>
    <t>Sewer-To-Total</t>
  </si>
  <si>
    <t>Allocation of a portion of Collection Agency Fee expense from water operations.  Allocation is in accordance with allocation rules.</t>
  </si>
  <si>
    <t>Amount</t>
  </si>
  <si>
    <t>Jan</t>
  </si>
  <si>
    <t>Feb</t>
  </si>
  <si>
    <t>Mar</t>
  </si>
  <si>
    <t>Apr</t>
  </si>
  <si>
    <t>Jun</t>
  </si>
  <si>
    <t>Aug</t>
  </si>
  <si>
    <t>Sep</t>
  </si>
  <si>
    <t>Oct</t>
  </si>
  <si>
    <t>Nov</t>
  </si>
  <si>
    <t>Dec</t>
  </si>
  <si>
    <t>Measured Revenues</t>
  </si>
  <si>
    <t>General Journal</t>
  </si>
  <si>
    <t>526 · MISCELLANEOUS SEWAGE REVENUES</t>
  </si>
  <si>
    <t>1/2 cost estimate Bell &amp; Carter Properties</t>
  </si>
  <si>
    <t>1 sewer system Estle Daugherty</t>
  </si>
  <si>
    <t>To record 3 new sewer systems installed All Sports Southern Tier (2)</t>
  </si>
  <si>
    <t>1 sewer tank plus 1 1/2 road bore 25'</t>
  </si>
  <si>
    <t>1 sewer systems David Stephens</t>
  </si>
  <si>
    <t>Inv 519 Bell and Carter Properties</t>
  </si>
  <si>
    <t>1 sewer tap Steven Hayes</t>
  </si>
  <si>
    <t>Rhonda Armijo 1 sewer system</t>
  </si>
  <si>
    <t>Bell &amp; Carter properties</t>
  </si>
  <si>
    <t>Vickey Crawford Inv 522</t>
  </si>
  <si>
    <t>Ledger No.</t>
  </si>
  <si>
    <t>Required Revenue Increase stated as a Percentage of Revenue at Present  Rates</t>
  </si>
  <si>
    <t>Reduced to reflect reclassification of payments for water service to Water Division.
Total Gallons Used: 1,200,000
Test Period Cost: (12 months x $21.98 per month) + (1,176,000 gals x $0.00729 per gal) = $8,836.80</t>
  </si>
  <si>
    <t>Adjusted to reflect allocated portion of legal services, pest control and other services for main office, and communication services.  Reflects reassignment of expenses associated with sewage pretreatment program ($37,452) incorrectly recorded to water operations.  See Rate Calculations Spreadsheet, Adjustment_Contract-MiscExpense.</t>
  </si>
  <si>
    <t>L</t>
  </si>
  <si>
    <t>M</t>
  </si>
  <si>
    <t>Sewer Division paid Water Division for water consumed at wastewater treatment plant.  Usage was metered.  Payments were reported in Office Supplies and Other Expenses (Acct 921). Adjusted amount also reflects increased cost of water resulting from rate adjustment approved on 2/22/2021 (PSC Case No. 2021-00021). Approximately 1,200,000 gallons provided to treatment plant.  Minimum bill includes 2,000 gallons.
Current Cost: (12 months x $22.50 per month) + (1,176,000 gals x $0.00925 per gal) = $11,148</t>
  </si>
  <si>
    <t>Ledger Line</t>
  </si>
  <si>
    <t>Invoice #</t>
  </si>
  <si>
    <t>Vendor</t>
  </si>
  <si>
    <t xml:space="preserve">Memo </t>
  </si>
  <si>
    <t>Nature</t>
  </si>
  <si>
    <t>633 - Contractual Services - Legal</t>
  </si>
  <si>
    <t>Amt Allocated
to Sewer</t>
  </si>
  <si>
    <t>35766</t>
  </si>
  <si>
    <t>Stoll Keenon Ogden PLLC</t>
  </si>
  <si>
    <t>Invoice #920398 General Regulatory Matters</t>
  </si>
  <si>
    <t>General Legal - Allocate Portion to Sewer</t>
  </si>
  <si>
    <t>35947</t>
  </si>
  <si>
    <t>Tim Lavender</t>
  </si>
  <si>
    <t>Legal Services for Dec 2019 &amp; Jan 2020</t>
  </si>
  <si>
    <t>36094</t>
  </si>
  <si>
    <t>Invoice #924488 General Regulatory Matters</t>
  </si>
  <si>
    <t>36448</t>
  </si>
  <si>
    <t>Invoice #928464 General Regulatory Matters</t>
  </si>
  <si>
    <t>36636</t>
  </si>
  <si>
    <t>Invoice #931551 Legal Fees</t>
  </si>
  <si>
    <t>36804</t>
  </si>
  <si>
    <t>Invoice #933684 PSC Legal Professional Services</t>
  </si>
  <si>
    <t>36937</t>
  </si>
  <si>
    <t>Invoice 934818 General Retainer</t>
  </si>
  <si>
    <t>37182</t>
  </si>
  <si>
    <t>Invoice #937388 General Retainer</t>
  </si>
  <si>
    <t>37433</t>
  </si>
  <si>
    <t>Invoice #940275 General Retainer</t>
  </si>
  <si>
    <t>37606</t>
  </si>
  <si>
    <t>Invoice #941224 General Retainer</t>
  </si>
  <si>
    <t>37880</t>
  </si>
  <si>
    <t>Invoice #943199 General Retainer</t>
  </si>
  <si>
    <t>36217</t>
  </si>
  <si>
    <t>Invoice #926311 General Regulatory Matters</t>
  </si>
  <si>
    <t xml:space="preserve">Move from 636 - Contractual Services Other </t>
  </si>
  <si>
    <t>37881</t>
  </si>
  <si>
    <t>Invoice #943205 Preliminary Study to Serve Cumberland Falls SRP</t>
  </si>
  <si>
    <t>Sewer Only</t>
  </si>
  <si>
    <t>37879</t>
  </si>
  <si>
    <t>Invoice #943206 Sanitary Sewer Collection System Extension - Phase 1 Project</t>
  </si>
  <si>
    <t>Sewer Construction - Sewer Only</t>
  </si>
  <si>
    <t>Misclassified to Water; Construction Work In Progress</t>
  </si>
  <si>
    <t>Subtotal</t>
  </si>
  <si>
    <t>636 - Contractual Services - Other
(Main Office Bldg)</t>
  </si>
  <si>
    <t>35727</t>
  </si>
  <si>
    <t>HELTACO LLC Orkin Pest Control</t>
  </si>
  <si>
    <t>Invoice #74689 Pest Prevention at Office</t>
  </si>
  <si>
    <t>Main Office Expense - Allocate Portion to Sewer</t>
  </si>
  <si>
    <t>35901</t>
  </si>
  <si>
    <t>Invoice #75329 Pest Prevention at Office</t>
  </si>
  <si>
    <t>36087</t>
  </si>
  <si>
    <t>Invoice #75974 Pest Prevention at Office</t>
  </si>
  <si>
    <t>36212</t>
  </si>
  <si>
    <t>Invoice #76607 Pest Prevention at Office</t>
  </si>
  <si>
    <t>36449</t>
  </si>
  <si>
    <t>Invoice #77508 Pest Prevention at Office</t>
  </si>
  <si>
    <t>36561</t>
  </si>
  <si>
    <t>Invoice #78176 Pest Prevention at Office</t>
  </si>
  <si>
    <t>36757</t>
  </si>
  <si>
    <t>Invoice #79349 Pest Pervention at Office</t>
  </si>
  <si>
    <t>36932</t>
  </si>
  <si>
    <t>Invoice #80047 Pest Prevention at Office</t>
  </si>
  <si>
    <t>37176</t>
  </si>
  <si>
    <t>Invoice #80703 Pest Prevention at Office</t>
  </si>
  <si>
    <t>37381</t>
  </si>
  <si>
    <t>Invoice #81938 Pest Prevention at Office</t>
  </si>
  <si>
    <t>37655</t>
  </si>
  <si>
    <t>Invoice #82756 Perst Prevention at Office</t>
  </si>
  <si>
    <t>37866</t>
  </si>
  <si>
    <t>Invoice #83395 Pest Prevention at Office</t>
  </si>
  <si>
    <t>37072</t>
  </si>
  <si>
    <t>Michael Boyatt</t>
  </si>
  <si>
    <t>Concrete Work Prefromed at Office</t>
  </si>
  <si>
    <t>636 - Contractual Services - Other
(Debt Collection Services)</t>
  </si>
  <si>
    <t>35684</t>
  </si>
  <si>
    <t>Hillcrest Credit Agency</t>
  </si>
  <si>
    <t>Collection Fees for Delinquent Accounts</t>
  </si>
  <si>
    <t>Common Expense - Allocate Portion to Sewer</t>
  </si>
  <si>
    <t>35853</t>
  </si>
  <si>
    <t>36086</t>
  </si>
  <si>
    <t>Collection of Delinquent Bills</t>
  </si>
  <si>
    <t>36265</t>
  </si>
  <si>
    <t>Collections of Delinquent Bills</t>
  </si>
  <si>
    <t>36410</t>
  </si>
  <si>
    <t>36600</t>
  </si>
  <si>
    <t>36756</t>
  </si>
  <si>
    <t>36976</t>
  </si>
  <si>
    <t>37173</t>
  </si>
  <si>
    <t>37211</t>
  </si>
  <si>
    <t>37380</t>
  </si>
  <si>
    <t>37609</t>
  </si>
  <si>
    <t>37873</t>
  </si>
  <si>
    <t>636 - Contractual Services - Other
(Communication Services)</t>
  </si>
  <si>
    <t>36684</t>
  </si>
  <si>
    <t>in.Mode</t>
  </si>
  <si>
    <t>Invoice #1082 Marketing Strategy (PR, Social)</t>
  </si>
  <si>
    <t>37036</t>
  </si>
  <si>
    <t>-MULTIPLE-</t>
  </si>
  <si>
    <t>37222</t>
  </si>
  <si>
    <t>Invoice #1100 Marketing Strategy, Facebook Ads</t>
  </si>
  <si>
    <t>37516</t>
  </si>
  <si>
    <t>Invoice #1107 Marketing for October 2020</t>
  </si>
  <si>
    <t>37551</t>
  </si>
  <si>
    <t>Invoice #1111 Marketing Stategy, Facebook Ads</t>
  </si>
  <si>
    <t>37658</t>
  </si>
  <si>
    <t>Invoice #1111 Marketing Strategy, Facebook Ads</t>
  </si>
  <si>
    <t>37766</t>
  </si>
  <si>
    <t>Invoice #1119 December 2020 Services, Facebook Ads</t>
  </si>
  <si>
    <t>636 - Contractual Services - Billing/Mailing</t>
  </si>
  <si>
    <t>35678</t>
  </si>
  <si>
    <t>Peregrine Corporation</t>
  </si>
  <si>
    <t>Invoice #382060 December 2019 Utility Bills, Printing and Shipping (6,208 Bills)</t>
  </si>
  <si>
    <t>35854</t>
  </si>
  <si>
    <t>Invoice #386317 January 2020 Billing</t>
  </si>
  <si>
    <t>36003</t>
  </si>
  <si>
    <t>Invoice #389071 February 2020 Utility Billing</t>
  </si>
  <si>
    <t>36219</t>
  </si>
  <si>
    <t>Invoice #392877 March 2020 Billing</t>
  </si>
  <si>
    <t>36370</t>
  </si>
  <si>
    <t>Invoice #394754 Printing and Mailing of April 2020 Water BIlls</t>
  </si>
  <si>
    <t>36518</t>
  </si>
  <si>
    <t>Invoice #397588 Utility Bill Printing, Inserting, and Mailing (May 2020 Billing)</t>
  </si>
  <si>
    <t>36674</t>
  </si>
  <si>
    <t>Invoice #400278 Printing, Folding, Stuffing, Mailing June 2020 Bills</t>
  </si>
  <si>
    <t>36897</t>
  </si>
  <si>
    <t>Invoice #403300 Printing, Processing, and Mailing of July 2020 Billing</t>
  </si>
  <si>
    <t>37135</t>
  </si>
  <si>
    <t>Invoice #406417 Printing, Folding, Inserting, Mailing Month Bills</t>
  </si>
  <si>
    <t>37334</t>
  </si>
  <si>
    <t>Invoice #409617 Printed, Folded, Inserted, and Mailed September 2020 Bills</t>
  </si>
  <si>
    <t>37548</t>
  </si>
  <si>
    <t>Invoice #412812 Printing, Mailing Utility Bills</t>
  </si>
  <si>
    <t>37608</t>
  </si>
  <si>
    <t>Invoice #413597 Billing Inserts (October 2020 Billing)</t>
  </si>
  <si>
    <t>37803</t>
  </si>
  <si>
    <t>Invoice #416142 Printing, Folding, Inserting and Mailing of November 2020 Utility Bills</t>
  </si>
  <si>
    <t>636 - Contractual Services - Other
(Related to Sewer Pretreatement)</t>
  </si>
  <si>
    <t>35670</t>
  </si>
  <si>
    <t>Hall Environmental Consultants, LLc</t>
  </si>
  <si>
    <t>Invoice #120219-62 SIU Inspections &amp; General Pretreatment Consulting</t>
  </si>
  <si>
    <t>Sewer Only - Move to Sewer</t>
  </si>
  <si>
    <t>35671</t>
  </si>
  <si>
    <t>Invoice #010220-55 General Pretreatment Consulting, Pretreatment Monitoring, Lab Costs</t>
  </si>
  <si>
    <t>35997</t>
  </si>
  <si>
    <t>36229</t>
  </si>
  <si>
    <t>36373</t>
  </si>
  <si>
    <t>36560</t>
  </si>
  <si>
    <t>36712</t>
  </si>
  <si>
    <t>36903</t>
  </si>
  <si>
    <t>36978</t>
  </si>
  <si>
    <t>37128</t>
  </si>
  <si>
    <t>Invoice #090120-42 General Pretreatment Consulting, Monitoring, Lab Costs</t>
  </si>
  <si>
    <t>37340</t>
  </si>
  <si>
    <t>Invoice #10120-57 Fibrotex Monitoring</t>
  </si>
  <si>
    <t>37569</t>
  </si>
  <si>
    <t>37813</t>
  </si>
  <si>
    <t>Invoice #120120-60 Fibrotex Monitoring</t>
  </si>
  <si>
    <t>TOTAL ADJUSMTMENTS FOR CONTRACTUAL SERVICES</t>
  </si>
  <si>
    <t>Total Adjustment</t>
  </si>
  <si>
    <t>660 - Advertising Expenses</t>
  </si>
  <si>
    <t>675.22 - Miscellaneous Expenses - Water &amp; Sewer</t>
  </si>
  <si>
    <t>675 - Miscellaneous Expenses Other</t>
  </si>
  <si>
    <t>35631</t>
  </si>
  <si>
    <t>PHI Cares</t>
  </si>
  <si>
    <t>(22) Renewal Forms @ $30.00 per Employee (Group Rate)</t>
  </si>
  <si>
    <t>Allocate Portion of Total PHI to Sewer (.23 x $840 = $174)</t>
  </si>
  <si>
    <t>36896</t>
  </si>
  <si>
    <t>Membership Dues for Jeremiah Jones</t>
  </si>
  <si>
    <t>37035</t>
  </si>
  <si>
    <t>Membership for William J King</t>
  </si>
  <si>
    <t>37336</t>
  </si>
  <si>
    <t>Membership Enrollment (Devon Trey Phillips)</t>
  </si>
  <si>
    <t>35680</t>
  </si>
  <si>
    <t>Kentucky Rural Water Association, Inc</t>
  </si>
  <si>
    <t>Invoice #26220 2020 Compliance Check</t>
  </si>
  <si>
    <t>35691</t>
  </si>
  <si>
    <t>Invoice #26433 Management Conference Attendee Fees</t>
  </si>
  <si>
    <t>35728</t>
  </si>
  <si>
    <t>Invoice #26529 Conference Attendee Fee</t>
  </si>
  <si>
    <t>37429</t>
  </si>
  <si>
    <t>Total Adjustments to Misc Expenses (including Advertising)</t>
  </si>
  <si>
    <t>N</t>
  </si>
  <si>
    <t xml:space="preserve">During test period, assessment for maintenance  of PSC based upon combined operations' revenues.  Water operations paid full amount.  Adjustment reflects assessment based upon sewer operations' adjusted test period revenues. </t>
  </si>
  <si>
    <t>Merit Pay
2020</t>
  </si>
  <si>
    <t>Merit Pay
2021</t>
  </si>
  <si>
    <t>Reassigned the wages of Employees No. 21, No. 30 (50%), No. 28 (50%), and No. 33 (50%) from Administrative and General Salaries to reflect nature of employees’ job duties.  All employee wages are adjusted to reflect current wage rates.  
All employees received wage increases effective 1/1/2021.  Only wages/salaries of persons employed as of 6/30/2021 considered.  Employees are assumed to receive merit payment of $500, but not special merit payment  awarded in test period. All wages/salaries are allocated in accordance with allocation rules. See Rate Calculations Spreadsheet, Wages/Benefits Tab. 
Adjusted to reflect the removal of $75,000 related to labor and material expenses for sewer connections and extensions (capital expenditures) performed during the test period.</t>
  </si>
  <si>
    <t>Reclassified Miscellaneous Sewerage Revenues as Miscellaneous Operating Revenues - $94,967.  Removed $75,200 in Sewer Tap Fees and contributions to capital for sewer line extensions. 
During test period, Utility's water operations recorded payments of $34,452.75 from Fibrotec to cover testing and other costs related to the Utility’s Industrial User Permit Program for its sewer operations.  These payments are more properly recorded as revenue to the Utility’s sewer operations.</t>
  </si>
  <si>
    <t>Revenues ($94,967) misclassified as Miscellaneous Sewerage Revenues and instead should be classified as Miscellaneous Operating Revenues.
During the test period, Utility's water operations recorded $4,257.43 of revenue from Bad Debt Collection.  A portion of this amount allocated to sewer operations based upon number of customers in each division. ($2,257.43 x .1545 = $657.77)
Total Adjustment = $(94,967) + $34,452.75 + 657.77 = $(59,856.48)</t>
  </si>
  <si>
    <t>Excluding KIA Loan</t>
  </si>
  <si>
    <t>Portion of depreciation expense related to the utility main office building reassigned from water operations to sewer operations ($1,775.29) from water operations.
Depreciation associated with Items incorrectly classified as expenses instead of capital expenditures:
Sewer taps - $75,200 - $21,489 = $53,711 - 10 years SL - $5,371.10
Security Camera - $1,158 - 10 years SL - $115.80
Aluma Utility Trailer with Pumping Unit - $5,900 - 10 years SL - $590.00
Total Adjustment = $1,775.29 + $5,371.10 +  $115.80 + $590.00 = $7,852.19</t>
  </si>
  <si>
    <t>Employee insurance expenses (health, life, vision and dental) removed and reported in Employee Pension and Benefits.  
Cost of workers compensation insurance allocated between water and sewer operations based upon the adjusted payroll of each division (76.97 percent – water; 23.03 percent – sewer).  Cost of general liability insurance allocated between operations based upon the adjusted test period revenues of each operation. Combined operating revenues = $5,508,725.25.  Sewer operating revenues = $1,362,848.22.  Sewer operating revenues/combined operating revenues =0.2474
Workers Compensation insurance cost to Sewer: 0.2303 x $12,986.64 = $2,990.82
General Liability Insurance cost to Sewer: 0.2474 x $35,943.58 = $8,892.44
Total Adjustment = ($2,990.82 + $8,892.44) - $66,947.87 = $(55,064.61)</t>
  </si>
  <si>
    <t>All Users Except US Penitentiary-McCreary</t>
  </si>
  <si>
    <t>All Users Except US Penitentiary-McCreary - Revenue</t>
  </si>
  <si>
    <t xml:space="preserve">US Penitentiary McCreary Prison </t>
  </si>
  <si>
    <t>Revenues adjusted to reflect the results of the billing analysis.</t>
  </si>
  <si>
    <t>See Attachment OME.</t>
  </si>
  <si>
    <t>Payroll taxes adjusted to reflect increased wages ($21,342.61 - 17,521.46 = $3,821.15).  See Rate Calculations Spreadsheet, Wages-Benefits Tab.</t>
  </si>
  <si>
    <t xml:space="preserve">Reassigned the wages of Employees No. 28 (50%), No. 29, No. 30 (50%), No.31, and No. 33 (50%) from Administrative and General Salaries to reflect nature of employees’ job duties.  All employee wages are adjusted to reflect current wage rates.  
All employees received wage increases effective 1/1/2021.  Only wages/salaries of persons employed as of 6/30/2021 considered.  Employees are assumed to receive merit payment of $500, but not special merit payment  awarded in test period.  All wages/salaries are allocated in accordance with allocation rules. See Rate Calculations Spreadsheet, Wage-Benefits Tab. </t>
  </si>
  <si>
    <t>Reflects allocation of a portion of meter readers’ wages (Employees No. 6 and No. 7) to sewer operations to reflect benefit received from sewer operations from meter reading and the expense of reading meters.  All employee wages are adjusted to reflect current wage rates.  All employees received wage increases effective 1/1/2021.  Only wages/salaries of persons employed as of 6/30/2021 considered.  Employees are assumed to receive merit payment of $500, but not special merit payment awarded in test period.  All wages/salaries are allocated in accordance with allocation rules. See Rate Calculations Spreadsheet, Wage-Benefits Tab.</t>
  </si>
  <si>
    <t>Reflects allocation of portion of customer service personnel (Employees No. 8, No. 9, No. 12, and No. 18) to sewer operations.  All employee wages are adjusted to reflect current wage rates.  All employees received wage increases effective 1/1/2021.  Only wages/salaries of persons employed as of 6/30/2021 considered.  All wages/salaries are allocated in accordance with allocation rules. See Rate Calculations Spreadsheet, Wage-Benefits Tab.
A portion of the mailing expense for customer bills  ($5,759.40) allocated to sewer operations in accordance with allocation rules.</t>
  </si>
  <si>
    <t>Reflects reassignment of wages of non-administrative and general services employees to other areas; adjustment of Employees No 19, No. 22, and No. 23 (Superintendent) to reflect current wages. Wage increases effective 1/1/2021.    Employees (except Superintendent) are assumed to receive merit payment of $500, but not special merit payment awarded in test period.   All wages/salaries are allocated in accordance with allocation rules. See Rate Calculations Spreadsheet, Wage-Benefits Tab.</t>
  </si>
  <si>
    <t xml:space="preserve">Employee Benefits adjusted to reflect current cost of health, dental, and vision insurance, the allocation of certain employee's benefits to Sewer Division, the PSC limitations on the recovery of employer-paid health insurance and dental insurance premiums.  Retirement payments reflect increased wages and increase in CERS employer contribution rate from 24.06% to 26.95%. Test period GASB 68 Expense and OPEB Benefits Expense, which were included in expense level report were removed.  See Rate Calculations Spreadsheet, Wages-Benefits Tab.
Health Insurance (Adjusted/PSC Limits Applied)                        $  41,033.50
Plus:  Dental Insurance (Adjusted/PSC Limits Applied)            $     1,042.74  
            Vision Insurance (Adjusted)                                                     $         791.07
            Life Insurance (Adjusted)                                                          $         362.03
            Retirement Contribution to CERS (Adjusted)                   $   73,098.58
            Uniforms                                                                                           $     2,113.85
Total Employee Benefits and Pensions (Adjusted):                   $118,441.76
Minus: Test-Period Employee and Benefits:                                 $109,733.66
Adjustment:                                                                                                 $    8,708.10
Application of the PSC limitations on  employer-paid health insurance and dental insurance premiums does not reflect McCreary County Water District’s agreement with or acceptance of these limitations.  </t>
  </si>
  <si>
    <t>Removed Refund of Sewer Tap Fee ($3,600) as fee was contribution to capital.  Removed $5,900 related to purchase of Aluma Utility Trailer with Pumping Unit (capital expenditure).  Allocation of portion of Miscellaneous Expenses and Advertising Expenses originally allocated to Water Operations ($2,082.29).  Allocation of portion electric power expense for Main Office Building ($1,836.45).  Allocations made in accordance with allocation rules.
Total Adjustment: $2,082.29 + $1,836.45 - ($3,600 + $5,900) = ($5,581,26)</t>
  </si>
  <si>
    <t>Scenario:</t>
  </si>
  <si>
    <t>Revenue Required From Rates:</t>
  </si>
  <si>
    <t>Revenue Increase:</t>
  </si>
  <si>
    <t>211,617--$70,539</t>
  </si>
  <si>
    <t>Rate Increase:</t>
  </si>
  <si>
    <t>211,617--$141,078</t>
  </si>
  <si>
    <t>5.458-10.92%</t>
  </si>
  <si>
    <t>5.458-16.38%</t>
  </si>
  <si>
    <t>211,617-211,617</t>
  </si>
  <si>
    <t>Note:  District no longer employs employees in red.</t>
  </si>
  <si>
    <t>Party</t>
  </si>
  <si>
    <t>Date</t>
  </si>
  <si>
    <t>Check No.</t>
  </si>
  <si>
    <t>Purpose</t>
  </si>
  <si>
    <t>Sewer</t>
  </si>
  <si>
    <t>Repair and Service Solutions</t>
  </si>
  <si>
    <t>Pump Repair</t>
  </si>
  <si>
    <t>Water</t>
  </si>
  <si>
    <t>Billy Trammell</t>
  </si>
  <si>
    <t>Track Hoe Work</t>
  </si>
  <si>
    <t>Jared Miller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</si>
</sst>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 #,##0_);_(* \(#,##0\);_(* &quot;-&quot;??_);_(@_)"/>
    <numFmt numFmtId="165" formatCode="_(&quot;$&quot;* #,##0.00000_);_(&quot;$&quot;* \(#,##0.00000\);_(&quot;$&quot;* &quot;-&quot;??_);_(@_)"/>
    <numFmt numFmtId="166" formatCode="&quot;$&quot;#,##0.00"/>
    <numFmt numFmtId="167" formatCode="0.00000"/>
    <numFmt numFmtId="168" formatCode="mm/dd/yyyy"/>
  </numFmts>
  <fonts count="8"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sz val="8"/>
      <color rgb="FF000000"/>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2" fillId="0" borderId="0"/>
    <xf numFmtId="0" fontId="2" fillId="0" borderId="0"/>
    <xf numFmtId="43" fontId="3" fillId="0" borderId="0" applyFont="0" applyFill="0" applyBorder="0" applyAlignment="0" applyProtection="0"/>
    <xf numFmtId="44" fontId="3" fillId="0" borderId="0" applyFont="0" applyFill="0" applyBorder="0" applyAlignment="0" applyProtection="0"/>
  </cellStyleXfs>
  <cellXfs count="174">
    <xf numFmtId="0" fontId="0" fillId="0" borderId="0" xfId="0"/>
    <xf numFmtId="0" fontId="0" fillId="0" borderId="0" xfId="0" applyAlignment="1">
      <alignment horizontal="center"/>
    </xf>
    <xf numFmtId="0" fontId="1" fillId="0" borderId="0" xfId="0" applyFont="1"/>
    <xf numFmtId="0" fontId="0" fillId="0" borderId="0" xfId="0" applyAlignment="1">
      <alignment horizontal="left" indent="2"/>
    </xf>
    <xf numFmtId="0" fontId="0" fillId="0" borderId="0" xfId="0" applyAlignment="1">
      <alignment horizontal="left" indent="5"/>
    </xf>
    <xf numFmtId="0" fontId="0" fillId="0" borderId="0" xfId="0" applyAlignment="1">
      <alignment horizontal="left" indent="4"/>
    </xf>
    <xf numFmtId="0" fontId="1" fillId="0" borderId="0" xfId="0" applyFont="1" applyAlignment="1">
      <alignment horizontal="center" vertical="center"/>
    </xf>
    <xf numFmtId="0" fontId="0" fillId="0" borderId="0" xfId="0" applyAlignment="1">
      <alignment horizontal="center" vertical="center"/>
    </xf>
    <xf numFmtId="1" fontId="0" fillId="0" borderId="0" xfId="0" applyNumberFormat="1"/>
    <xf numFmtId="0" fontId="0" fillId="0" borderId="0" xfId="0"/>
    <xf numFmtId="0" fontId="0" fillId="0" borderId="0" xfId="0" applyAlignment="1">
      <alignment horizontal="left" indent="4"/>
    </xf>
    <xf numFmtId="0" fontId="0" fillId="0" borderId="0" xfId="0" applyAlignment="1">
      <alignment wrapText="1"/>
    </xf>
    <xf numFmtId="1" fontId="0" fillId="0" borderId="0" xfId="0" applyNumberFormat="1" applyAlignment="1">
      <alignment horizontal="center"/>
    </xf>
    <xf numFmtId="1" fontId="1" fillId="0" borderId="0" xfId="0" applyNumberFormat="1" applyFont="1" applyAlignment="1">
      <alignment horizontal="center"/>
    </xf>
    <xf numFmtId="1" fontId="0" fillId="0" borderId="0" xfId="0" applyNumberFormat="1" applyAlignment="1"/>
    <xf numFmtId="1" fontId="0" fillId="0" borderId="0" xfId="0" applyNumberFormat="1" applyAlignment="1">
      <alignment horizontal="right" vertical="center"/>
    </xf>
    <xf numFmtId="2" fontId="1" fillId="0" borderId="0" xfId="0" applyNumberFormat="1" applyFont="1"/>
    <xf numFmtId="44" fontId="0" fillId="0" borderId="0" xfId="4" applyFont="1"/>
    <xf numFmtId="0" fontId="1" fillId="0" borderId="0" xfId="0" applyFont="1" applyAlignment="1">
      <alignment horizontal="center" wrapText="1"/>
    </xf>
    <xf numFmtId="43" fontId="0" fillId="0" borderId="0" xfId="0" applyNumberFormat="1"/>
    <xf numFmtId="0" fontId="0" fillId="0" borderId="0" xfId="0"/>
    <xf numFmtId="0" fontId="5" fillId="0" borderId="0" xfId="0" applyFont="1"/>
    <xf numFmtId="0" fontId="1" fillId="0" borderId="4"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xf numFmtId="0" fontId="1" fillId="0" borderId="11" xfId="0" applyFont="1" applyBorder="1" applyAlignment="1">
      <alignment horizontal="center"/>
    </xf>
    <xf numFmtId="0" fontId="1" fillId="0" borderId="12" xfId="0" applyFont="1" applyBorder="1" applyAlignment="1">
      <alignment horizontal="center"/>
    </xf>
    <xf numFmtId="16" fontId="0" fillId="0" borderId="0" xfId="0" applyNumberFormat="1"/>
    <xf numFmtId="3" fontId="0" fillId="0" borderId="8" xfId="0" applyNumberFormat="1" applyBorder="1"/>
    <xf numFmtId="3" fontId="0" fillId="0" borderId="4" xfId="0" applyNumberFormat="1" applyBorder="1"/>
    <xf numFmtId="3" fontId="0" fillId="0" borderId="13" xfId="0" applyNumberFormat="1" applyBorder="1"/>
    <xf numFmtId="3" fontId="0" fillId="0" borderId="0" xfId="0" applyNumberFormat="1" applyBorder="1"/>
    <xf numFmtId="0" fontId="0" fillId="0" borderId="8" xfId="0" applyBorder="1"/>
    <xf numFmtId="0" fontId="0" fillId="0" borderId="13" xfId="0" applyBorder="1"/>
    <xf numFmtId="0" fontId="0" fillId="0" borderId="0" xfId="0" applyBorder="1"/>
    <xf numFmtId="3" fontId="0" fillId="0" borderId="11" xfId="0" applyNumberFormat="1" applyBorder="1"/>
    <xf numFmtId="0" fontId="0" fillId="0" borderId="11" xfId="0" applyBorder="1"/>
    <xf numFmtId="43" fontId="0" fillId="0" borderId="0" xfId="3" applyFont="1"/>
    <xf numFmtId="0" fontId="0" fillId="0" borderId="0" xfId="0" applyAlignment="1">
      <alignment horizontal="center"/>
    </xf>
    <xf numFmtId="0" fontId="1" fillId="0" borderId="0" xfId="0" applyFont="1" applyAlignment="1">
      <alignment horizontal="left"/>
    </xf>
    <xf numFmtId="0" fontId="0" fillId="0" borderId="0" xfId="0" applyFont="1"/>
    <xf numFmtId="0" fontId="0" fillId="0" borderId="0" xfId="0" applyFont="1" applyAlignment="1">
      <alignment horizontal="left" indent="2"/>
    </xf>
    <xf numFmtId="0" fontId="0" fillId="0" borderId="0" xfId="0" applyFont="1" applyAlignment="1">
      <alignment horizontal="left" indent="4"/>
    </xf>
    <xf numFmtId="164" fontId="0" fillId="0" borderId="0" xfId="3" applyNumberFormat="1" applyFont="1"/>
    <xf numFmtId="164" fontId="0" fillId="0" borderId="0" xfId="0" applyNumberFormat="1"/>
    <xf numFmtId="8" fontId="0" fillId="0" borderId="0" xfId="0" applyNumberFormat="1"/>
    <xf numFmtId="165" fontId="0" fillId="0" borderId="0" xfId="4" applyNumberFormat="1" applyFont="1"/>
    <xf numFmtId="44" fontId="0" fillId="0" borderId="0" xfId="0" applyNumberFormat="1"/>
    <xf numFmtId="164" fontId="0" fillId="0" borderId="0" xfId="3" applyNumberFormat="1" applyFont="1" applyAlignment="1">
      <alignment horizontal="right"/>
    </xf>
    <xf numFmtId="0" fontId="0" fillId="0" borderId="0" xfId="0" applyAlignment="1">
      <alignment vertical="center"/>
    </xf>
    <xf numFmtId="0" fontId="0" fillId="0" borderId="0" xfId="3" applyNumberFormat="1" applyFont="1"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44" fontId="1" fillId="0" borderId="0" xfId="4" applyNumberFormat="1" applyFont="1" applyAlignment="1">
      <alignment horizontal="center" vertical="center"/>
    </xf>
    <xf numFmtId="44" fontId="0" fillId="0" borderId="0" xfId="4" applyNumberFormat="1" applyFont="1"/>
    <xf numFmtId="0" fontId="0" fillId="3" borderId="0" xfId="0" applyFill="1" applyAlignment="1">
      <alignment horizontal="center"/>
    </xf>
    <xf numFmtId="0" fontId="0" fillId="3" borderId="0" xfId="0" applyFill="1"/>
    <xf numFmtId="44" fontId="0" fillId="3" borderId="0" xfId="4" applyNumberFormat="1" applyFont="1" applyFill="1"/>
    <xf numFmtId="44" fontId="0" fillId="3" borderId="0" xfId="4" applyFont="1" applyFill="1"/>
    <xf numFmtId="44" fontId="0" fillId="0" borderId="0" xfId="4" applyNumberFormat="1" applyFont="1" applyFill="1"/>
    <xf numFmtId="44" fontId="1" fillId="0" borderId="0" xfId="4" applyFont="1" applyAlignment="1">
      <alignment horizontal="center" vertical="center"/>
    </xf>
    <xf numFmtId="44" fontId="0" fillId="0" borderId="0" xfId="4" applyFont="1" applyAlignment="1">
      <alignment horizontal="center" vertical="center"/>
    </xf>
    <xf numFmtId="44" fontId="0" fillId="0" borderId="0" xfId="4" applyFont="1" applyAlignment="1">
      <alignment horizontal="right" vertical="center"/>
    </xf>
    <xf numFmtId="44" fontId="0" fillId="0" borderId="0" xfId="0" applyNumberFormat="1" applyFont="1" applyAlignment="1">
      <alignment horizontal="center" vertical="center"/>
    </xf>
    <xf numFmtId="44" fontId="0" fillId="0" borderId="0" xfId="0" applyNumberFormat="1" applyAlignment="1">
      <alignment wrapText="1"/>
    </xf>
    <xf numFmtId="8" fontId="0" fillId="0" borderId="0" xfId="4" applyNumberFormat="1" applyFont="1" applyAlignment="1">
      <alignment horizontal="right" vertical="center"/>
    </xf>
    <xf numFmtId="0" fontId="0" fillId="4" borderId="0" xfId="0" applyFill="1" applyAlignment="1">
      <alignment horizontal="center"/>
    </xf>
    <xf numFmtId="0" fontId="0" fillId="4" borderId="0" xfId="0" applyFill="1" applyAlignment="1">
      <alignment horizontal="center" vertical="center"/>
    </xf>
    <xf numFmtId="0" fontId="0" fillId="4" borderId="0" xfId="0" applyFill="1"/>
    <xf numFmtId="44" fontId="0" fillId="4" borderId="0" xfId="4" applyFont="1" applyFill="1"/>
    <xf numFmtId="44" fontId="0" fillId="4" borderId="0" xfId="4" applyFont="1" applyFill="1" applyAlignment="1">
      <alignment horizontal="center" vertical="center"/>
    </xf>
    <xf numFmtId="44" fontId="0" fillId="4" borderId="0" xfId="4" applyFont="1" applyFill="1" applyAlignment="1">
      <alignment horizontal="right" vertical="center"/>
    </xf>
    <xf numFmtId="44" fontId="0" fillId="4" borderId="0" xfId="0" applyNumberFormat="1" applyFont="1" applyFill="1" applyAlignment="1">
      <alignment horizontal="center" vertical="center"/>
    </xf>
    <xf numFmtId="44" fontId="0" fillId="4" borderId="0" xfId="0" applyNumberFormat="1" applyFill="1"/>
    <xf numFmtId="44" fontId="0" fillId="4" borderId="0" xfId="0" applyNumberFormat="1" applyFill="1" applyAlignment="1">
      <alignment wrapText="1"/>
    </xf>
    <xf numFmtId="0" fontId="0" fillId="0" borderId="0" xfId="0" applyFill="1"/>
    <xf numFmtId="44" fontId="1" fillId="0" borderId="0" xfId="0" applyNumberFormat="1" applyFont="1" applyAlignment="1">
      <alignment horizontal="center" vertical="center"/>
    </xf>
    <xf numFmtId="44" fontId="0" fillId="0" borderId="0" xfId="4" applyFont="1" applyAlignment="1">
      <alignment horizontal="right"/>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xf numFmtId="0" fontId="1" fillId="0" borderId="0" xfId="0" applyFont="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164" fontId="0" fillId="0" borderId="8" xfId="3" applyNumberFormat="1" applyFont="1" applyBorder="1"/>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wrapText="1"/>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2" fontId="0" fillId="0" borderId="0" xfId="4" applyNumberFormat="1" applyFont="1" applyAlignment="1">
      <alignment horizontal="center"/>
    </xf>
    <xf numFmtId="0" fontId="0" fillId="0" borderId="0" xfId="0" applyFill="1" applyAlignment="1">
      <alignment horizontal="center"/>
    </xf>
    <xf numFmtId="44" fontId="0" fillId="0" borderId="0" xfId="4" applyFont="1" applyFill="1"/>
    <xf numFmtId="0" fontId="0" fillId="0" borderId="0" xfId="0" applyAlignment="1">
      <alignment horizontal="left" vertical="center"/>
    </xf>
    <xf numFmtId="0" fontId="0" fillId="0" borderId="0" xfId="0" applyAlignment="1">
      <alignment horizontal="right"/>
    </xf>
    <xf numFmtId="164" fontId="0" fillId="0" borderId="0" xfId="3" applyNumberFormat="1" applyFont="1" applyFill="1"/>
    <xf numFmtId="0" fontId="0" fillId="0" borderId="0" xfId="0" applyFill="1" applyAlignment="1">
      <alignment vertical="center" wrapText="1"/>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wrapText="1"/>
    </xf>
    <xf numFmtId="2" fontId="0" fillId="0" borderId="0" xfId="0" applyNumberFormat="1" applyAlignment="1"/>
    <xf numFmtId="0" fontId="0" fillId="0" borderId="0" xfId="0" applyAlignment="1">
      <alignment vertical="center" wrapText="1"/>
    </xf>
    <xf numFmtId="164" fontId="1" fillId="0" borderId="0" xfId="3" applyNumberFormat="1"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14" fontId="0" fillId="0" borderId="0" xfId="0" applyNumberFormat="1"/>
    <xf numFmtId="0" fontId="0" fillId="2" borderId="0" xfId="0" applyFill="1"/>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4" fontId="0" fillId="0" borderId="0" xfId="0" applyNumberFormat="1"/>
    <xf numFmtId="0" fontId="0" fillId="2" borderId="0" xfId="0" applyFill="1" applyAlignment="1">
      <alignment wrapText="1"/>
    </xf>
    <xf numFmtId="2" fontId="0" fillId="2" borderId="0" xfId="0" applyNumberFormat="1" applyFill="1"/>
    <xf numFmtId="44" fontId="0" fillId="2" borderId="0" xfId="4" applyFont="1" applyFill="1"/>
    <xf numFmtId="0" fontId="0" fillId="0" borderId="0" xfId="0" applyFill="1" applyAlignment="1">
      <alignment wrapText="1"/>
    </xf>
    <xf numFmtId="2" fontId="0" fillId="0" borderId="0" xfId="0" applyNumberFormat="1" applyFill="1"/>
    <xf numFmtId="166" fontId="0" fillId="0" borderId="0" xfId="0" applyNumberFormat="1"/>
    <xf numFmtId="49" fontId="6" fillId="0" borderId="0" xfId="0" applyNumberFormat="1" applyFont="1"/>
    <xf numFmtId="49" fontId="7" fillId="0" borderId="0" xfId="0" applyNumberFormat="1" applyFont="1"/>
    <xf numFmtId="44" fontId="0" fillId="0" borderId="0" xfId="0" applyNumberFormat="1" applyFill="1"/>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44" fontId="1" fillId="0" borderId="0" xfId="4" applyFont="1" applyAlignment="1">
      <alignment horizontal="center" vertical="center" wrapText="1"/>
    </xf>
    <xf numFmtId="2" fontId="0" fillId="0" borderId="0" xfId="4" applyNumberFormat="1" applyFont="1"/>
    <xf numFmtId="2" fontId="0" fillId="3" borderId="0" xfId="4" applyNumberFormat="1" applyFont="1" applyFill="1"/>
    <xf numFmtId="2" fontId="0" fillId="0" borderId="0" xfId="0" applyNumberFormat="1" applyAlignment="1">
      <alignment horizontal="right" vertical="center"/>
    </xf>
    <xf numFmtId="2" fontId="0" fillId="0" borderId="0" xfId="0" applyNumberFormat="1" applyAlignment="1">
      <alignment horizontal="right"/>
    </xf>
    <xf numFmtId="2" fontId="0" fillId="0" borderId="0" xfId="0" applyNumberFormat="1" applyAlignment="1">
      <alignment vertical="center"/>
    </xf>
    <xf numFmtId="0" fontId="0" fillId="0" borderId="0" xfId="0" applyFont="1" applyAlignment="1">
      <alignment horizontal="left" vertical="center"/>
    </xf>
    <xf numFmtId="165" fontId="0" fillId="0" borderId="0" xfId="4" applyNumberFormat="1" applyFont="1" applyAlignment="1">
      <alignment horizontal="right"/>
    </xf>
    <xf numFmtId="0" fontId="0" fillId="0" borderId="4" xfId="0" applyBorder="1"/>
    <xf numFmtId="43" fontId="0" fillId="0" borderId="8" xfId="0" applyNumberFormat="1" applyBorder="1"/>
    <xf numFmtId="167" fontId="0" fillId="0" borderId="0" xfId="0" applyNumberFormat="1" applyAlignment="1">
      <alignment horizontal="right"/>
    </xf>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9" fontId="0" fillId="0" borderId="0" xfId="0" applyNumberFormat="1"/>
    <xf numFmtId="10" fontId="0" fillId="0" borderId="0" xfId="0" applyNumberFormat="1"/>
    <xf numFmtId="0" fontId="0" fillId="6" borderId="0" xfId="0" applyFill="1"/>
    <xf numFmtId="14" fontId="0" fillId="0" borderId="0" xfId="0" applyNumberFormat="1" applyFill="1"/>
    <xf numFmtId="0" fontId="0" fillId="0" borderId="0" xfId="0" applyFill="1" applyAlignment="1">
      <alignment horizontal="center" vertical="center"/>
    </xf>
    <xf numFmtId="168" fontId="1" fillId="0" borderId="0" xfId="0" applyNumberFormat="1" applyFont="1" applyAlignment="1">
      <alignment horizontal="center" vertical="center"/>
    </xf>
    <xf numFmtId="168" fontId="0" fillId="0" borderId="0" xfId="0" applyNumberFormat="1" applyAlignment="1">
      <alignment horizontal="center"/>
    </xf>
    <xf numFmtId="0" fontId="1"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164" fontId="1" fillId="0" borderId="0" xfId="0" applyNumberFormat="1" applyFont="1" applyAlignment="1">
      <alignment horizontal="center"/>
    </xf>
    <xf numFmtId="0" fontId="0" fillId="0" borderId="0" xfId="0" applyAlignment="1">
      <alignment horizontal="left"/>
    </xf>
    <xf numFmtId="0" fontId="1" fillId="0" borderId="0" xfId="0" applyFont="1" applyAlignment="1">
      <alignment horizontal="center" vertical="center" wrapText="1"/>
    </xf>
    <xf numFmtId="44" fontId="1" fillId="0" borderId="0" xfId="4" applyFont="1" applyAlignment="1">
      <alignment horizontal="center" vertical="center" wrapText="1"/>
    </xf>
    <xf numFmtId="0" fontId="1" fillId="5" borderId="0" xfId="0" applyFont="1" applyFill="1" applyAlignment="1">
      <alignment horizontal="center" vertical="center" wrapText="1"/>
    </xf>
    <xf numFmtId="44" fontId="1" fillId="2" borderId="0" xfId="4" applyFont="1" applyFill="1" applyAlignment="1">
      <alignment horizontal="center" vertical="center" wrapText="1"/>
    </xf>
    <xf numFmtId="0" fontId="1" fillId="2" borderId="0" xfId="0" applyFont="1" applyFill="1" applyAlignment="1">
      <alignment horizontal="center" vertical="center" wrapText="1"/>
    </xf>
  </cellXfs>
  <cellStyles count="5">
    <cellStyle name="Comma" xfId="3" builtinId="3"/>
    <cellStyle name="Currency" xfId="4" builtinId="4"/>
    <cellStyle name="Normal" xfId="0" builtinId="0"/>
    <cellStyle name="Normal 2" xfId="2"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EDDBA-52C2-4E29-9B6F-07CEBAC96D2D}">
  <sheetPr>
    <pageSetUpPr fitToPage="1"/>
  </sheetPr>
  <dimension ref="A1:G37"/>
  <sheetViews>
    <sheetView zoomScale="80" zoomScaleNormal="80" workbookViewId="0">
      <selection activeCell="D24" sqref="D24"/>
    </sheetView>
  </sheetViews>
  <sheetFormatPr defaultRowHeight="15" x14ac:dyDescent="0.25"/>
  <cols>
    <col min="1" max="1" width="46.28515625" style="20" customWidth="1"/>
    <col min="2" max="2" width="15.42578125" style="8" customWidth="1"/>
    <col min="3" max="3" width="17.7109375" style="8" customWidth="1"/>
    <col min="4" max="4" width="9.140625" style="7"/>
    <col min="5" max="5" width="16.140625" style="8" customWidth="1"/>
    <col min="6" max="6" width="36.7109375" style="20" customWidth="1"/>
    <col min="7" max="16384" width="9.140625" style="20"/>
  </cols>
  <sheetData>
    <row r="1" spans="1:5" x14ac:dyDescent="0.25">
      <c r="A1" s="157" t="s">
        <v>61</v>
      </c>
      <c r="B1" s="158"/>
      <c r="C1" s="158"/>
      <c r="D1" s="158"/>
      <c r="E1" s="158"/>
    </row>
    <row r="2" spans="1:5" x14ac:dyDescent="0.25">
      <c r="A2" s="158" t="s">
        <v>35</v>
      </c>
      <c r="B2" s="158"/>
      <c r="C2" s="158"/>
      <c r="D2" s="158"/>
      <c r="E2" s="158"/>
    </row>
    <row r="3" spans="1:5" x14ac:dyDescent="0.25">
      <c r="A3" s="39"/>
      <c r="B3" s="12"/>
      <c r="C3" s="12"/>
      <c r="E3" s="12"/>
    </row>
    <row r="4" spans="1:5" x14ac:dyDescent="0.25">
      <c r="B4" s="13" t="s">
        <v>0</v>
      </c>
      <c r="C4" s="13" t="s">
        <v>1</v>
      </c>
      <c r="D4" s="6" t="s">
        <v>2</v>
      </c>
      <c r="E4" s="13" t="s">
        <v>3</v>
      </c>
    </row>
    <row r="5" spans="1:5" x14ac:dyDescent="0.25">
      <c r="A5" s="2" t="s">
        <v>4</v>
      </c>
      <c r="B5" s="15"/>
    </row>
    <row r="6" spans="1:5" x14ac:dyDescent="0.25">
      <c r="A6" s="3" t="s">
        <v>52</v>
      </c>
      <c r="B6" s="15"/>
    </row>
    <row r="7" spans="1:5" x14ac:dyDescent="0.25">
      <c r="A7" s="4" t="s">
        <v>53</v>
      </c>
      <c r="B7" s="15"/>
      <c r="E7" s="8">
        <f>B7+C7</f>
        <v>0</v>
      </c>
    </row>
    <row r="8" spans="1:5" x14ac:dyDescent="0.25">
      <c r="A8" s="4" t="s">
        <v>264</v>
      </c>
      <c r="B8" s="137">
        <v>1307770.7</v>
      </c>
      <c r="C8" s="83">
        <f>1291626.96-1307770.7</f>
        <v>-16143.739999999991</v>
      </c>
      <c r="D8" s="7" t="s">
        <v>18</v>
      </c>
      <c r="E8" s="83">
        <f t="shared" ref="E8:E29" si="0">B8+C8</f>
        <v>1291626.96</v>
      </c>
    </row>
    <row r="9" spans="1:5" x14ac:dyDescent="0.25">
      <c r="A9" s="4" t="s">
        <v>54</v>
      </c>
      <c r="B9" s="137"/>
      <c r="C9" s="83"/>
      <c r="E9" s="83">
        <f t="shared" si="0"/>
        <v>0</v>
      </c>
    </row>
    <row r="10" spans="1:5" x14ac:dyDescent="0.25">
      <c r="A10" s="4" t="s">
        <v>55</v>
      </c>
      <c r="B10" s="137"/>
      <c r="C10" s="83"/>
      <c r="E10" s="83">
        <f t="shared" si="0"/>
        <v>0</v>
      </c>
    </row>
    <row r="11" spans="1:5" x14ac:dyDescent="0.25">
      <c r="A11" s="4" t="s">
        <v>56</v>
      </c>
      <c r="B11" s="137">
        <v>94967</v>
      </c>
      <c r="C11" s="83">
        <f>-94967+657.77</f>
        <v>-94309.23</v>
      </c>
      <c r="D11" s="7" t="s">
        <v>19</v>
      </c>
      <c r="E11" s="83">
        <f>B11+C11</f>
        <v>657.77000000000407</v>
      </c>
    </row>
    <row r="12" spans="1:5" x14ac:dyDescent="0.25">
      <c r="A12" s="3" t="s">
        <v>57</v>
      </c>
      <c r="B12" s="137">
        <f>SUM(B7:B11)</f>
        <v>1402737.7</v>
      </c>
      <c r="C12" s="83">
        <f>SUM(C7:C11)</f>
        <v>-110452.96999999999</v>
      </c>
      <c r="E12" s="83">
        <f t="shared" si="0"/>
        <v>1292284.73</v>
      </c>
    </row>
    <row r="13" spans="1:5" x14ac:dyDescent="0.25">
      <c r="A13" s="3" t="s">
        <v>58</v>
      </c>
      <c r="B13" s="137"/>
      <c r="C13" s="83"/>
      <c r="E13" s="83"/>
    </row>
    <row r="14" spans="1:5" s="10" customFormat="1" x14ac:dyDescent="0.25">
      <c r="A14" s="10" t="s">
        <v>5</v>
      </c>
      <c r="B14" s="137"/>
      <c r="C14" s="138"/>
      <c r="D14" s="7"/>
      <c r="E14" s="83">
        <f t="shared" si="0"/>
        <v>0</v>
      </c>
    </row>
    <row r="15" spans="1:5" s="10" customFormat="1" x14ac:dyDescent="0.25">
      <c r="A15" s="10" t="s">
        <v>59</v>
      </c>
      <c r="B15" s="137"/>
      <c r="C15" s="139">
        <f>(94967-75000)+34452.75</f>
        <v>54419.75</v>
      </c>
      <c r="D15" s="7" t="s">
        <v>30</v>
      </c>
      <c r="E15" s="83">
        <f>B15+C15</f>
        <v>54419.75</v>
      </c>
    </row>
    <row r="16" spans="1:5" x14ac:dyDescent="0.25">
      <c r="A16" s="3" t="s">
        <v>60</v>
      </c>
      <c r="B16" s="137">
        <f>B14+B15</f>
        <v>0</v>
      </c>
      <c r="C16" s="138">
        <f>C14+C15</f>
        <v>54419.75</v>
      </c>
      <c r="E16" s="83">
        <f t="shared" si="0"/>
        <v>54419.75</v>
      </c>
    </row>
    <row r="17" spans="1:7" x14ac:dyDescent="0.25">
      <c r="A17" s="3"/>
      <c r="B17" s="137"/>
      <c r="C17" s="83"/>
      <c r="E17" s="83">
        <f t="shared" si="0"/>
        <v>0</v>
      </c>
    </row>
    <row r="18" spans="1:7" x14ac:dyDescent="0.25">
      <c r="A18" s="2" t="s">
        <v>6</v>
      </c>
      <c r="B18" s="137">
        <f>B12+B16</f>
        <v>1402737.7</v>
      </c>
      <c r="C18" s="83">
        <f>C12+C16</f>
        <v>-56033.219999999987</v>
      </c>
      <c r="E18" s="83">
        <f t="shared" si="0"/>
        <v>1346704.48</v>
      </c>
    </row>
    <row r="19" spans="1:7" x14ac:dyDescent="0.25">
      <c r="B19" s="137"/>
      <c r="C19" s="83"/>
      <c r="E19" s="83"/>
    </row>
    <row r="20" spans="1:7" x14ac:dyDescent="0.25">
      <c r="A20" s="2" t="s">
        <v>7</v>
      </c>
      <c r="B20" s="137"/>
      <c r="C20" s="83"/>
      <c r="E20" s="83"/>
    </row>
    <row r="21" spans="1:7" x14ac:dyDescent="0.25">
      <c r="A21" s="3" t="s">
        <v>11</v>
      </c>
      <c r="B21" s="137">
        <f>SewerOperationsAndMaintenance!B59</f>
        <v>1177505.73</v>
      </c>
      <c r="C21" s="110">
        <f>SewerOperationsAndMaintenance!C59</f>
        <v>-9299.7166877434647</v>
      </c>
      <c r="D21" s="7" t="s">
        <v>31</v>
      </c>
      <c r="E21" s="83">
        <f t="shared" si="0"/>
        <v>1168206.0133122564</v>
      </c>
    </row>
    <row r="22" spans="1:7" s="10" customFormat="1" x14ac:dyDescent="0.25">
      <c r="A22" s="3" t="s">
        <v>12</v>
      </c>
      <c r="B22" s="137">
        <v>533310</v>
      </c>
      <c r="C22" s="83">
        <f>1775.29+5371.1+115.8+590</f>
        <v>7852.1900000000005</v>
      </c>
      <c r="D22" s="7" t="s">
        <v>32</v>
      </c>
      <c r="E22" s="83">
        <f t="shared" si="0"/>
        <v>541162.18999999994</v>
      </c>
      <c r="F22" s="20"/>
      <c r="G22" s="20"/>
    </row>
    <row r="23" spans="1:7" s="10" customFormat="1" x14ac:dyDescent="0.25">
      <c r="A23" s="3" t="s">
        <v>13</v>
      </c>
      <c r="B23" s="137"/>
      <c r="C23" s="83"/>
      <c r="D23" s="7"/>
      <c r="E23" s="83">
        <f t="shared" si="0"/>
        <v>0</v>
      </c>
      <c r="F23" s="20"/>
      <c r="G23" s="20"/>
    </row>
    <row r="24" spans="1:7" s="10" customFormat="1" x14ac:dyDescent="0.25">
      <c r="A24" s="3" t="s">
        <v>14</v>
      </c>
      <c r="B24" s="137">
        <v>17521.46</v>
      </c>
      <c r="C24" s="83">
        <f>'Wage-Benefits'!AE32-17521.46</f>
        <v>3515.7665236810644</v>
      </c>
      <c r="D24" s="7" t="s">
        <v>33</v>
      </c>
      <c r="E24" s="83">
        <f t="shared" si="0"/>
        <v>21037.226523681064</v>
      </c>
      <c r="F24" s="20"/>
      <c r="G24" s="20"/>
    </row>
    <row r="25" spans="1:7" s="10" customFormat="1" x14ac:dyDescent="0.25">
      <c r="A25" s="3" t="s">
        <v>15</v>
      </c>
      <c r="B25" s="137"/>
      <c r="C25" s="83"/>
      <c r="D25" s="7"/>
      <c r="E25" s="83">
        <f t="shared" si="0"/>
        <v>0</v>
      </c>
      <c r="F25" s="20"/>
      <c r="G25" s="20"/>
    </row>
    <row r="26" spans="1:7" s="10" customFormat="1" x14ac:dyDescent="0.25">
      <c r="A26" s="20"/>
      <c r="B26" s="137"/>
      <c r="C26" s="83"/>
      <c r="D26" s="7"/>
      <c r="E26" s="83"/>
      <c r="F26" s="20"/>
      <c r="G26" s="20"/>
    </row>
    <row r="27" spans="1:7" s="10" customFormat="1" x14ac:dyDescent="0.25">
      <c r="A27" s="2" t="s">
        <v>16</v>
      </c>
      <c r="B27" s="137">
        <f>SUM(B21:B25)</f>
        <v>1728337.19</v>
      </c>
      <c r="C27" s="83">
        <f>SUM(C21:C25)</f>
        <v>2068.2398359376002</v>
      </c>
      <c r="D27" s="7"/>
      <c r="E27" s="83">
        <f t="shared" si="0"/>
        <v>1730405.4298359375</v>
      </c>
      <c r="F27" s="20"/>
      <c r="G27" s="20"/>
    </row>
    <row r="28" spans="1:7" s="10" customFormat="1" x14ac:dyDescent="0.25">
      <c r="A28" s="20"/>
      <c r="B28" s="137"/>
      <c r="C28" s="83"/>
      <c r="D28" s="7"/>
      <c r="E28" s="83"/>
      <c r="F28" s="20"/>
      <c r="G28" s="20"/>
    </row>
    <row r="29" spans="1:7" s="10" customFormat="1" x14ac:dyDescent="0.25">
      <c r="A29" s="2" t="s">
        <v>17</v>
      </c>
      <c r="B29" s="137">
        <f>B18-B27</f>
        <v>-325599.49</v>
      </c>
      <c r="C29" s="83">
        <f>C18-C27</f>
        <v>-58101.459835937589</v>
      </c>
      <c r="D29" s="7"/>
      <c r="E29" s="83">
        <f t="shared" si="0"/>
        <v>-383700.94983593759</v>
      </c>
      <c r="F29" s="20"/>
      <c r="G29" s="20"/>
    </row>
    <row r="30" spans="1:7" s="10" customFormat="1" x14ac:dyDescent="0.25">
      <c r="A30" s="20"/>
      <c r="B30" s="8"/>
      <c r="C30" s="8"/>
      <c r="D30" s="7"/>
      <c r="E30" s="8"/>
      <c r="F30" s="20"/>
      <c r="G30" s="20"/>
    </row>
    <row r="31" spans="1:7" s="10" customFormat="1" x14ac:dyDescent="0.25">
      <c r="A31" s="20"/>
      <c r="B31" s="8"/>
      <c r="C31" s="8"/>
      <c r="D31" s="7"/>
      <c r="E31" s="8"/>
      <c r="F31" s="20"/>
      <c r="G31" s="20"/>
    </row>
    <row r="32" spans="1:7" s="10" customFormat="1" x14ac:dyDescent="0.25">
      <c r="A32" s="20"/>
      <c r="B32" s="8"/>
      <c r="C32" s="8"/>
      <c r="D32" s="7"/>
      <c r="E32" s="8"/>
      <c r="F32" s="20"/>
      <c r="G32" s="20"/>
    </row>
    <row r="33" spans="1:7" s="10" customFormat="1" x14ac:dyDescent="0.25">
      <c r="A33" s="20"/>
      <c r="B33" s="8"/>
      <c r="C33" s="8"/>
      <c r="D33" s="7"/>
      <c r="E33" s="8"/>
      <c r="F33" s="20"/>
      <c r="G33" s="20"/>
    </row>
    <row r="34" spans="1:7" s="10" customFormat="1" x14ac:dyDescent="0.25">
      <c r="A34" s="20"/>
      <c r="B34" s="8"/>
      <c r="C34" s="8"/>
      <c r="D34" s="7"/>
      <c r="E34" s="8"/>
      <c r="F34" s="20"/>
      <c r="G34" s="20"/>
    </row>
    <row r="35" spans="1:7" s="10" customFormat="1" x14ac:dyDescent="0.25">
      <c r="A35" s="20"/>
      <c r="B35" s="8"/>
      <c r="C35" s="8"/>
      <c r="D35" s="7"/>
      <c r="E35" s="8"/>
      <c r="F35" s="20"/>
      <c r="G35" s="20"/>
    </row>
    <row r="36" spans="1:7" s="10" customFormat="1" x14ac:dyDescent="0.25">
      <c r="A36" s="20"/>
      <c r="B36" s="8"/>
      <c r="C36" s="8"/>
      <c r="D36" s="7"/>
      <c r="E36" s="8"/>
      <c r="F36" s="20"/>
      <c r="G36" s="20"/>
    </row>
    <row r="37" spans="1:7" s="10" customFormat="1" x14ac:dyDescent="0.25">
      <c r="A37" s="20"/>
      <c r="B37" s="8"/>
      <c r="C37" s="8"/>
      <c r="D37" s="7"/>
      <c r="E37" s="8"/>
      <c r="F37" s="20"/>
      <c r="G37" s="20"/>
    </row>
  </sheetData>
  <mergeCells count="2">
    <mergeCell ref="A1:E1"/>
    <mergeCell ref="A2:E2"/>
  </mergeCells>
  <pageMargins left="0.7" right="0.7" top="0.75" bottom="0.75" header="0.3" footer="0.3"/>
  <pageSetup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7AEDA-0D3D-4BF7-9ABD-DC486464A4DA}">
  <dimension ref="A1:N93"/>
  <sheetViews>
    <sheetView topLeftCell="A45" workbookViewId="0">
      <selection activeCell="F55" sqref="F55"/>
    </sheetView>
  </sheetViews>
  <sheetFormatPr defaultRowHeight="15" x14ac:dyDescent="0.25"/>
  <cols>
    <col min="1" max="1" width="29.28515625" style="20" customWidth="1"/>
    <col min="2" max="2" width="22.5703125" style="20" customWidth="1"/>
    <col min="3" max="3" width="14.42578125" style="20" bestFit="1" customWidth="1"/>
    <col min="4" max="4" width="15" style="20" customWidth="1"/>
    <col min="5" max="6" width="14.42578125" style="20" bestFit="1" customWidth="1"/>
    <col min="7" max="9" width="14.28515625" style="20" bestFit="1" customWidth="1"/>
    <col min="10" max="11" width="12.85546875" style="20" customWidth="1"/>
    <col min="12" max="12" width="11.28515625" style="20" customWidth="1"/>
    <col min="13" max="13" width="12.140625" style="20" customWidth="1"/>
    <col min="14" max="14" width="14.42578125" style="20" customWidth="1"/>
    <col min="15" max="16384" width="9.140625" style="20"/>
  </cols>
  <sheetData>
    <row r="1" spans="1:13" x14ac:dyDescent="0.25">
      <c r="A1" s="148" t="s">
        <v>141</v>
      </c>
      <c r="B1" s="148" t="s">
        <v>142</v>
      </c>
      <c r="C1" s="148" t="s">
        <v>143</v>
      </c>
    </row>
    <row r="2" spans="1:13" x14ac:dyDescent="0.25">
      <c r="A2" s="20" t="s">
        <v>144</v>
      </c>
      <c r="B2" s="104">
        <v>10645300</v>
      </c>
      <c r="C2" s="44">
        <v>1141</v>
      </c>
    </row>
    <row r="3" spans="1:13" x14ac:dyDescent="0.25">
      <c r="A3" s="20" t="s">
        <v>145</v>
      </c>
      <c r="B3" s="44">
        <v>10655900</v>
      </c>
      <c r="C3" s="44">
        <v>1141</v>
      </c>
    </row>
    <row r="4" spans="1:13" x14ac:dyDescent="0.25">
      <c r="A4" s="20" t="s">
        <v>146</v>
      </c>
      <c r="B4" s="44">
        <v>11435900</v>
      </c>
      <c r="C4" s="44">
        <v>1135</v>
      </c>
    </row>
    <row r="5" spans="1:13" x14ac:dyDescent="0.25">
      <c r="A5" s="20" t="s">
        <v>147</v>
      </c>
      <c r="B5" s="44">
        <v>9931000</v>
      </c>
      <c r="C5" s="44">
        <v>1140</v>
      </c>
    </row>
    <row r="6" spans="1:13" x14ac:dyDescent="0.25">
      <c r="A6" s="20" t="s">
        <v>148</v>
      </c>
      <c r="B6" s="44">
        <v>9995900</v>
      </c>
      <c r="C6" s="44">
        <v>1141</v>
      </c>
    </row>
    <row r="7" spans="1:13" x14ac:dyDescent="0.25">
      <c r="A7" s="20" t="s">
        <v>149</v>
      </c>
      <c r="B7" s="44">
        <v>11474600</v>
      </c>
      <c r="C7" s="44">
        <v>1148</v>
      </c>
    </row>
    <row r="8" spans="1:13" x14ac:dyDescent="0.25">
      <c r="A8" s="20" t="s">
        <v>150</v>
      </c>
      <c r="B8" s="44">
        <v>12429300</v>
      </c>
      <c r="C8" s="44">
        <v>1150</v>
      </c>
    </row>
    <row r="9" spans="1:13" x14ac:dyDescent="0.25">
      <c r="A9" s="20" t="s">
        <v>151</v>
      </c>
      <c r="B9" s="44">
        <v>12720000</v>
      </c>
      <c r="C9" s="44">
        <v>1153</v>
      </c>
    </row>
    <row r="10" spans="1:13" x14ac:dyDescent="0.25">
      <c r="A10" s="20" t="s">
        <v>152</v>
      </c>
      <c r="B10" s="44">
        <v>11904600</v>
      </c>
      <c r="C10" s="44">
        <v>1159</v>
      </c>
    </row>
    <row r="11" spans="1:13" x14ac:dyDescent="0.25">
      <c r="A11" s="20" t="s">
        <v>153</v>
      </c>
      <c r="B11" s="44">
        <v>12129300</v>
      </c>
      <c r="C11" s="44">
        <v>1158</v>
      </c>
    </row>
    <row r="12" spans="1:13" x14ac:dyDescent="0.25">
      <c r="A12" s="20" t="s">
        <v>154</v>
      </c>
      <c r="B12" s="44">
        <v>12685300</v>
      </c>
      <c r="C12" s="44">
        <v>1158</v>
      </c>
    </row>
    <row r="13" spans="1:13" x14ac:dyDescent="0.25">
      <c r="A13" s="20" t="s">
        <v>155</v>
      </c>
      <c r="B13" s="44">
        <v>13671000</v>
      </c>
      <c r="C13" s="44">
        <v>1158</v>
      </c>
    </row>
    <row r="14" spans="1:13" x14ac:dyDescent="0.25">
      <c r="B14" s="45">
        <f>SUM(B2:B13)</f>
        <v>139678100</v>
      </c>
      <c r="C14" s="44">
        <f>SUM(C2:C13)</f>
        <v>13782</v>
      </c>
    </row>
    <row r="15" spans="1:13" x14ac:dyDescent="0.25">
      <c r="B15" s="45"/>
      <c r="C15" s="44"/>
    </row>
    <row r="16" spans="1:13" x14ac:dyDescent="0.25">
      <c r="B16" s="157" t="s">
        <v>247</v>
      </c>
      <c r="C16" s="158"/>
      <c r="D16" s="158"/>
      <c r="E16" s="158"/>
      <c r="F16" s="158"/>
      <c r="G16" s="158"/>
      <c r="H16" s="158"/>
      <c r="I16" s="158"/>
      <c r="J16" s="158"/>
      <c r="K16" s="158"/>
      <c r="L16" s="158"/>
      <c r="M16" s="158"/>
    </row>
    <row r="17" spans="1:14" x14ac:dyDescent="0.25">
      <c r="B17" s="148" t="s">
        <v>144</v>
      </c>
      <c r="C17" s="148" t="s">
        <v>145</v>
      </c>
      <c r="D17" s="148" t="s">
        <v>146</v>
      </c>
      <c r="E17" s="148" t="s">
        <v>147</v>
      </c>
      <c r="F17" s="148" t="s">
        <v>148</v>
      </c>
      <c r="G17" s="148" t="s">
        <v>149</v>
      </c>
      <c r="H17" s="148" t="s">
        <v>150</v>
      </c>
      <c r="I17" s="148" t="s">
        <v>151</v>
      </c>
      <c r="J17" s="148" t="s">
        <v>152</v>
      </c>
      <c r="K17" s="148" t="s">
        <v>153</v>
      </c>
      <c r="L17" s="148" t="s">
        <v>154</v>
      </c>
      <c r="M17" s="148" t="s">
        <v>155</v>
      </c>
      <c r="N17" s="148" t="s">
        <v>39</v>
      </c>
    </row>
    <row r="18" spans="1:14" x14ac:dyDescent="0.25">
      <c r="A18" s="20" t="s">
        <v>156</v>
      </c>
      <c r="B18" s="49">
        <v>420600</v>
      </c>
      <c r="C18" s="44">
        <v>469700</v>
      </c>
      <c r="D18" s="44">
        <v>422100</v>
      </c>
      <c r="E18" s="44">
        <v>481000</v>
      </c>
      <c r="F18" s="44">
        <v>466200</v>
      </c>
      <c r="G18" s="44">
        <v>461500</v>
      </c>
      <c r="H18" s="44">
        <v>413900</v>
      </c>
      <c r="I18" s="44">
        <v>381700</v>
      </c>
      <c r="J18" s="44">
        <v>420300</v>
      </c>
      <c r="K18" s="44">
        <v>468400</v>
      </c>
      <c r="L18" s="44">
        <v>456000</v>
      </c>
      <c r="M18" s="44">
        <v>354000</v>
      </c>
      <c r="N18" s="45">
        <f>SUM(B18:M18)</f>
        <v>5215400</v>
      </c>
    </row>
    <row r="19" spans="1:14" x14ac:dyDescent="0.25">
      <c r="A19" s="20" t="s">
        <v>169</v>
      </c>
      <c r="B19" s="45">
        <v>3141100</v>
      </c>
      <c r="C19" s="45">
        <v>2754000</v>
      </c>
      <c r="D19" s="45">
        <v>3055200</v>
      </c>
      <c r="E19" s="45">
        <v>2758800</v>
      </c>
      <c r="F19" s="45">
        <v>3059600</v>
      </c>
      <c r="G19" s="45">
        <v>3102600</v>
      </c>
      <c r="H19" s="45">
        <v>3497500</v>
      </c>
      <c r="I19" s="45">
        <v>3425900</v>
      </c>
      <c r="J19" s="45">
        <v>3267800</v>
      </c>
      <c r="K19" s="45">
        <v>3240400</v>
      </c>
      <c r="L19" s="45">
        <v>2801600</v>
      </c>
      <c r="M19" s="45">
        <v>3624400</v>
      </c>
      <c r="N19" s="45">
        <f>SUM(B19:M19)</f>
        <v>37728900</v>
      </c>
    </row>
    <row r="20" spans="1:14" x14ac:dyDescent="0.25">
      <c r="A20" s="20" t="s">
        <v>170</v>
      </c>
      <c r="B20" s="44">
        <v>7083600</v>
      </c>
      <c r="C20" s="44">
        <v>7432200</v>
      </c>
      <c r="D20" s="44">
        <v>7958600</v>
      </c>
      <c r="E20" s="44">
        <v>6691200</v>
      </c>
      <c r="F20" s="44">
        <v>6470100</v>
      </c>
      <c r="G20" s="44">
        <v>7910500</v>
      </c>
      <c r="H20" s="44">
        <v>8517900</v>
      </c>
      <c r="I20" s="44">
        <v>8912400</v>
      </c>
      <c r="J20" s="44">
        <v>8216500</v>
      </c>
      <c r="K20" s="44">
        <v>8420500</v>
      </c>
      <c r="L20" s="44">
        <v>9427700</v>
      </c>
      <c r="M20" s="44">
        <v>9692600</v>
      </c>
      <c r="N20" s="45">
        <f>SUM(B20:M20)</f>
        <v>96733800</v>
      </c>
    </row>
    <row r="21" spans="1:14" x14ac:dyDescent="0.25">
      <c r="A21" s="20" t="s">
        <v>39</v>
      </c>
      <c r="B21" s="45">
        <f t="shared" ref="B21:M21" si="0">SUM(B18:B20)</f>
        <v>10645300</v>
      </c>
      <c r="C21" s="45">
        <f t="shared" si="0"/>
        <v>10655900</v>
      </c>
      <c r="D21" s="45">
        <f t="shared" si="0"/>
        <v>11435900</v>
      </c>
      <c r="E21" s="45">
        <f t="shared" si="0"/>
        <v>9931000</v>
      </c>
      <c r="F21" s="45">
        <f t="shared" si="0"/>
        <v>9995900</v>
      </c>
      <c r="G21" s="45">
        <f t="shared" si="0"/>
        <v>11474600</v>
      </c>
      <c r="H21" s="45">
        <f t="shared" si="0"/>
        <v>12429300</v>
      </c>
      <c r="I21" s="45">
        <f t="shared" si="0"/>
        <v>12720000</v>
      </c>
      <c r="J21" s="45">
        <f t="shared" si="0"/>
        <v>11904600</v>
      </c>
      <c r="K21" s="45">
        <f t="shared" si="0"/>
        <v>12129300</v>
      </c>
      <c r="L21" s="45">
        <f t="shared" si="0"/>
        <v>12685300</v>
      </c>
      <c r="M21" s="45">
        <f t="shared" si="0"/>
        <v>13671000</v>
      </c>
      <c r="N21" s="45">
        <f>SUM(B21:M21)</f>
        <v>139678100</v>
      </c>
    </row>
    <row r="22" spans="1:14" x14ac:dyDescent="0.25">
      <c r="B22" s="45"/>
      <c r="C22" s="45"/>
      <c r="D22" s="45"/>
      <c r="E22" s="45"/>
      <c r="F22" s="45"/>
      <c r="G22" s="45"/>
      <c r="H22" s="45"/>
      <c r="I22" s="45"/>
      <c r="J22" s="45"/>
      <c r="K22" s="45"/>
      <c r="L22" s="45"/>
      <c r="M22" s="45"/>
      <c r="N22" s="45"/>
    </row>
    <row r="23" spans="1:14" x14ac:dyDescent="0.25">
      <c r="B23" s="157" t="s">
        <v>248</v>
      </c>
      <c r="C23" s="158"/>
      <c r="D23" s="158"/>
      <c r="E23" s="158"/>
      <c r="F23" s="158"/>
      <c r="G23" s="158"/>
      <c r="H23" s="158"/>
      <c r="I23" s="158"/>
      <c r="J23" s="158"/>
      <c r="K23" s="158"/>
      <c r="L23" s="158"/>
      <c r="M23" s="158"/>
    </row>
    <row r="24" spans="1:14" x14ac:dyDescent="0.25">
      <c r="A24" s="50"/>
      <c r="B24" s="148" t="s">
        <v>144</v>
      </c>
      <c r="C24" s="148" t="s">
        <v>145</v>
      </c>
      <c r="D24" s="148" t="s">
        <v>146</v>
      </c>
      <c r="E24" s="148" t="s">
        <v>147</v>
      </c>
      <c r="F24" s="148" t="s">
        <v>148</v>
      </c>
      <c r="G24" s="148" t="s">
        <v>149</v>
      </c>
      <c r="H24" s="148" t="s">
        <v>150</v>
      </c>
      <c r="I24" s="148" t="s">
        <v>151</v>
      </c>
      <c r="J24" s="148" t="s">
        <v>152</v>
      </c>
      <c r="K24" s="148" t="s">
        <v>153</v>
      </c>
      <c r="L24" s="148" t="s">
        <v>154</v>
      </c>
      <c r="M24" s="148" t="s">
        <v>155</v>
      </c>
      <c r="N24" s="50"/>
    </row>
    <row r="25" spans="1:14" x14ac:dyDescent="0.25">
      <c r="A25" s="50" t="s">
        <v>156</v>
      </c>
      <c r="B25" s="51">
        <v>447</v>
      </c>
      <c r="C25" s="51">
        <v>499</v>
      </c>
      <c r="D25" s="51">
        <v>434</v>
      </c>
      <c r="E25" s="51">
        <v>496</v>
      </c>
      <c r="F25" s="51">
        <v>486</v>
      </c>
      <c r="G25" s="51">
        <v>475</v>
      </c>
      <c r="H25" s="51">
        <v>420</v>
      </c>
      <c r="I25" s="51">
        <v>417</v>
      </c>
      <c r="J25" s="51">
        <v>435</v>
      </c>
      <c r="K25" s="51">
        <v>437</v>
      </c>
      <c r="L25" s="51">
        <v>485</v>
      </c>
      <c r="M25" s="51">
        <v>389</v>
      </c>
      <c r="N25" s="53">
        <f>SUM(B25:M25)</f>
        <v>5420</v>
      </c>
    </row>
    <row r="26" spans="1:14" x14ac:dyDescent="0.25">
      <c r="A26" s="50" t="s">
        <v>169</v>
      </c>
      <c r="B26" s="52">
        <v>660</v>
      </c>
      <c r="C26" s="52">
        <v>613</v>
      </c>
      <c r="D26" s="52">
        <v>667</v>
      </c>
      <c r="E26" s="52">
        <v>619</v>
      </c>
      <c r="F26" s="52">
        <v>630</v>
      </c>
      <c r="G26" s="52">
        <v>640</v>
      </c>
      <c r="H26" s="52">
        <v>694</v>
      </c>
      <c r="I26" s="52">
        <v>695</v>
      </c>
      <c r="J26" s="52">
        <v>682</v>
      </c>
      <c r="K26" s="52">
        <v>681</v>
      </c>
      <c r="L26" s="52">
        <v>636</v>
      </c>
      <c r="M26" s="52">
        <v>732</v>
      </c>
      <c r="N26" s="53">
        <f>SUM(B26:M26)</f>
        <v>7949</v>
      </c>
    </row>
    <row r="27" spans="1:14" x14ac:dyDescent="0.25">
      <c r="A27" s="50" t="s">
        <v>170</v>
      </c>
      <c r="B27" s="52">
        <v>34</v>
      </c>
      <c r="C27" s="52">
        <v>29</v>
      </c>
      <c r="D27" s="52">
        <v>34</v>
      </c>
      <c r="E27" s="52">
        <v>25</v>
      </c>
      <c r="F27" s="52">
        <v>25</v>
      </c>
      <c r="G27" s="52">
        <v>33</v>
      </c>
      <c r="H27" s="52">
        <v>36</v>
      </c>
      <c r="I27" s="52">
        <v>41</v>
      </c>
      <c r="J27" s="52">
        <v>42</v>
      </c>
      <c r="K27" s="52">
        <v>40</v>
      </c>
      <c r="L27" s="52">
        <v>37</v>
      </c>
      <c r="M27" s="52">
        <v>37</v>
      </c>
      <c r="N27" s="53">
        <f>SUM(B27:M27)</f>
        <v>413</v>
      </c>
    </row>
    <row r="28" spans="1:14" x14ac:dyDescent="0.25">
      <c r="A28" s="50"/>
      <c r="B28" s="52">
        <f>SUM(B25:B27)</f>
        <v>1141</v>
      </c>
      <c r="C28" s="52">
        <f t="shared" ref="C28:N28" si="1">SUM(C25:C27)</f>
        <v>1141</v>
      </c>
      <c r="D28" s="52">
        <f t="shared" si="1"/>
        <v>1135</v>
      </c>
      <c r="E28" s="52">
        <f t="shared" si="1"/>
        <v>1140</v>
      </c>
      <c r="F28" s="52">
        <f t="shared" si="1"/>
        <v>1141</v>
      </c>
      <c r="G28" s="52">
        <f t="shared" si="1"/>
        <v>1148</v>
      </c>
      <c r="H28" s="52">
        <f t="shared" si="1"/>
        <v>1150</v>
      </c>
      <c r="I28" s="52">
        <f t="shared" si="1"/>
        <v>1153</v>
      </c>
      <c r="J28" s="52">
        <f t="shared" si="1"/>
        <v>1159</v>
      </c>
      <c r="K28" s="52">
        <f t="shared" si="1"/>
        <v>1158</v>
      </c>
      <c r="L28" s="52">
        <f t="shared" si="1"/>
        <v>1158</v>
      </c>
      <c r="M28" s="52">
        <f t="shared" si="1"/>
        <v>1158</v>
      </c>
      <c r="N28" s="53">
        <f t="shared" si="1"/>
        <v>13782</v>
      </c>
    </row>
    <row r="29" spans="1:14" x14ac:dyDescent="0.25">
      <c r="B29" s="45"/>
      <c r="C29" s="45"/>
      <c r="D29" s="45"/>
      <c r="E29" s="45"/>
      <c r="F29" s="45"/>
      <c r="G29" s="45"/>
      <c r="H29" s="45"/>
      <c r="I29" s="45"/>
      <c r="J29" s="45"/>
      <c r="K29" s="45"/>
      <c r="L29" s="45"/>
      <c r="M29" s="45"/>
      <c r="N29" s="45"/>
    </row>
    <row r="30" spans="1:14" x14ac:dyDescent="0.25">
      <c r="B30" s="45"/>
      <c r="C30" s="45"/>
      <c r="D30" s="45"/>
      <c r="E30" s="45"/>
      <c r="F30" s="45"/>
      <c r="G30" s="45"/>
      <c r="H30" s="45"/>
      <c r="I30" s="45"/>
      <c r="J30" s="45"/>
      <c r="K30" s="45"/>
      <c r="L30" s="45"/>
      <c r="M30" s="45"/>
      <c r="N30" s="45"/>
    </row>
    <row r="31" spans="1:14" x14ac:dyDescent="0.25">
      <c r="B31" s="167" t="s">
        <v>171</v>
      </c>
      <c r="C31" s="167"/>
      <c r="D31" s="167"/>
      <c r="E31" s="167"/>
      <c r="F31" s="167"/>
      <c r="G31" s="167"/>
      <c r="H31" s="167"/>
      <c r="I31" s="167"/>
      <c r="J31" s="167"/>
      <c r="K31" s="167"/>
      <c r="L31" s="167"/>
      <c r="M31" s="167"/>
      <c r="N31" s="45"/>
    </row>
    <row r="32" spans="1:14" x14ac:dyDescent="0.25">
      <c r="B32" s="146" t="s">
        <v>144</v>
      </c>
      <c r="C32" s="146" t="s">
        <v>145</v>
      </c>
      <c r="D32" s="146" t="s">
        <v>146</v>
      </c>
      <c r="E32" s="146" t="s">
        <v>147</v>
      </c>
      <c r="F32" s="146" t="s">
        <v>148</v>
      </c>
      <c r="G32" s="146" t="s">
        <v>149</v>
      </c>
      <c r="H32" s="146" t="s">
        <v>150</v>
      </c>
      <c r="I32" s="146" t="s">
        <v>151</v>
      </c>
      <c r="J32" s="146" t="s">
        <v>152</v>
      </c>
      <c r="K32" s="146" t="s">
        <v>153</v>
      </c>
      <c r="L32" s="146" t="s">
        <v>154</v>
      </c>
      <c r="M32" s="146" t="s">
        <v>155</v>
      </c>
      <c r="N32" s="146" t="s">
        <v>39</v>
      </c>
    </row>
    <row r="33" spans="1:14" x14ac:dyDescent="0.25">
      <c r="A33" s="20" t="s">
        <v>156</v>
      </c>
      <c r="B33" s="44">
        <v>420600</v>
      </c>
      <c r="C33" s="44">
        <v>469700</v>
      </c>
      <c r="D33" s="44">
        <v>422100</v>
      </c>
      <c r="E33" s="44">
        <v>481000</v>
      </c>
      <c r="F33" s="44">
        <v>466200</v>
      </c>
      <c r="G33" s="44">
        <v>461500</v>
      </c>
      <c r="H33" s="44">
        <v>413900</v>
      </c>
      <c r="I33" s="44">
        <v>381700</v>
      </c>
      <c r="J33" s="44">
        <v>420300</v>
      </c>
      <c r="K33" s="44">
        <v>468400</v>
      </c>
      <c r="L33" s="44">
        <v>456000</v>
      </c>
      <c r="M33" s="44">
        <v>354000</v>
      </c>
      <c r="N33" s="45">
        <f>SUM(B33:M33)</f>
        <v>5215400</v>
      </c>
    </row>
    <row r="34" spans="1:14" x14ac:dyDescent="0.25">
      <c r="A34" s="20" t="s">
        <v>169</v>
      </c>
      <c r="B34" s="44">
        <v>3141100</v>
      </c>
      <c r="C34" s="44">
        <v>2754000</v>
      </c>
      <c r="D34" s="44">
        <v>3055200</v>
      </c>
      <c r="E34" s="44">
        <v>2758800</v>
      </c>
      <c r="F34" s="44">
        <v>3059600</v>
      </c>
      <c r="G34" s="44">
        <v>3102600</v>
      </c>
      <c r="H34" s="44">
        <v>3497500</v>
      </c>
      <c r="I34" s="44">
        <v>3425900</v>
      </c>
      <c r="J34" s="44">
        <v>3267800</v>
      </c>
      <c r="K34" s="44">
        <v>3240400</v>
      </c>
      <c r="L34" s="44">
        <v>2801600</v>
      </c>
      <c r="M34" s="44">
        <v>3624400</v>
      </c>
      <c r="N34" s="45">
        <f>SUM(B34:M34)</f>
        <v>37728900</v>
      </c>
    </row>
    <row r="35" spans="1:14" x14ac:dyDescent="0.25">
      <c r="A35" s="20" t="s">
        <v>170</v>
      </c>
      <c r="B35" s="44">
        <f>7083600-B67</f>
        <v>2015500</v>
      </c>
      <c r="C35" s="44">
        <f>7432200-B68</f>
        <v>2301600</v>
      </c>
      <c r="D35" s="44">
        <f>7958600-B69</f>
        <v>2814400</v>
      </c>
      <c r="E35" s="44">
        <f>6691200-B70</f>
        <v>1895600</v>
      </c>
      <c r="F35" s="44">
        <f>6470100-B71</f>
        <v>1885500</v>
      </c>
      <c r="G35" s="44">
        <f>7910500-B72</f>
        <v>2517100</v>
      </c>
      <c r="H35" s="44">
        <f>8517900-B73</f>
        <v>2592400</v>
      </c>
      <c r="I35" s="44">
        <f>8912400-B74</f>
        <v>2669200</v>
      </c>
      <c r="J35" s="44">
        <f>8216500-B75</f>
        <v>2704800</v>
      </c>
      <c r="K35" s="44">
        <f>8420500-B76</f>
        <v>3066500</v>
      </c>
      <c r="L35" s="44">
        <f>9427700-B77</f>
        <v>2567500</v>
      </c>
      <c r="M35" s="44">
        <f>9692600-B78</f>
        <v>2436800</v>
      </c>
      <c r="N35" s="45">
        <f>SUM(B35:M35)</f>
        <v>29466900</v>
      </c>
    </row>
    <row r="36" spans="1:14" x14ac:dyDescent="0.25">
      <c r="A36" s="20" t="s">
        <v>39</v>
      </c>
      <c r="B36" s="45">
        <f>SUM(B33:B35)</f>
        <v>5577200</v>
      </c>
      <c r="C36" s="45">
        <f t="shared" ref="C36:M36" si="2">SUM(C33:C35)</f>
        <v>5525300</v>
      </c>
      <c r="D36" s="45">
        <f t="shared" si="2"/>
        <v>6291700</v>
      </c>
      <c r="E36" s="45">
        <f t="shared" si="2"/>
        <v>5135400</v>
      </c>
      <c r="F36" s="45">
        <f t="shared" si="2"/>
        <v>5411300</v>
      </c>
      <c r="G36" s="45">
        <f t="shared" si="2"/>
        <v>6081200</v>
      </c>
      <c r="H36" s="45">
        <f t="shared" si="2"/>
        <v>6503800</v>
      </c>
      <c r="I36" s="45">
        <f t="shared" si="2"/>
        <v>6476800</v>
      </c>
      <c r="J36" s="45">
        <f t="shared" si="2"/>
        <v>6392900</v>
      </c>
      <c r="K36" s="45">
        <f t="shared" si="2"/>
        <v>6775300</v>
      </c>
      <c r="L36" s="45">
        <f t="shared" si="2"/>
        <v>5825100</v>
      </c>
      <c r="M36" s="45">
        <f t="shared" si="2"/>
        <v>6415200</v>
      </c>
      <c r="N36" s="45">
        <f>SUM(B36:M36)</f>
        <v>72411200</v>
      </c>
    </row>
    <row r="37" spans="1:14" x14ac:dyDescent="0.25">
      <c r="B37" s="45"/>
      <c r="C37" s="45"/>
      <c r="D37" s="45"/>
      <c r="E37" s="45"/>
      <c r="F37" s="45"/>
      <c r="G37" s="45"/>
      <c r="H37" s="45"/>
      <c r="I37" s="45"/>
      <c r="J37" s="45"/>
      <c r="K37" s="45"/>
      <c r="L37" s="45"/>
      <c r="M37" s="45"/>
      <c r="N37" s="45"/>
    </row>
    <row r="38" spans="1:14" x14ac:dyDescent="0.25">
      <c r="B38" s="158" t="s">
        <v>157</v>
      </c>
      <c r="C38" s="158"/>
      <c r="D38" s="158"/>
      <c r="E38" s="158"/>
      <c r="F38" s="158"/>
      <c r="G38" s="158"/>
      <c r="H38" s="158"/>
      <c r="I38" s="158"/>
      <c r="J38" s="158"/>
      <c r="K38" s="158"/>
      <c r="L38" s="158"/>
      <c r="M38" s="158"/>
    </row>
    <row r="39" spans="1:14" x14ac:dyDescent="0.25">
      <c r="A39" s="50"/>
      <c r="B39" s="148" t="s">
        <v>144</v>
      </c>
      <c r="C39" s="148" t="s">
        <v>145</v>
      </c>
      <c r="D39" s="148" t="s">
        <v>146</v>
      </c>
      <c r="E39" s="148" t="s">
        <v>147</v>
      </c>
      <c r="F39" s="148" t="s">
        <v>148</v>
      </c>
      <c r="G39" s="148" t="s">
        <v>149</v>
      </c>
      <c r="H39" s="148" t="s">
        <v>150</v>
      </c>
      <c r="I39" s="148" t="s">
        <v>151</v>
      </c>
      <c r="J39" s="148" t="s">
        <v>152</v>
      </c>
      <c r="K39" s="148" t="s">
        <v>153</v>
      </c>
      <c r="L39" s="148" t="s">
        <v>154</v>
      </c>
      <c r="M39" s="148" t="s">
        <v>155</v>
      </c>
      <c r="N39" s="50"/>
    </row>
    <row r="40" spans="1:14" x14ac:dyDescent="0.25">
      <c r="A40" s="50" t="s">
        <v>156</v>
      </c>
      <c r="B40" s="51">
        <v>447</v>
      </c>
      <c r="C40" s="51">
        <v>499</v>
      </c>
      <c r="D40" s="51">
        <v>434</v>
      </c>
      <c r="E40" s="51">
        <v>496</v>
      </c>
      <c r="F40" s="51">
        <v>486</v>
      </c>
      <c r="G40" s="51">
        <v>475</v>
      </c>
      <c r="H40" s="51">
        <v>420</v>
      </c>
      <c r="I40" s="51">
        <v>417</v>
      </c>
      <c r="J40" s="51">
        <v>435</v>
      </c>
      <c r="K40" s="51">
        <v>437</v>
      </c>
      <c r="L40" s="51">
        <v>485</v>
      </c>
      <c r="M40" s="51">
        <v>389</v>
      </c>
      <c r="N40" s="53">
        <f>SUM(B40:M40)</f>
        <v>5420</v>
      </c>
    </row>
    <row r="41" spans="1:14" x14ac:dyDescent="0.25">
      <c r="A41" s="50" t="s">
        <v>169</v>
      </c>
      <c r="B41" s="52">
        <v>660</v>
      </c>
      <c r="C41" s="52">
        <v>613</v>
      </c>
      <c r="D41" s="52">
        <v>667</v>
      </c>
      <c r="E41" s="52">
        <v>619</v>
      </c>
      <c r="F41" s="52">
        <v>630</v>
      </c>
      <c r="G41" s="52">
        <v>640</v>
      </c>
      <c r="H41" s="52">
        <v>694</v>
      </c>
      <c r="I41" s="52">
        <v>695</v>
      </c>
      <c r="J41" s="52">
        <v>682</v>
      </c>
      <c r="K41" s="52">
        <v>681</v>
      </c>
      <c r="L41" s="52">
        <v>636</v>
      </c>
      <c r="M41" s="52">
        <v>732</v>
      </c>
      <c r="N41" s="53">
        <f>SUM(B41:M41)</f>
        <v>7949</v>
      </c>
    </row>
    <row r="42" spans="1:14" x14ac:dyDescent="0.25">
      <c r="A42" s="50" t="s">
        <v>170</v>
      </c>
      <c r="B42" s="52">
        <v>33</v>
      </c>
      <c r="C42" s="52">
        <v>28</v>
      </c>
      <c r="D42" s="52">
        <v>33</v>
      </c>
      <c r="E42" s="52">
        <v>24</v>
      </c>
      <c r="F42" s="52">
        <v>24</v>
      </c>
      <c r="G42" s="52">
        <v>32</v>
      </c>
      <c r="H42" s="52">
        <v>35</v>
      </c>
      <c r="I42" s="52">
        <v>40</v>
      </c>
      <c r="J42" s="52">
        <v>41</v>
      </c>
      <c r="K42" s="52">
        <v>39</v>
      </c>
      <c r="L42" s="52">
        <v>36</v>
      </c>
      <c r="M42" s="52">
        <v>36</v>
      </c>
      <c r="N42" s="53">
        <f>SUM(B42:M42)</f>
        <v>401</v>
      </c>
    </row>
    <row r="43" spans="1:14" x14ac:dyDescent="0.25">
      <c r="A43" s="50"/>
      <c r="B43" s="52">
        <f>SUM(B40:B42)</f>
        <v>1140</v>
      </c>
      <c r="C43" s="52">
        <f t="shared" ref="C43:M43" si="3">SUM(C40:C42)</f>
        <v>1140</v>
      </c>
      <c r="D43" s="52">
        <f t="shared" si="3"/>
        <v>1134</v>
      </c>
      <c r="E43" s="52">
        <f t="shared" si="3"/>
        <v>1139</v>
      </c>
      <c r="F43" s="52">
        <f t="shared" si="3"/>
        <v>1140</v>
      </c>
      <c r="G43" s="52">
        <f t="shared" si="3"/>
        <v>1147</v>
      </c>
      <c r="H43" s="52">
        <f t="shared" si="3"/>
        <v>1149</v>
      </c>
      <c r="I43" s="52">
        <f t="shared" si="3"/>
        <v>1152</v>
      </c>
      <c r="J43" s="52">
        <f t="shared" si="3"/>
        <v>1158</v>
      </c>
      <c r="K43" s="52">
        <f t="shared" si="3"/>
        <v>1157</v>
      </c>
      <c r="L43" s="52">
        <f t="shared" si="3"/>
        <v>1157</v>
      </c>
      <c r="M43" s="52">
        <f t="shared" si="3"/>
        <v>1157</v>
      </c>
      <c r="N43" s="53">
        <f>SUM(N40:N42)</f>
        <v>13770</v>
      </c>
    </row>
    <row r="45" spans="1:14" x14ac:dyDescent="0.25">
      <c r="A45" s="165" t="s">
        <v>175</v>
      </c>
      <c r="B45" s="165"/>
      <c r="C45" s="165"/>
      <c r="D45" s="165"/>
      <c r="E45" s="165"/>
      <c r="F45" s="165"/>
    </row>
    <row r="46" spans="1:14" x14ac:dyDescent="0.25">
      <c r="B46" s="148" t="s">
        <v>143</v>
      </c>
      <c r="C46" s="148" t="s">
        <v>158</v>
      </c>
      <c r="D46" s="148" t="s">
        <v>172</v>
      </c>
      <c r="E46" s="148" t="s">
        <v>173</v>
      </c>
      <c r="F46" s="148" t="s">
        <v>174</v>
      </c>
    </row>
    <row r="47" spans="1:14" x14ac:dyDescent="0.25">
      <c r="A47" s="20" t="s">
        <v>156</v>
      </c>
      <c r="B47" s="45">
        <f>N40</f>
        <v>5420</v>
      </c>
      <c r="C47" s="45">
        <f>N33</f>
        <v>5215400</v>
      </c>
      <c r="D47" s="45">
        <f>N33</f>
        <v>5215400</v>
      </c>
      <c r="E47" s="45"/>
      <c r="G47" s="45">
        <f>SUM(D47:F47)</f>
        <v>5215400</v>
      </c>
    </row>
    <row r="48" spans="1:14" x14ac:dyDescent="0.25">
      <c r="A48" s="20" t="s">
        <v>169</v>
      </c>
      <c r="B48" s="44">
        <f>N41</f>
        <v>7949</v>
      </c>
      <c r="C48" s="44">
        <f>N34</f>
        <v>37728900</v>
      </c>
      <c r="D48" s="45">
        <f>B48*2000</f>
        <v>15898000</v>
      </c>
      <c r="E48" s="45">
        <f>N34-D48</f>
        <v>21830900</v>
      </c>
      <c r="G48" s="45">
        <f>SUM(D48:F48)</f>
        <v>37728900</v>
      </c>
    </row>
    <row r="49" spans="1:9" x14ac:dyDescent="0.25">
      <c r="A49" s="20" t="s">
        <v>170</v>
      </c>
      <c r="B49" s="44">
        <f>N42</f>
        <v>401</v>
      </c>
      <c r="C49" s="44">
        <f>N35</f>
        <v>29466900</v>
      </c>
      <c r="D49" s="45">
        <f>B49*2000</f>
        <v>802000</v>
      </c>
      <c r="E49" s="45">
        <f>B49*18000</f>
        <v>7218000</v>
      </c>
      <c r="F49" s="45">
        <f>N35-(D49+E49)</f>
        <v>21446900</v>
      </c>
      <c r="G49" s="45">
        <f>SUM(D49:F49)</f>
        <v>29466900</v>
      </c>
    </row>
    <row r="50" spans="1:9" x14ac:dyDescent="0.25">
      <c r="A50" s="20" t="s">
        <v>176</v>
      </c>
      <c r="B50" s="44">
        <f>SUM(B47:B49)</f>
        <v>13770</v>
      </c>
      <c r="C50" s="44">
        <f>SUM(C47:C49)</f>
        <v>72411200</v>
      </c>
      <c r="D50" s="45">
        <f>SUM(D47:D49)</f>
        <v>21915400</v>
      </c>
      <c r="E50" s="45">
        <f>SUM(E48:E49)</f>
        <v>29048900</v>
      </c>
      <c r="F50" s="45">
        <f>SUM(F49)</f>
        <v>21446900</v>
      </c>
      <c r="G50" s="45">
        <f>SUM(G47:G49)</f>
        <v>72411200</v>
      </c>
      <c r="I50" s="45"/>
    </row>
    <row r="51" spans="1:9" x14ac:dyDescent="0.25">
      <c r="D51" s="45"/>
      <c r="F51" s="45"/>
    </row>
    <row r="52" spans="1:9" x14ac:dyDescent="0.25">
      <c r="A52" s="165" t="s">
        <v>177</v>
      </c>
      <c r="B52" s="166"/>
      <c r="C52" s="166"/>
      <c r="D52" s="166"/>
      <c r="E52" s="166"/>
      <c r="F52" s="166"/>
    </row>
    <row r="53" spans="1:9" x14ac:dyDescent="0.25">
      <c r="A53" s="148"/>
      <c r="B53" s="148" t="s">
        <v>143</v>
      </c>
      <c r="C53" s="148" t="s">
        <v>158</v>
      </c>
      <c r="D53" s="165" t="s">
        <v>165</v>
      </c>
      <c r="E53" s="165"/>
      <c r="F53" s="148" t="s">
        <v>166</v>
      </c>
    </row>
    <row r="54" spans="1:9" x14ac:dyDescent="0.25">
      <c r="A54" s="20" t="s">
        <v>156</v>
      </c>
      <c r="B54" s="45">
        <f>B50</f>
        <v>13770</v>
      </c>
      <c r="C54" s="45">
        <f>D50</f>
        <v>21915400</v>
      </c>
      <c r="D54" s="46">
        <f>24.19*1.1092</f>
        <v>26.831548000000002</v>
      </c>
      <c r="E54" s="20" t="s">
        <v>167</v>
      </c>
      <c r="F54" s="17">
        <f>B54*D54</f>
        <v>369470.41596000001</v>
      </c>
    </row>
    <row r="55" spans="1:9" x14ac:dyDescent="0.25">
      <c r="A55" s="20" t="s">
        <v>169</v>
      </c>
      <c r="B55" s="44"/>
      <c r="C55" s="44">
        <f>E50</f>
        <v>29048900</v>
      </c>
      <c r="D55" s="141">
        <f>0.00844*1.1092</f>
        <v>9.3616479999999985E-3</v>
      </c>
      <c r="E55" s="20" t="s">
        <v>168</v>
      </c>
      <c r="F55" s="17">
        <f>C55*D55</f>
        <v>271945.57658719993</v>
      </c>
    </row>
    <row r="56" spans="1:9" x14ac:dyDescent="0.25">
      <c r="A56" s="20" t="s">
        <v>170</v>
      </c>
      <c r="C56" s="45">
        <f>F50</f>
        <v>21446900</v>
      </c>
      <c r="D56" s="144">
        <f>1.1092*0.0075</f>
        <v>8.319E-3</v>
      </c>
      <c r="E56" s="20" t="s">
        <v>168</v>
      </c>
      <c r="F56" s="48">
        <f>D56*C56</f>
        <v>178416.7611</v>
      </c>
    </row>
    <row r="57" spans="1:9" x14ac:dyDescent="0.25">
      <c r="A57" s="20" t="s">
        <v>176</v>
      </c>
      <c r="B57" s="44">
        <f>SUM(B54:B56)</f>
        <v>13770</v>
      </c>
      <c r="C57" s="45">
        <f>SUM(C54:C56)</f>
        <v>72411200</v>
      </c>
      <c r="F57" s="48">
        <f>SUM(F54:F56)</f>
        <v>819832.75364719995</v>
      </c>
    </row>
    <row r="58" spans="1:9" x14ac:dyDescent="0.25">
      <c r="E58" s="45"/>
    </row>
    <row r="59" spans="1:9" x14ac:dyDescent="0.25">
      <c r="A59" s="165"/>
      <c r="B59" s="166"/>
      <c r="C59" s="166"/>
      <c r="D59" s="166"/>
      <c r="E59" s="166"/>
      <c r="F59" s="166"/>
    </row>
    <row r="61" spans="1:9" x14ac:dyDescent="0.25">
      <c r="A61" s="165" t="s">
        <v>163</v>
      </c>
      <c r="B61" s="165"/>
      <c r="C61" s="165"/>
      <c r="D61" s="165"/>
      <c r="E61" s="165"/>
      <c r="F61" s="165"/>
    </row>
    <row r="62" spans="1:9" x14ac:dyDescent="0.25">
      <c r="B62" s="148" t="s">
        <v>143</v>
      </c>
      <c r="C62" s="148" t="s">
        <v>178</v>
      </c>
      <c r="D62" s="148" t="s">
        <v>179</v>
      </c>
      <c r="E62" s="148" t="s">
        <v>39</v>
      </c>
    </row>
    <row r="63" spans="1:9" x14ac:dyDescent="0.25">
      <c r="A63" s="20" t="s">
        <v>164</v>
      </c>
      <c r="B63" s="20">
        <v>12</v>
      </c>
      <c r="C63" s="44">
        <f>12*1300000</f>
        <v>15600000</v>
      </c>
      <c r="D63" s="45">
        <f>C79</f>
        <v>51666900</v>
      </c>
      <c r="E63" s="44">
        <f>C63+D63</f>
        <v>67266900</v>
      </c>
    </row>
    <row r="64" spans="1:9" x14ac:dyDescent="0.25">
      <c r="A64" s="20" t="s">
        <v>39</v>
      </c>
      <c r="B64" s="20">
        <f>SUM(B63:B63)</f>
        <v>12</v>
      </c>
      <c r="C64" s="44">
        <f>SUM(C63:C63)</f>
        <v>15600000</v>
      </c>
      <c r="D64" s="44">
        <f>SUM(D63)</f>
        <v>51666900</v>
      </c>
      <c r="E64" s="44">
        <f>SUM(E63:E63)</f>
        <v>67266900</v>
      </c>
    </row>
    <row r="66" spans="1:4" x14ac:dyDescent="0.25">
      <c r="A66" s="148" t="s">
        <v>159</v>
      </c>
      <c r="B66" s="148" t="s">
        <v>160</v>
      </c>
      <c r="C66" s="148" t="s">
        <v>161</v>
      </c>
      <c r="D66" s="148" t="s">
        <v>162</v>
      </c>
    </row>
    <row r="67" spans="1:4" x14ac:dyDescent="0.25">
      <c r="A67" s="20" t="s">
        <v>144</v>
      </c>
      <c r="B67" s="44">
        <v>5068100</v>
      </c>
      <c r="C67" s="44">
        <f>IF((B67-1300000)&lt;0,0,(B67-1300000))</f>
        <v>3768100</v>
      </c>
      <c r="D67" s="20">
        <v>0</v>
      </c>
    </row>
    <row r="68" spans="1:4" x14ac:dyDescent="0.25">
      <c r="A68" s="20" t="s">
        <v>145</v>
      </c>
      <c r="B68" s="44">
        <v>5130600</v>
      </c>
      <c r="C68" s="44">
        <f t="shared" ref="C68:C78" si="4">IF((B68-1300000)&lt;0,0,(B68-1300000))</f>
        <v>3830600</v>
      </c>
      <c r="D68" s="20">
        <v>0</v>
      </c>
    </row>
    <row r="69" spans="1:4" x14ac:dyDescent="0.25">
      <c r="A69" s="20" t="s">
        <v>146</v>
      </c>
      <c r="B69" s="44">
        <v>5144200</v>
      </c>
      <c r="C69" s="44">
        <f t="shared" si="4"/>
        <v>3844200</v>
      </c>
      <c r="D69" s="20">
        <v>0</v>
      </c>
    </row>
    <row r="70" spans="1:4" x14ac:dyDescent="0.25">
      <c r="A70" s="20" t="s">
        <v>147</v>
      </c>
      <c r="B70" s="44">
        <v>4795600</v>
      </c>
      <c r="C70" s="44">
        <f t="shared" si="4"/>
        <v>3495600</v>
      </c>
      <c r="D70" s="20">
        <v>0</v>
      </c>
    </row>
    <row r="71" spans="1:4" x14ac:dyDescent="0.25">
      <c r="A71" s="20" t="s">
        <v>148</v>
      </c>
      <c r="B71" s="44">
        <v>4584600</v>
      </c>
      <c r="C71" s="44">
        <f t="shared" si="4"/>
        <v>3284600</v>
      </c>
      <c r="D71" s="20">
        <v>0</v>
      </c>
    </row>
    <row r="72" spans="1:4" x14ac:dyDescent="0.25">
      <c r="A72" s="20" t="s">
        <v>149</v>
      </c>
      <c r="B72" s="44">
        <v>5393400</v>
      </c>
      <c r="C72" s="44">
        <f t="shared" si="4"/>
        <v>4093400</v>
      </c>
      <c r="D72" s="20">
        <v>0</v>
      </c>
    </row>
    <row r="73" spans="1:4" x14ac:dyDescent="0.25">
      <c r="A73" s="20" t="s">
        <v>150</v>
      </c>
      <c r="B73" s="44">
        <v>5925500</v>
      </c>
      <c r="C73" s="44">
        <f t="shared" si="4"/>
        <v>4625500</v>
      </c>
      <c r="D73" s="20">
        <v>0</v>
      </c>
    </row>
    <row r="74" spans="1:4" x14ac:dyDescent="0.25">
      <c r="A74" s="20" t="s">
        <v>151</v>
      </c>
      <c r="B74" s="44">
        <v>6243200</v>
      </c>
      <c r="C74" s="44">
        <f t="shared" si="4"/>
        <v>4943200</v>
      </c>
      <c r="D74" s="20">
        <v>0</v>
      </c>
    </row>
    <row r="75" spans="1:4" x14ac:dyDescent="0.25">
      <c r="A75" s="20" t="s">
        <v>152</v>
      </c>
      <c r="B75" s="44">
        <v>5511700</v>
      </c>
      <c r="C75" s="44">
        <f t="shared" si="4"/>
        <v>4211700</v>
      </c>
      <c r="D75" s="20">
        <v>0</v>
      </c>
    </row>
    <row r="76" spans="1:4" x14ac:dyDescent="0.25">
      <c r="A76" s="20" t="s">
        <v>153</v>
      </c>
      <c r="B76" s="44">
        <v>5354000</v>
      </c>
      <c r="C76" s="44">
        <f t="shared" si="4"/>
        <v>4054000</v>
      </c>
      <c r="D76" s="20">
        <v>0</v>
      </c>
    </row>
    <row r="77" spans="1:4" x14ac:dyDescent="0.25">
      <c r="A77" s="20" t="s">
        <v>154</v>
      </c>
      <c r="B77" s="44">
        <v>6860200</v>
      </c>
      <c r="C77" s="44">
        <f t="shared" si="4"/>
        <v>5560200</v>
      </c>
      <c r="D77" s="20">
        <v>0</v>
      </c>
    </row>
    <row r="78" spans="1:4" x14ac:dyDescent="0.25">
      <c r="A78" s="20" t="s">
        <v>155</v>
      </c>
      <c r="B78" s="44">
        <v>7255800</v>
      </c>
      <c r="C78" s="44">
        <f t="shared" si="4"/>
        <v>5955800</v>
      </c>
      <c r="D78" s="20">
        <v>0</v>
      </c>
    </row>
    <row r="79" spans="1:4" x14ac:dyDescent="0.25">
      <c r="B79" s="45">
        <f>SUM(B67:B78)</f>
        <v>67266900</v>
      </c>
      <c r="C79" s="44">
        <f>SUM(C67:C78)</f>
        <v>51666900</v>
      </c>
    </row>
    <row r="81" spans="1:6" x14ac:dyDescent="0.25">
      <c r="A81" s="157" t="s">
        <v>163</v>
      </c>
      <c r="B81" s="157"/>
      <c r="C81" s="157"/>
      <c r="D81" s="157"/>
      <c r="E81" s="157"/>
      <c r="F81" s="157"/>
    </row>
    <row r="82" spans="1:6" x14ac:dyDescent="0.25">
      <c r="B82" s="148" t="s">
        <v>143</v>
      </c>
      <c r="C82" s="148" t="s">
        <v>158</v>
      </c>
      <c r="D82" s="148" t="s">
        <v>165</v>
      </c>
      <c r="E82" s="148"/>
      <c r="F82" s="148" t="s">
        <v>166</v>
      </c>
    </row>
    <row r="83" spans="1:6" x14ac:dyDescent="0.25">
      <c r="A83" s="20" t="s">
        <v>180</v>
      </c>
      <c r="B83" s="149">
        <v>12</v>
      </c>
      <c r="C83" s="45">
        <f>C63</f>
        <v>15600000</v>
      </c>
      <c r="D83" s="17">
        <f>1.1092*9703.13</f>
        <v>10762.711796</v>
      </c>
      <c r="E83" s="20" t="s">
        <v>167</v>
      </c>
      <c r="F83" s="48">
        <f>12*D83</f>
        <v>129152.541552</v>
      </c>
    </row>
    <row r="84" spans="1:6" x14ac:dyDescent="0.25">
      <c r="A84" s="20" t="s">
        <v>181</v>
      </c>
      <c r="C84" s="45">
        <f>D63</f>
        <v>51666900</v>
      </c>
      <c r="D84" s="20">
        <f>1.1092*0.00844</f>
        <v>9.3616479999999985E-3</v>
      </c>
      <c r="E84" s="20" t="s">
        <v>168</v>
      </c>
      <c r="F84" s="17">
        <f>C84*D84</f>
        <v>483687.33105119993</v>
      </c>
    </row>
    <row r="85" spans="1:6" x14ac:dyDescent="0.25">
      <c r="A85" s="20" t="s">
        <v>39</v>
      </c>
      <c r="C85" s="45">
        <f>SUM(C83:C84)</f>
        <v>67266900</v>
      </c>
      <c r="F85" s="48">
        <f>SUM(F83:F84)</f>
        <v>612839.87260319991</v>
      </c>
    </row>
    <row r="87" spans="1:6" x14ac:dyDescent="0.25">
      <c r="A87" s="20" t="s">
        <v>39</v>
      </c>
      <c r="B87" s="45">
        <f>B57+B83</f>
        <v>13782</v>
      </c>
      <c r="C87" s="45">
        <f>C57+C85</f>
        <v>139678100</v>
      </c>
      <c r="F87" s="48">
        <f>F57+F85</f>
        <v>1432672.6262503997</v>
      </c>
    </row>
    <row r="90" spans="1:6" x14ac:dyDescent="0.25">
      <c r="A90" s="103" t="s">
        <v>487</v>
      </c>
      <c r="B90" s="150">
        <v>0.33</v>
      </c>
    </row>
    <row r="91" spans="1:6" x14ac:dyDescent="0.25">
      <c r="A91" s="103" t="s">
        <v>488</v>
      </c>
      <c r="B91" s="17">
        <v>1432704.96</v>
      </c>
    </row>
    <row r="92" spans="1:6" x14ac:dyDescent="0.25">
      <c r="A92" s="103" t="s">
        <v>489</v>
      </c>
      <c r="B92" s="17" t="s">
        <v>492</v>
      </c>
    </row>
    <row r="93" spans="1:6" x14ac:dyDescent="0.25">
      <c r="A93" s="103" t="s">
        <v>491</v>
      </c>
      <c r="B93" s="151" t="s">
        <v>493</v>
      </c>
    </row>
  </sheetData>
  <mergeCells count="10">
    <mergeCell ref="D53:E53"/>
    <mergeCell ref="A59:F59"/>
    <mergeCell ref="A61:F61"/>
    <mergeCell ref="A81:F81"/>
    <mergeCell ref="B16:M16"/>
    <mergeCell ref="B23:M23"/>
    <mergeCell ref="B31:M31"/>
    <mergeCell ref="B38:M38"/>
    <mergeCell ref="A45:F45"/>
    <mergeCell ref="A52:F5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DC795-267D-4EC7-A5B2-A379535FA704}">
  <dimension ref="A1:N93"/>
  <sheetViews>
    <sheetView topLeftCell="A75" workbookViewId="0">
      <selection activeCell="E93" sqref="E93"/>
    </sheetView>
  </sheetViews>
  <sheetFormatPr defaultRowHeight="15" x14ac:dyDescent="0.25"/>
  <cols>
    <col min="1" max="1" width="29.28515625" style="20" customWidth="1"/>
    <col min="2" max="2" width="22.5703125" style="20" customWidth="1"/>
    <col min="3" max="3" width="14.42578125" style="20" bestFit="1" customWidth="1"/>
    <col min="4" max="4" width="15" style="20" customWidth="1"/>
    <col min="5" max="6" width="14.42578125" style="20" bestFit="1" customWidth="1"/>
    <col min="7" max="9" width="14.28515625" style="20" bestFit="1" customWidth="1"/>
    <col min="10" max="11" width="12.85546875" style="20" customWidth="1"/>
    <col min="12" max="12" width="11.28515625" style="20" customWidth="1"/>
    <col min="13" max="13" width="12.140625" style="20" customWidth="1"/>
    <col min="14" max="14" width="14.42578125" style="20" customWidth="1"/>
    <col min="15" max="16384" width="9.140625" style="20"/>
  </cols>
  <sheetData>
    <row r="1" spans="1:13" x14ac:dyDescent="0.25">
      <c r="A1" s="148" t="s">
        <v>141</v>
      </c>
      <c r="B1" s="148" t="s">
        <v>142</v>
      </c>
      <c r="C1" s="148" t="s">
        <v>143</v>
      </c>
    </row>
    <row r="2" spans="1:13" x14ac:dyDescent="0.25">
      <c r="A2" s="20" t="s">
        <v>144</v>
      </c>
      <c r="B2" s="104">
        <v>10645300</v>
      </c>
      <c r="C2" s="44">
        <v>1141</v>
      </c>
    </row>
    <row r="3" spans="1:13" x14ac:dyDescent="0.25">
      <c r="A3" s="20" t="s">
        <v>145</v>
      </c>
      <c r="B3" s="44">
        <v>10655900</v>
      </c>
      <c r="C3" s="44">
        <v>1141</v>
      </c>
    </row>
    <row r="4" spans="1:13" x14ac:dyDescent="0.25">
      <c r="A4" s="20" t="s">
        <v>146</v>
      </c>
      <c r="B4" s="44">
        <v>11435900</v>
      </c>
      <c r="C4" s="44">
        <v>1135</v>
      </c>
    </row>
    <row r="5" spans="1:13" x14ac:dyDescent="0.25">
      <c r="A5" s="20" t="s">
        <v>147</v>
      </c>
      <c r="B5" s="44">
        <v>9931000</v>
      </c>
      <c r="C5" s="44">
        <v>1140</v>
      </c>
    </row>
    <row r="6" spans="1:13" x14ac:dyDescent="0.25">
      <c r="A6" s="20" t="s">
        <v>148</v>
      </c>
      <c r="B6" s="44">
        <v>9995900</v>
      </c>
      <c r="C6" s="44">
        <v>1141</v>
      </c>
    </row>
    <row r="7" spans="1:13" x14ac:dyDescent="0.25">
      <c r="A7" s="20" t="s">
        <v>149</v>
      </c>
      <c r="B7" s="44">
        <v>11474600</v>
      </c>
      <c r="C7" s="44">
        <v>1148</v>
      </c>
    </row>
    <row r="8" spans="1:13" x14ac:dyDescent="0.25">
      <c r="A8" s="20" t="s">
        <v>150</v>
      </c>
      <c r="B8" s="44">
        <v>12429300</v>
      </c>
      <c r="C8" s="44">
        <v>1150</v>
      </c>
    </row>
    <row r="9" spans="1:13" x14ac:dyDescent="0.25">
      <c r="A9" s="20" t="s">
        <v>151</v>
      </c>
      <c r="B9" s="44">
        <v>12720000</v>
      </c>
      <c r="C9" s="44">
        <v>1153</v>
      </c>
    </row>
    <row r="10" spans="1:13" x14ac:dyDescent="0.25">
      <c r="A10" s="20" t="s">
        <v>152</v>
      </c>
      <c r="B10" s="44">
        <v>11904600</v>
      </c>
      <c r="C10" s="44">
        <v>1159</v>
      </c>
    </row>
    <row r="11" spans="1:13" x14ac:dyDescent="0.25">
      <c r="A11" s="20" t="s">
        <v>153</v>
      </c>
      <c r="B11" s="44">
        <v>12129300</v>
      </c>
      <c r="C11" s="44">
        <v>1158</v>
      </c>
    </row>
    <row r="12" spans="1:13" x14ac:dyDescent="0.25">
      <c r="A12" s="20" t="s">
        <v>154</v>
      </c>
      <c r="B12" s="44">
        <v>12685300</v>
      </c>
      <c r="C12" s="44">
        <v>1158</v>
      </c>
    </row>
    <row r="13" spans="1:13" x14ac:dyDescent="0.25">
      <c r="A13" s="20" t="s">
        <v>155</v>
      </c>
      <c r="B13" s="44">
        <v>13671000</v>
      </c>
      <c r="C13" s="44">
        <v>1158</v>
      </c>
    </row>
    <row r="14" spans="1:13" x14ac:dyDescent="0.25">
      <c r="B14" s="45">
        <f>SUM(B2:B13)</f>
        <v>139678100</v>
      </c>
      <c r="C14" s="44">
        <f>SUM(C2:C13)</f>
        <v>13782</v>
      </c>
    </row>
    <row r="15" spans="1:13" x14ac:dyDescent="0.25">
      <c r="B15" s="45"/>
      <c r="C15" s="44"/>
    </row>
    <row r="16" spans="1:13" x14ac:dyDescent="0.25">
      <c r="B16" s="157" t="s">
        <v>247</v>
      </c>
      <c r="C16" s="158"/>
      <c r="D16" s="158"/>
      <c r="E16" s="158"/>
      <c r="F16" s="158"/>
      <c r="G16" s="158"/>
      <c r="H16" s="158"/>
      <c r="I16" s="158"/>
      <c r="J16" s="158"/>
      <c r="K16" s="158"/>
      <c r="L16" s="158"/>
      <c r="M16" s="158"/>
    </row>
    <row r="17" spans="1:14" x14ac:dyDescent="0.25">
      <c r="B17" s="148" t="s">
        <v>144</v>
      </c>
      <c r="C17" s="148" t="s">
        <v>145</v>
      </c>
      <c r="D17" s="148" t="s">
        <v>146</v>
      </c>
      <c r="E17" s="148" t="s">
        <v>147</v>
      </c>
      <c r="F17" s="148" t="s">
        <v>148</v>
      </c>
      <c r="G17" s="148" t="s">
        <v>149</v>
      </c>
      <c r="H17" s="148" t="s">
        <v>150</v>
      </c>
      <c r="I17" s="148" t="s">
        <v>151</v>
      </c>
      <c r="J17" s="148" t="s">
        <v>152</v>
      </c>
      <c r="K17" s="148" t="s">
        <v>153</v>
      </c>
      <c r="L17" s="148" t="s">
        <v>154</v>
      </c>
      <c r="M17" s="148" t="s">
        <v>155</v>
      </c>
      <c r="N17" s="148" t="s">
        <v>39</v>
      </c>
    </row>
    <row r="18" spans="1:14" x14ac:dyDescent="0.25">
      <c r="A18" s="20" t="s">
        <v>156</v>
      </c>
      <c r="B18" s="49">
        <v>420600</v>
      </c>
      <c r="C18" s="44">
        <v>469700</v>
      </c>
      <c r="D18" s="44">
        <v>422100</v>
      </c>
      <c r="E18" s="44">
        <v>481000</v>
      </c>
      <c r="F18" s="44">
        <v>466200</v>
      </c>
      <c r="G18" s="44">
        <v>461500</v>
      </c>
      <c r="H18" s="44">
        <v>413900</v>
      </c>
      <c r="I18" s="44">
        <v>381700</v>
      </c>
      <c r="J18" s="44">
        <v>420300</v>
      </c>
      <c r="K18" s="44">
        <v>468400</v>
      </c>
      <c r="L18" s="44">
        <v>456000</v>
      </c>
      <c r="M18" s="44">
        <v>354000</v>
      </c>
      <c r="N18" s="45">
        <f>SUM(B18:M18)</f>
        <v>5215400</v>
      </c>
    </row>
    <row r="19" spans="1:14" x14ac:dyDescent="0.25">
      <c r="A19" s="20" t="s">
        <v>169</v>
      </c>
      <c r="B19" s="45">
        <v>3141100</v>
      </c>
      <c r="C19" s="45">
        <v>2754000</v>
      </c>
      <c r="D19" s="45">
        <v>3055200</v>
      </c>
      <c r="E19" s="45">
        <v>2758800</v>
      </c>
      <c r="F19" s="45">
        <v>3059600</v>
      </c>
      <c r="G19" s="45">
        <v>3102600</v>
      </c>
      <c r="H19" s="45">
        <v>3497500</v>
      </c>
      <c r="I19" s="45">
        <v>3425900</v>
      </c>
      <c r="J19" s="45">
        <v>3267800</v>
      </c>
      <c r="K19" s="45">
        <v>3240400</v>
      </c>
      <c r="L19" s="45">
        <v>2801600</v>
      </c>
      <c r="M19" s="45">
        <v>3624400</v>
      </c>
      <c r="N19" s="45">
        <f>SUM(B19:M19)</f>
        <v>37728900</v>
      </c>
    </row>
    <row r="20" spans="1:14" x14ac:dyDescent="0.25">
      <c r="A20" s="20" t="s">
        <v>170</v>
      </c>
      <c r="B20" s="44">
        <v>7083600</v>
      </c>
      <c r="C20" s="44">
        <v>7432200</v>
      </c>
      <c r="D20" s="44">
        <v>7958600</v>
      </c>
      <c r="E20" s="44">
        <v>6691200</v>
      </c>
      <c r="F20" s="44">
        <v>6470100</v>
      </c>
      <c r="G20" s="44">
        <v>7910500</v>
      </c>
      <c r="H20" s="44">
        <v>8517900</v>
      </c>
      <c r="I20" s="44">
        <v>8912400</v>
      </c>
      <c r="J20" s="44">
        <v>8216500</v>
      </c>
      <c r="K20" s="44">
        <v>8420500</v>
      </c>
      <c r="L20" s="44">
        <v>9427700</v>
      </c>
      <c r="M20" s="44">
        <v>9692600</v>
      </c>
      <c r="N20" s="45">
        <f>SUM(B20:M20)</f>
        <v>96733800</v>
      </c>
    </row>
    <row r="21" spans="1:14" x14ac:dyDescent="0.25">
      <c r="A21" s="20" t="s">
        <v>39</v>
      </c>
      <c r="B21" s="45">
        <f t="shared" ref="B21:M21" si="0">SUM(B18:B20)</f>
        <v>10645300</v>
      </c>
      <c r="C21" s="45">
        <f t="shared" si="0"/>
        <v>10655900</v>
      </c>
      <c r="D21" s="45">
        <f t="shared" si="0"/>
        <v>11435900</v>
      </c>
      <c r="E21" s="45">
        <f t="shared" si="0"/>
        <v>9931000</v>
      </c>
      <c r="F21" s="45">
        <f t="shared" si="0"/>
        <v>9995900</v>
      </c>
      <c r="G21" s="45">
        <f t="shared" si="0"/>
        <v>11474600</v>
      </c>
      <c r="H21" s="45">
        <f t="shared" si="0"/>
        <v>12429300</v>
      </c>
      <c r="I21" s="45">
        <f t="shared" si="0"/>
        <v>12720000</v>
      </c>
      <c r="J21" s="45">
        <f t="shared" si="0"/>
        <v>11904600</v>
      </c>
      <c r="K21" s="45">
        <f t="shared" si="0"/>
        <v>12129300</v>
      </c>
      <c r="L21" s="45">
        <f t="shared" si="0"/>
        <v>12685300</v>
      </c>
      <c r="M21" s="45">
        <f t="shared" si="0"/>
        <v>13671000</v>
      </c>
      <c r="N21" s="45">
        <f>SUM(B21:M21)</f>
        <v>139678100</v>
      </c>
    </row>
    <row r="22" spans="1:14" x14ac:dyDescent="0.25">
      <c r="B22" s="45"/>
      <c r="C22" s="45"/>
      <c r="D22" s="45"/>
      <c r="E22" s="45"/>
      <c r="F22" s="45"/>
      <c r="G22" s="45"/>
      <c r="H22" s="45"/>
      <c r="I22" s="45"/>
      <c r="J22" s="45"/>
      <c r="K22" s="45"/>
      <c r="L22" s="45"/>
      <c r="M22" s="45"/>
      <c r="N22" s="45"/>
    </row>
    <row r="23" spans="1:14" x14ac:dyDescent="0.25">
      <c r="B23" s="157" t="s">
        <v>248</v>
      </c>
      <c r="C23" s="158"/>
      <c r="D23" s="158"/>
      <c r="E23" s="158"/>
      <c r="F23" s="158"/>
      <c r="G23" s="158"/>
      <c r="H23" s="158"/>
      <c r="I23" s="158"/>
      <c r="J23" s="158"/>
      <c r="K23" s="158"/>
      <c r="L23" s="158"/>
      <c r="M23" s="158"/>
    </row>
    <row r="24" spans="1:14" x14ac:dyDescent="0.25">
      <c r="A24" s="50"/>
      <c r="B24" s="148" t="s">
        <v>144</v>
      </c>
      <c r="C24" s="148" t="s">
        <v>145</v>
      </c>
      <c r="D24" s="148" t="s">
        <v>146</v>
      </c>
      <c r="E24" s="148" t="s">
        <v>147</v>
      </c>
      <c r="F24" s="148" t="s">
        <v>148</v>
      </c>
      <c r="G24" s="148" t="s">
        <v>149</v>
      </c>
      <c r="H24" s="148" t="s">
        <v>150</v>
      </c>
      <c r="I24" s="148" t="s">
        <v>151</v>
      </c>
      <c r="J24" s="148" t="s">
        <v>152</v>
      </c>
      <c r="K24" s="148" t="s">
        <v>153</v>
      </c>
      <c r="L24" s="148" t="s">
        <v>154</v>
      </c>
      <c r="M24" s="148" t="s">
        <v>155</v>
      </c>
      <c r="N24" s="50"/>
    </row>
    <row r="25" spans="1:14" x14ac:dyDescent="0.25">
      <c r="A25" s="50" t="s">
        <v>156</v>
      </c>
      <c r="B25" s="51">
        <v>447</v>
      </c>
      <c r="C25" s="51">
        <v>499</v>
      </c>
      <c r="D25" s="51">
        <v>434</v>
      </c>
      <c r="E25" s="51">
        <v>496</v>
      </c>
      <c r="F25" s="51">
        <v>486</v>
      </c>
      <c r="G25" s="51">
        <v>475</v>
      </c>
      <c r="H25" s="51">
        <v>420</v>
      </c>
      <c r="I25" s="51">
        <v>417</v>
      </c>
      <c r="J25" s="51">
        <v>435</v>
      </c>
      <c r="K25" s="51">
        <v>437</v>
      </c>
      <c r="L25" s="51">
        <v>485</v>
      </c>
      <c r="M25" s="51">
        <v>389</v>
      </c>
      <c r="N25" s="53">
        <f>SUM(B25:M25)</f>
        <v>5420</v>
      </c>
    </row>
    <row r="26" spans="1:14" x14ac:dyDescent="0.25">
      <c r="A26" s="50" t="s">
        <v>169</v>
      </c>
      <c r="B26" s="52">
        <v>660</v>
      </c>
      <c r="C26" s="52">
        <v>613</v>
      </c>
      <c r="D26" s="52">
        <v>667</v>
      </c>
      <c r="E26" s="52">
        <v>619</v>
      </c>
      <c r="F26" s="52">
        <v>630</v>
      </c>
      <c r="G26" s="52">
        <v>640</v>
      </c>
      <c r="H26" s="52">
        <v>694</v>
      </c>
      <c r="I26" s="52">
        <v>695</v>
      </c>
      <c r="J26" s="52">
        <v>682</v>
      </c>
      <c r="K26" s="52">
        <v>681</v>
      </c>
      <c r="L26" s="52">
        <v>636</v>
      </c>
      <c r="M26" s="52">
        <v>732</v>
      </c>
      <c r="N26" s="53">
        <f>SUM(B26:M26)</f>
        <v>7949</v>
      </c>
    </row>
    <row r="27" spans="1:14" x14ac:dyDescent="0.25">
      <c r="A27" s="50" t="s">
        <v>170</v>
      </c>
      <c r="B27" s="52">
        <v>34</v>
      </c>
      <c r="C27" s="52">
        <v>29</v>
      </c>
      <c r="D27" s="52">
        <v>34</v>
      </c>
      <c r="E27" s="52">
        <v>25</v>
      </c>
      <c r="F27" s="52">
        <v>25</v>
      </c>
      <c r="G27" s="52">
        <v>33</v>
      </c>
      <c r="H27" s="52">
        <v>36</v>
      </c>
      <c r="I27" s="52">
        <v>41</v>
      </c>
      <c r="J27" s="52">
        <v>42</v>
      </c>
      <c r="K27" s="52">
        <v>40</v>
      </c>
      <c r="L27" s="52">
        <v>37</v>
      </c>
      <c r="M27" s="52">
        <v>37</v>
      </c>
      <c r="N27" s="53">
        <f>SUM(B27:M27)</f>
        <v>413</v>
      </c>
    </row>
    <row r="28" spans="1:14" x14ac:dyDescent="0.25">
      <c r="A28" s="50"/>
      <c r="B28" s="52">
        <f t="shared" ref="B28:N28" si="1">SUM(B25:B27)</f>
        <v>1141</v>
      </c>
      <c r="C28" s="52">
        <f t="shared" si="1"/>
        <v>1141</v>
      </c>
      <c r="D28" s="52">
        <f t="shared" si="1"/>
        <v>1135</v>
      </c>
      <c r="E28" s="52">
        <f t="shared" si="1"/>
        <v>1140</v>
      </c>
      <c r="F28" s="52">
        <f t="shared" si="1"/>
        <v>1141</v>
      </c>
      <c r="G28" s="52">
        <f t="shared" si="1"/>
        <v>1148</v>
      </c>
      <c r="H28" s="52">
        <f t="shared" si="1"/>
        <v>1150</v>
      </c>
      <c r="I28" s="52">
        <f t="shared" si="1"/>
        <v>1153</v>
      </c>
      <c r="J28" s="52">
        <f t="shared" si="1"/>
        <v>1159</v>
      </c>
      <c r="K28" s="52">
        <f t="shared" si="1"/>
        <v>1158</v>
      </c>
      <c r="L28" s="52">
        <f t="shared" si="1"/>
        <v>1158</v>
      </c>
      <c r="M28" s="52">
        <f t="shared" si="1"/>
        <v>1158</v>
      </c>
      <c r="N28" s="53">
        <f t="shared" si="1"/>
        <v>13782</v>
      </c>
    </row>
    <row r="29" spans="1:14" x14ac:dyDescent="0.25">
      <c r="B29" s="45"/>
      <c r="C29" s="45"/>
      <c r="D29" s="45"/>
      <c r="E29" s="45"/>
      <c r="F29" s="45"/>
      <c r="G29" s="45"/>
      <c r="H29" s="45"/>
      <c r="I29" s="45"/>
      <c r="J29" s="45"/>
      <c r="K29" s="45"/>
      <c r="L29" s="45"/>
      <c r="M29" s="45"/>
      <c r="N29" s="45"/>
    </row>
    <row r="30" spans="1:14" x14ac:dyDescent="0.25">
      <c r="B30" s="45"/>
      <c r="C30" s="45"/>
      <c r="D30" s="45"/>
      <c r="E30" s="45"/>
      <c r="F30" s="45"/>
      <c r="G30" s="45"/>
      <c r="H30" s="45"/>
      <c r="I30" s="45"/>
      <c r="J30" s="45"/>
      <c r="K30" s="45"/>
      <c r="L30" s="45"/>
      <c r="M30" s="45"/>
      <c r="N30" s="45"/>
    </row>
    <row r="31" spans="1:14" x14ac:dyDescent="0.25">
      <c r="B31" s="167" t="s">
        <v>171</v>
      </c>
      <c r="C31" s="167"/>
      <c r="D31" s="167"/>
      <c r="E31" s="167"/>
      <c r="F31" s="167"/>
      <c r="G31" s="167"/>
      <c r="H31" s="167"/>
      <c r="I31" s="167"/>
      <c r="J31" s="167"/>
      <c r="K31" s="167"/>
      <c r="L31" s="167"/>
      <c r="M31" s="167"/>
      <c r="N31" s="45"/>
    </row>
    <row r="32" spans="1:14" x14ac:dyDescent="0.25">
      <c r="B32" s="146" t="s">
        <v>144</v>
      </c>
      <c r="C32" s="146" t="s">
        <v>145</v>
      </c>
      <c r="D32" s="146" t="s">
        <v>146</v>
      </c>
      <c r="E32" s="146" t="s">
        <v>147</v>
      </c>
      <c r="F32" s="146" t="s">
        <v>148</v>
      </c>
      <c r="G32" s="146" t="s">
        <v>149</v>
      </c>
      <c r="H32" s="146" t="s">
        <v>150</v>
      </c>
      <c r="I32" s="146" t="s">
        <v>151</v>
      </c>
      <c r="J32" s="146" t="s">
        <v>152</v>
      </c>
      <c r="K32" s="146" t="s">
        <v>153</v>
      </c>
      <c r="L32" s="146" t="s">
        <v>154</v>
      </c>
      <c r="M32" s="146" t="s">
        <v>155</v>
      </c>
      <c r="N32" s="146" t="s">
        <v>39</v>
      </c>
    </row>
    <row r="33" spans="1:14" x14ac:dyDescent="0.25">
      <c r="A33" s="20" t="s">
        <v>156</v>
      </c>
      <c r="B33" s="44">
        <v>420600</v>
      </c>
      <c r="C33" s="44">
        <v>469700</v>
      </c>
      <c r="D33" s="44">
        <v>422100</v>
      </c>
      <c r="E33" s="44">
        <v>481000</v>
      </c>
      <c r="F33" s="44">
        <v>466200</v>
      </c>
      <c r="G33" s="44">
        <v>461500</v>
      </c>
      <c r="H33" s="44">
        <v>413900</v>
      </c>
      <c r="I33" s="44">
        <v>381700</v>
      </c>
      <c r="J33" s="44">
        <v>420300</v>
      </c>
      <c r="K33" s="44">
        <v>468400</v>
      </c>
      <c r="L33" s="44">
        <v>456000</v>
      </c>
      <c r="M33" s="44">
        <v>354000</v>
      </c>
      <c r="N33" s="45">
        <f>SUM(B33:M33)</f>
        <v>5215400</v>
      </c>
    </row>
    <row r="34" spans="1:14" x14ac:dyDescent="0.25">
      <c r="A34" s="20" t="s">
        <v>169</v>
      </c>
      <c r="B34" s="44">
        <v>3141100</v>
      </c>
      <c r="C34" s="44">
        <v>2754000</v>
      </c>
      <c r="D34" s="44">
        <v>3055200</v>
      </c>
      <c r="E34" s="44">
        <v>2758800</v>
      </c>
      <c r="F34" s="44">
        <v>3059600</v>
      </c>
      <c r="G34" s="44">
        <v>3102600</v>
      </c>
      <c r="H34" s="44">
        <v>3497500</v>
      </c>
      <c r="I34" s="44">
        <v>3425900</v>
      </c>
      <c r="J34" s="44">
        <v>3267800</v>
      </c>
      <c r="K34" s="44">
        <v>3240400</v>
      </c>
      <c r="L34" s="44">
        <v>2801600</v>
      </c>
      <c r="M34" s="44">
        <v>3624400</v>
      </c>
      <c r="N34" s="45">
        <f>SUM(B34:M34)</f>
        <v>37728900</v>
      </c>
    </row>
    <row r="35" spans="1:14" x14ac:dyDescent="0.25">
      <c r="A35" s="20" t="s">
        <v>170</v>
      </c>
      <c r="B35" s="44">
        <f>7083600-B67</f>
        <v>2015500</v>
      </c>
      <c r="C35" s="44">
        <f>7432200-B68</f>
        <v>2301600</v>
      </c>
      <c r="D35" s="44">
        <f>7958600-B69</f>
        <v>2814400</v>
      </c>
      <c r="E35" s="44">
        <f>6691200-B70</f>
        <v>1895600</v>
      </c>
      <c r="F35" s="44">
        <f>6470100-B71</f>
        <v>1885500</v>
      </c>
      <c r="G35" s="44">
        <f>7910500-B72</f>
        <v>2517100</v>
      </c>
      <c r="H35" s="44">
        <f>8517900-B73</f>
        <v>2592400</v>
      </c>
      <c r="I35" s="44">
        <f>8912400-B74</f>
        <v>2669200</v>
      </c>
      <c r="J35" s="44">
        <f>8216500-B75</f>
        <v>2704800</v>
      </c>
      <c r="K35" s="44">
        <f>8420500-B76</f>
        <v>3066500</v>
      </c>
      <c r="L35" s="44">
        <f>9427700-B77</f>
        <v>2567500</v>
      </c>
      <c r="M35" s="44">
        <f>9692600-B78</f>
        <v>2436800</v>
      </c>
      <c r="N35" s="45">
        <f>SUM(B35:M35)</f>
        <v>29466900</v>
      </c>
    </row>
    <row r="36" spans="1:14" x14ac:dyDescent="0.25">
      <c r="A36" s="20" t="s">
        <v>39</v>
      </c>
      <c r="B36" s="45">
        <f t="shared" ref="B36:M36" si="2">SUM(B33:B35)</f>
        <v>5577200</v>
      </c>
      <c r="C36" s="45">
        <f t="shared" si="2"/>
        <v>5525300</v>
      </c>
      <c r="D36" s="45">
        <f t="shared" si="2"/>
        <v>6291700</v>
      </c>
      <c r="E36" s="45">
        <f t="shared" si="2"/>
        <v>5135400</v>
      </c>
      <c r="F36" s="45">
        <f t="shared" si="2"/>
        <v>5411300</v>
      </c>
      <c r="G36" s="45">
        <f t="shared" si="2"/>
        <v>6081200</v>
      </c>
      <c r="H36" s="45">
        <f t="shared" si="2"/>
        <v>6503800</v>
      </c>
      <c r="I36" s="45">
        <f t="shared" si="2"/>
        <v>6476800</v>
      </c>
      <c r="J36" s="45">
        <f t="shared" si="2"/>
        <v>6392900</v>
      </c>
      <c r="K36" s="45">
        <f t="shared" si="2"/>
        <v>6775300</v>
      </c>
      <c r="L36" s="45">
        <f t="shared" si="2"/>
        <v>5825100</v>
      </c>
      <c r="M36" s="45">
        <f t="shared" si="2"/>
        <v>6415200</v>
      </c>
      <c r="N36" s="45">
        <f>SUM(B36:M36)</f>
        <v>72411200</v>
      </c>
    </row>
    <row r="37" spans="1:14" x14ac:dyDescent="0.25">
      <c r="B37" s="45"/>
      <c r="C37" s="45"/>
      <c r="D37" s="45"/>
      <c r="E37" s="45"/>
      <c r="F37" s="45"/>
      <c r="G37" s="45"/>
      <c r="H37" s="45"/>
      <c r="I37" s="45"/>
      <c r="J37" s="45"/>
      <c r="K37" s="45"/>
      <c r="L37" s="45"/>
      <c r="M37" s="45"/>
      <c r="N37" s="45"/>
    </row>
    <row r="38" spans="1:14" x14ac:dyDescent="0.25">
      <c r="B38" s="158" t="s">
        <v>157</v>
      </c>
      <c r="C38" s="158"/>
      <c r="D38" s="158"/>
      <c r="E38" s="158"/>
      <c r="F38" s="158"/>
      <c r="G38" s="158"/>
      <c r="H38" s="158"/>
      <c r="I38" s="158"/>
      <c r="J38" s="158"/>
      <c r="K38" s="158"/>
      <c r="L38" s="158"/>
      <c r="M38" s="158"/>
    </row>
    <row r="39" spans="1:14" x14ac:dyDescent="0.25">
      <c r="A39" s="50"/>
      <c r="B39" s="148" t="s">
        <v>144</v>
      </c>
      <c r="C39" s="148" t="s">
        <v>145</v>
      </c>
      <c r="D39" s="148" t="s">
        <v>146</v>
      </c>
      <c r="E39" s="148" t="s">
        <v>147</v>
      </c>
      <c r="F39" s="148" t="s">
        <v>148</v>
      </c>
      <c r="G39" s="148" t="s">
        <v>149</v>
      </c>
      <c r="H39" s="148" t="s">
        <v>150</v>
      </c>
      <c r="I39" s="148" t="s">
        <v>151</v>
      </c>
      <c r="J39" s="148" t="s">
        <v>152</v>
      </c>
      <c r="K39" s="148" t="s">
        <v>153</v>
      </c>
      <c r="L39" s="148" t="s">
        <v>154</v>
      </c>
      <c r="M39" s="148" t="s">
        <v>155</v>
      </c>
      <c r="N39" s="50"/>
    </row>
    <row r="40" spans="1:14" x14ac:dyDescent="0.25">
      <c r="A40" s="50" t="s">
        <v>156</v>
      </c>
      <c r="B40" s="51">
        <v>447</v>
      </c>
      <c r="C40" s="51">
        <v>499</v>
      </c>
      <c r="D40" s="51">
        <v>434</v>
      </c>
      <c r="E40" s="51">
        <v>496</v>
      </c>
      <c r="F40" s="51">
        <v>486</v>
      </c>
      <c r="G40" s="51">
        <v>475</v>
      </c>
      <c r="H40" s="51">
        <v>420</v>
      </c>
      <c r="I40" s="51">
        <v>417</v>
      </c>
      <c r="J40" s="51">
        <v>435</v>
      </c>
      <c r="K40" s="51">
        <v>437</v>
      </c>
      <c r="L40" s="51">
        <v>485</v>
      </c>
      <c r="M40" s="51">
        <v>389</v>
      </c>
      <c r="N40" s="53">
        <f>SUM(B40:M40)</f>
        <v>5420</v>
      </c>
    </row>
    <row r="41" spans="1:14" x14ac:dyDescent="0.25">
      <c r="A41" s="50" t="s">
        <v>169</v>
      </c>
      <c r="B41" s="52">
        <v>660</v>
      </c>
      <c r="C41" s="52">
        <v>613</v>
      </c>
      <c r="D41" s="52">
        <v>667</v>
      </c>
      <c r="E41" s="52">
        <v>619</v>
      </c>
      <c r="F41" s="52">
        <v>630</v>
      </c>
      <c r="G41" s="52">
        <v>640</v>
      </c>
      <c r="H41" s="52">
        <v>694</v>
      </c>
      <c r="I41" s="52">
        <v>695</v>
      </c>
      <c r="J41" s="52">
        <v>682</v>
      </c>
      <c r="K41" s="52">
        <v>681</v>
      </c>
      <c r="L41" s="52">
        <v>636</v>
      </c>
      <c r="M41" s="52">
        <v>732</v>
      </c>
      <c r="N41" s="53">
        <f>SUM(B41:M41)</f>
        <v>7949</v>
      </c>
    </row>
    <row r="42" spans="1:14" x14ac:dyDescent="0.25">
      <c r="A42" s="50" t="s">
        <v>170</v>
      </c>
      <c r="B42" s="52">
        <v>33</v>
      </c>
      <c r="C42" s="52">
        <v>28</v>
      </c>
      <c r="D42" s="52">
        <v>33</v>
      </c>
      <c r="E42" s="52">
        <v>24</v>
      </c>
      <c r="F42" s="52">
        <v>24</v>
      </c>
      <c r="G42" s="52">
        <v>32</v>
      </c>
      <c r="H42" s="52">
        <v>35</v>
      </c>
      <c r="I42" s="52">
        <v>40</v>
      </c>
      <c r="J42" s="52">
        <v>41</v>
      </c>
      <c r="K42" s="52">
        <v>39</v>
      </c>
      <c r="L42" s="52">
        <v>36</v>
      </c>
      <c r="M42" s="52">
        <v>36</v>
      </c>
      <c r="N42" s="53">
        <f>SUM(B42:M42)</f>
        <v>401</v>
      </c>
    </row>
    <row r="43" spans="1:14" x14ac:dyDescent="0.25">
      <c r="A43" s="50"/>
      <c r="B43" s="52">
        <f t="shared" ref="B43:N43" si="3">SUM(B40:B42)</f>
        <v>1140</v>
      </c>
      <c r="C43" s="52">
        <f t="shared" si="3"/>
        <v>1140</v>
      </c>
      <c r="D43" s="52">
        <f t="shared" si="3"/>
        <v>1134</v>
      </c>
      <c r="E43" s="52">
        <f t="shared" si="3"/>
        <v>1139</v>
      </c>
      <c r="F43" s="52">
        <f t="shared" si="3"/>
        <v>1140</v>
      </c>
      <c r="G43" s="52">
        <f t="shared" si="3"/>
        <v>1147</v>
      </c>
      <c r="H43" s="52">
        <f t="shared" si="3"/>
        <v>1149</v>
      </c>
      <c r="I43" s="52">
        <f t="shared" si="3"/>
        <v>1152</v>
      </c>
      <c r="J43" s="52">
        <f t="shared" si="3"/>
        <v>1158</v>
      </c>
      <c r="K43" s="52">
        <f t="shared" si="3"/>
        <v>1157</v>
      </c>
      <c r="L43" s="52">
        <f t="shared" si="3"/>
        <v>1157</v>
      </c>
      <c r="M43" s="52">
        <f t="shared" si="3"/>
        <v>1157</v>
      </c>
      <c r="N43" s="53">
        <f t="shared" si="3"/>
        <v>13770</v>
      </c>
    </row>
    <row r="45" spans="1:14" x14ac:dyDescent="0.25">
      <c r="A45" s="165" t="s">
        <v>175</v>
      </c>
      <c r="B45" s="165"/>
      <c r="C45" s="165"/>
      <c r="D45" s="165"/>
      <c r="E45" s="165"/>
      <c r="F45" s="165"/>
    </row>
    <row r="46" spans="1:14" x14ac:dyDescent="0.25">
      <c r="B46" s="148" t="s">
        <v>143</v>
      </c>
      <c r="C46" s="148" t="s">
        <v>158</v>
      </c>
      <c r="D46" s="148" t="s">
        <v>172</v>
      </c>
      <c r="E46" s="148" t="s">
        <v>173</v>
      </c>
      <c r="F46" s="148" t="s">
        <v>174</v>
      </c>
    </row>
    <row r="47" spans="1:14" x14ac:dyDescent="0.25">
      <c r="A47" s="20" t="s">
        <v>156</v>
      </c>
      <c r="B47" s="45">
        <f>N40</f>
        <v>5420</v>
      </c>
      <c r="C47" s="45">
        <f>N33</f>
        <v>5215400</v>
      </c>
      <c r="D47" s="45">
        <f>N33</f>
        <v>5215400</v>
      </c>
      <c r="E47" s="45"/>
      <c r="G47" s="45">
        <f>SUM(D47:F47)</f>
        <v>5215400</v>
      </c>
    </row>
    <row r="48" spans="1:14" x14ac:dyDescent="0.25">
      <c r="A48" s="20" t="s">
        <v>169</v>
      </c>
      <c r="B48" s="44">
        <f>N41</f>
        <v>7949</v>
      </c>
      <c r="C48" s="44">
        <f>N34</f>
        <v>37728900</v>
      </c>
      <c r="D48" s="45">
        <f>B48*2000</f>
        <v>15898000</v>
      </c>
      <c r="E48" s="45">
        <f>N34-D48</f>
        <v>21830900</v>
      </c>
      <c r="G48" s="45">
        <f>SUM(D48:F48)</f>
        <v>37728900</v>
      </c>
    </row>
    <row r="49" spans="1:9" x14ac:dyDescent="0.25">
      <c r="A49" s="20" t="s">
        <v>170</v>
      </c>
      <c r="B49" s="44">
        <f>N42</f>
        <v>401</v>
      </c>
      <c r="C49" s="44">
        <f>N35</f>
        <v>29466900</v>
      </c>
      <c r="D49" s="45">
        <f>B49*2000</f>
        <v>802000</v>
      </c>
      <c r="E49" s="45">
        <f>B49*18000</f>
        <v>7218000</v>
      </c>
      <c r="F49" s="45">
        <f>N35-(D49+E49)</f>
        <v>21446900</v>
      </c>
      <c r="G49" s="45">
        <f>SUM(D49:F49)</f>
        <v>29466900</v>
      </c>
    </row>
    <row r="50" spans="1:9" x14ac:dyDescent="0.25">
      <c r="A50" s="20" t="s">
        <v>176</v>
      </c>
      <c r="B50" s="44">
        <f>SUM(B47:B49)</f>
        <v>13770</v>
      </c>
      <c r="C50" s="44">
        <f>SUM(C47:C49)</f>
        <v>72411200</v>
      </c>
      <c r="D50" s="45">
        <f>SUM(D47:D49)</f>
        <v>21915400</v>
      </c>
      <c r="E50" s="45">
        <f>SUM(E48:E49)</f>
        <v>29048900</v>
      </c>
      <c r="F50" s="45">
        <f>SUM(F49)</f>
        <v>21446900</v>
      </c>
      <c r="G50" s="45">
        <f>SUM(G47:G49)</f>
        <v>72411200</v>
      </c>
      <c r="I50" s="45"/>
    </row>
    <row r="51" spans="1:9" x14ac:dyDescent="0.25">
      <c r="D51" s="45"/>
      <c r="F51" s="45"/>
    </row>
    <row r="52" spans="1:9" x14ac:dyDescent="0.25">
      <c r="A52" s="165" t="s">
        <v>177</v>
      </c>
      <c r="B52" s="166"/>
      <c r="C52" s="166"/>
      <c r="D52" s="166"/>
      <c r="E52" s="166"/>
      <c r="F52" s="166"/>
    </row>
    <row r="53" spans="1:9" x14ac:dyDescent="0.25">
      <c r="A53" s="148"/>
      <c r="B53" s="148" t="s">
        <v>143</v>
      </c>
      <c r="C53" s="148" t="s">
        <v>158</v>
      </c>
      <c r="D53" s="165" t="s">
        <v>165</v>
      </c>
      <c r="E53" s="165"/>
      <c r="F53" s="148" t="s">
        <v>166</v>
      </c>
    </row>
    <row r="54" spans="1:9" x14ac:dyDescent="0.25">
      <c r="A54" s="20" t="s">
        <v>156</v>
      </c>
      <c r="B54" s="45">
        <f>B50</f>
        <v>13770</v>
      </c>
      <c r="C54" s="45">
        <f>D50</f>
        <v>21915400</v>
      </c>
      <c r="D54" s="46">
        <f>24.19*1.1638</f>
        <v>28.152322000000002</v>
      </c>
      <c r="E54" s="20" t="s">
        <v>167</v>
      </c>
      <c r="F54" s="17">
        <f>B54*D54</f>
        <v>387657.47394</v>
      </c>
    </row>
    <row r="55" spans="1:9" x14ac:dyDescent="0.25">
      <c r="A55" s="20" t="s">
        <v>169</v>
      </c>
      <c r="B55" s="44"/>
      <c r="C55" s="44">
        <f>E50</f>
        <v>29048900</v>
      </c>
      <c r="D55" s="141">
        <f>0.00844*1.1638</f>
        <v>9.8224719999999988E-3</v>
      </c>
      <c r="E55" s="20" t="s">
        <v>168</v>
      </c>
      <c r="F55" s="17">
        <f>C55*D55</f>
        <v>285332.00688079995</v>
      </c>
    </row>
    <row r="56" spans="1:9" x14ac:dyDescent="0.25">
      <c r="A56" s="20" t="s">
        <v>170</v>
      </c>
      <c r="C56" s="45">
        <f>F50</f>
        <v>21446900</v>
      </c>
      <c r="D56" s="144">
        <f>1.1638*0.0075</f>
        <v>8.7284999999999984E-3</v>
      </c>
      <c r="E56" s="20" t="s">
        <v>168</v>
      </c>
      <c r="F56" s="48">
        <f>D56*C56</f>
        <v>187199.26664999998</v>
      </c>
    </row>
    <row r="57" spans="1:9" x14ac:dyDescent="0.25">
      <c r="A57" s="20" t="s">
        <v>176</v>
      </c>
      <c r="B57" s="44">
        <f>SUM(B54:B56)</f>
        <v>13770</v>
      </c>
      <c r="C57" s="45">
        <f>SUM(C54:C56)</f>
        <v>72411200</v>
      </c>
      <c r="F57" s="48">
        <f>SUM(F54:F56)</f>
        <v>860188.74747079995</v>
      </c>
    </row>
    <row r="58" spans="1:9" x14ac:dyDescent="0.25">
      <c r="E58" s="45"/>
    </row>
    <row r="59" spans="1:9" x14ac:dyDescent="0.25">
      <c r="A59" s="165"/>
      <c r="B59" s="166"/>
      <c r="C59" s="166"/>
      <c r="D59" s="166"/>
      <c r="E59" s="166"/>
      <c r="F59" s="166"/>
    </row>
    <row r="61" spans="1:9" x14ac:dyDescent="0.25">
      <c r="A61" s="165" t="s">
        <v>163</v>
      </c>
      <c r="B61" s="165"/>
      <c r="C61" s="165"/>
      <c r="D61" s="165"/>
      <c r="E61" s="165"/>
      <c r="F61" s="165"/>
    </row>
    <row r="62" spans="1:9" x14ac:dyDescent="0.25">
      <c r="B62" s="148" t="s">
        <v>143</v>
      </c>
      <c r="C62" s="148" t="s">
        <v>178</v>
      </c>
      <c r="D62" s="148" t="s">
        <v>179</v>
      </c>
      <c r="E62" s="148" t="s">
        <v>39</v>
      </c>
    </row>
    <row r="63" spans="1:9" x14ac:dyDescent="0.25">
      <c r="A63" s="20" t="s">
        <v>164</v>
      </c>
      <c r="B63" s="20">
        <v>12</v>
      </c>
      <c r="C63" s="44">
        <f>12*1300000</f>
        <v>15600000</v>
      </c>
      <c r="D63" s="45">
        <f>C79</f>
        <v>51666900</v>
      </c>
      <c r="E63" s="44">
        <f>C63+D63</f>
        <v>67266900</v>
      </c>
    </row>
    <row r="64" spans="1:9" x14ac:dyDescent="0.25">
      <c r="A64" s="20" t="s">
        <v>39</v>
      </c>
      <c r="B64" s="20">
        <f>SUM(B63:B63)</f>
        <v>12</v>
      </c>
      <c r="C64" s="44">
        <f>SUM(C63:C63)</f>
        <v>15600000</v>
      </c>
      <c r="D64" s="44">
        <f>SUM(D63)</f>
        <v>51666900</v>
      </c>
      <c r="E64" s="44">
        <f>SUM(E63:E63)</f>
        <v>67266900</v>
      </c>
    </row>
    <row r="66" spans="1:4" x14ac:dyDescent="0.25">
      <c r="A66" s="148" t="s">
        <v>159</v>
      </c>
      <c r="B66" s="148" t="s">
        <v>160</v>
      </c>
      <c r="C66" s="148" t="s">
        <v>161</v>
      </c>
      <c r="D66" s="148" t="s">
        <v>162</v>
      </c>
    </row>
    <row r="67" spans="1:4" x14ac:dyDescent="0.25">
      <c r="A67" s="20" t="s">
        <v>144</v>
      </c>
      <c r="B67" s="44">
        <v>5068100</v>
      </c>
      <c r="C67" s="44">
        <f t="shared" ref="C67:C78" si="4">IF((B67-1300000)&lt;0,0,(B67-1300000))</f>
        <v>3768100</v>
      </c>
      <c r="D67" s="20">
        <v>0</v>
      </c>
    </row>
    <row r="68" spans="1:4" x14ac:dyDescent="0.25">
      <c r="A68" s="20" t="s">
        <v>145</v>
      </c>
      <c r="B68" s="44">
        <v>5130600</v>
      </c>
      <c r="C68" s="44">
        <f t="shared" si="4"/>
        <v>3830600</v>
      </c>
      <c r="D68" s="20">
        <v>0</v>
      </c>
    </row>
    <row r="69" spans="1:4" x14ac:dyDescent="0.25">
      <c r="A69" s="20" t="s">
        <v>146</v>
      </c>
      <c r="B69" s="44">
        <v>5144200</v>
      </c>
      <c r="C69" s="44">
        <f t="shared" si="4"/>
        <v>3844200</v>
      </c>
      <c r="D69" s="20">
        <v>0</v>
      </c>
    </row>
    <row r="70" spans="1:4" x14ac:dyDescent="0.25">
      <c r="A70" s="20" t="s">
        <v>147</v>
      </c>
      <c r="B70" s="44">
        <v>4795600</v>
      </c>
      <c r="C70" s="44">
        <f t="shared" si="4"/>
        <v>3495600</v>
      </c>
      <c r="D70" s="20">
        <v>0</v>
      </c>
    </row>
    <row r="71" spans="1:4" x14ac:dyDescent="0.25">
      <c r="A71" s="20" t="s">
        <v>148</v>
      </c>
      <c r="B71" s="44">
        <v>4584600</v>
      </c>
      <c r="C71" s="44">
        <f t="shared" si="4"/>
        <v>3284600</v>
      </c>
      <c r="D71" s="20">
        <v>0</v>
      </c>
    </row>
    <row r="72" spans="1:4" x14ac:dyDescent="0.25">
      <c r="A72" s="20" t="s">
        <v>149</v>
      </c>
      <c r="B72" s="44">
        <v>5393400</v>
      </c>
      <c r="C72" s="44">
        <f t="shared" si="4"/>
        <v>4093400</v>
      </c>
      <c r="D72" s="20">
        <v>0</v>
      </c>
    </row>
    <row r="73" spans="1:4" x14ac:dyDescent="0.25">
      <c r="A73" s="20" t="s">
        <v>150</v>
      </c>
      <c r="B73" s="44">
        <v>5925500</v>
      </c>
      <c r="C73" s="44">
        <f t="shared" si="4"/>
        <v>4625500</v>
      </c>
      <c r="D73" s="20">
        <v>0</v>
      </c>
    </row>
    <row r="74" spans="1:4" x14ac:dyDescent="0.25">
      <c r="A74" s="20" t="s">
        <v>151</v>
      </c>
      <c r="B74" s="44">
        <v>6243200</v>
      </c>
      <c r="C74" s="44">
        <f t="shared" si="4"/>
        <v>4943200</v>
      </c>
      <c r="D74" s="20">
        <v>0</v>
      </c>
    </row>
    <row r="75" spans="1:4" x14ac:dyDescent="0.25">
      <c r="A75" s="20" t="s">
        <v>152</v>
      </c>
      <c r="B75" s="44">
        <v>5511700</v>
      </c>
      <c r="C75" s="44">
        <f t="shared" si="4"/>
        <v>4211700</v>
      </c>
      <c r="D75" s="20">
        <v>0</v>
      </c>
    </row>
    <row r="76" spans="1:4" x14ac:dyDescent="0.25">
      <c r="A76" s="20" t="s">
        <v>153</v>
      </c>
      <c r="B76" s="44">
        <v>5354000</v>
      </c>
      <c r="C76" s="44">
        <f t="shared" si="4"/>
        <v>4054000</v>
      </c>
      <c r="D76" s="20">
        <v>0</v>
      </c>
    </row>
    <row r="77" spans="1:4" x14ac:dyDescent="0.25">
      <c r="A77" s="20" t="s">
        <v>154</v>
      </c>
      <c r="B77" s="44">
        <v>6860200</v>
      </c>
      <c r="C77" s="44">
        <f t="shared" si="4"/>
        <v>5560200</v>
      </c>
      <c r="D77" s="20">
        <v>0</v>
      </c>
    </row>
    <row r="78" spans="1:4" x14ac:dyDescent="0.25">
      <c r="A78" s="20" t="s">
        <v>155</v>
      </c>
      <c r="B78" s="44">
        <v>7255800</v>
      </c>
      <c r="C78" s="44">
        <f t="shared" si="4"/>
        <v>5955800</v>
      </c>
      <c r="D78" s="20">
        <v>0</v>
      </c>
    </row>
    <row r="79" spans="1:4" x14ac:dyDescent="0.25">
      <c r="B79" s="45">
        <f>SUM(B67:B78)</f>
        <v>67266900</v>
      </c>
      <c r="C79" s="44">
        <f>SUM(C67:C78)</f>
        <v>51666900</v>
      </c>
    </row>
    <row r="81" spans="1:6" x14ac:dyDescent="0.25">
      <c r="A81" s="157" t="s">
        <v>163</v>
      </c>
      <c r="B81" s="157"/>
      <c r="C81" s="157"/>
      <c r="D81" s="157"/>
      <c r="E81" s="157"/>
      <c r="F81" s="157"/>
    </row>
    <row r="82" spans="1:6" x14ac:dyDescent="0.25">
      <c r="B82" s="148" t="s">
        <v>143</v>
      </c>
      <c r="C82" s="148" t="s">
        <v>158</v>
      </c>
      <c r="D82" s="148" t="s">
        <v>165</v>
      </c>
      <c r="E82" s="148"/>
      <c r="F82" s="148" t="s">
        <v>166</v>
      </c>
    </row>
    <row r="83" spans="1:6" x14ac:dyDescent="0.25">
      <c r="A83" s="20" t="s">
        <v>180</v>
      </c>
      <c r="B83" s="149">
        <v>12</v>
      </c>
      <c r="C83" s="45">
        <f>C63</f>
        <v>15600000</v>
      </c>
      <c r="D83" s="17">
        <f>1.1638*9703.13</f>
        <v>11292.502693999999</v>
      </c>
      <c r="E83" s="20" t="s">
        <v>167</v>
      </c>
      <c r="F83" s="48">
        <f>12*D83</f>
        <v>135510.032328</v>
      </c>
    </row>
    <row r="84" spans="1:6" x14ac:dyDescent="0.25">
      <c r="A84" s="20" t="s">
        <v>181</v>
      </c>
      <c r="C84" s="45">
        <f>D63</f>
        <v>51666900</v>
      </c>
      <c r="D84" s="20">
        <f>1.1638*0.00844</f>
        <v>9.8224719999999988E-3</v>
      </c>
      <c r="E84" s="20" t="s">
        <v>168</v>
      </c>
      <c r="F84" s="17">
        <f>C84*D84</f>
        <v>507496.67857679992</v>
      </c>
    </row>
    <row r="85" spans="1:6" x14ac:dyDescent="0.25">
      <c r="A85" s="20" t="s">
        <v>39</v>
      </c>
      <c r="C85" s="45">
        <f>SUM(C83:C84)</f>
        <v>67266900</v>
      </c>
      <c r="F85" s="48">
        <f>SUM(F83:F84)</f>
        <v>643006.71090479987</v>
      </c>
    </row>
    <row r="87" spans="1:6" x14ac:dyDescent="0.25">
      <c r="A87" s="20" t="s">
        <v>39</v>
      </c>
      <c r="B87" s="45">
        <f>B57+B83</f>
        <v>13782</v>
      </c>
      <c r="C87" s="45">
        <f>C57+C85</f>
        <v>139678100</v>
      </c>
      <c r="F87" s="48">
        <f>F57+F85</f>
        <v>1503195.4583755997</v>
      </c>
    </row>
    <row r="90" spans="1:6" x14ac:dyDescent="0.25">
      <c r="A90" s="103" t="s">
        <v>487</v>
      </c>
      <c r="B90" s="150">
        <v>0.33</v>
      </c>
    </row>
    <row r="91" spans="1:6" x14ac:dyDescent="0.25">
      <c r="A91" s="103" t="s">
        <v>488</v>
      </c>
      <c r="B91" s="17">
        <v>1503234.96</v>
      </c>
    </row>
    <row r="92" spans="1:6" x14ac:dyDescent="0.25">
      <c r="A92" s="103" t="s">
        <v>489</v>
      </c>
      <c r="B92" s="17" t="s">
        <v>495</v>
      </c>
    </row>
    <row r="93" spans="1:6" x14ac:dyDescent="0.25">
      <c r="A93" s="103" t="s">
        <v>491</v>
      </c>
      <c r="B93" s="151" t="s">
        <v>494</v>
      </c>
    </row>
  </sheetData>
  <mergeCells count="10">
    <mergeCell ref="D53:E53"/>
    <mergeCell ref="A59:F59"/>
    <mergeCell ref="A61:F61"/>
    <mergeCell ref="A81:F81"/>
    <mergeCell ref="B16:M16"/>
    <mergeCell ref="B23:M23"/>
    <mergeCell ref="B31:M31"/>
    <mergeCell ref="B38:M38"/>
    <mergeCell ref="A45:F45"/>
    <mergeCell ref="A52:F5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B14C1-0E3D-453F-83F1-68147720EE24}">
  <dimension ref="A1:R40"/>
  <sheetViews>
    <sheetView topLeftCell="A14" workbookViewId="0">
      <selection activeCell="E38" sqref="E38"/>
    </sheetView>
  </sheetViews>
  <sheetFormatPr defaultColWidth="9" defaultRowHeight="15" x14ac:dyDescent="0.25"/>
  <cols>
    <col min="1" max="2" width="9" style="131"/>
    <col min="3" max="3" width="6.28515625" style="131" customWidth="1"/>
    <col min="4" max="4" width="25.42578125" style="20" customWidth="1"/>
    <col min="5" max="5" width="44.28515625" style="20" customWidth="1"/>
    <col min="6" max="6" width="15.85546875" style="131" customWidth="1"/>
    <col min="7" max="8" width="10.42578125" style="20" customWidth="1"/>
    <col min="9" max="11" width="12.140625" style="20" customWidth="1"/>
    <col min="12" max="13" width="10.42578125" style="20" customWidth="1"/>
    <col min="14" max="15" width="14" style="20" customWidth="1"/>
    <col min="16" max="16" width="13.7109375" style="57" customWidth="1"/>
    <col min="17" max="17" width="13.85546875" style="20" customWidth="1"/>
    <col min="18" max="18" width="18.85546875" style="17" customWidth="1"/>
    <col min="19" max="16384" width="9" style="20"/>
  </cols>
  <sheetData>
    <row r="1" spans="1:18" ht="45" x14ac:dyDescent="0.25">
      <c r="A1" s="132" t="s">
        <v>118</v>
      </c>
      <c r="B1" s="132" t="s">
        <v>237</v>
      </c>
      <c r="C1" s="132" t="s">
        <v>119</v>
      </c>
      <c r="D1" s="132" t="s">
        <v>109</v>
      </c>
      <c r="E1" s="132" t="s">
        <v>110</v>
      </c>
      <c r="F1" s="133" t="s">
        <v>111</v>
      </c>
      <c r="G1" s="132" t="s">
        <v>112</v>
      </c>
      <c r="H1" s="132" t="s">
        <v>113</v>
      </c>
      <c r="I1" s="133" t="s">
        <v>215</v>
      </c>
      <c r="J1" s="133" t="s">
        <v>214</v>
      </c>
      <c r="K1" s="132" t="s">
        <v>114</v>
      </c>
      <c r="L1" s="132" t="s">
        <v>115</v>
      </c>
      <c r="M1" s="132" t="s">
        <v>116</v>
      </c>
      <c r="N1" s="133" t="s">
        <v>467</v>
      </c>
      <c r="O1" s="133" t="s">
        <v>468</v>
      </c>
      <c r="P1" s="56" t="s">
        <v>117</v>
      </c>
      <c r="Q1" s="133" t="s">
        <v>120</v>
      </c>
      <c r="R1" s="134" t="s">
        <v>182</v>
      </c>
    </row>
    <row r="2" spans="1:18" x14ac:dyDescent="0.25">
      <c r="A2" s="131" t="s">
        <v>121</v>
      </c>
      <c r="B2" s="131">
        <v>1</v>
      </c>
      <c r="C2" s="131" t="s">
        <v>122</v>
      </c>
      <c r="D2" s="152"/>
      <c r="E2" s="20" t="s">
        <v>123</v>
      </c>
      <c r="F2" s="131">
        <v>2018</v>
      </c>
      <c r="G2" s="20">
        <f>I2-H2</f>
        <v>2148</v>
      </c>
      <c r="H2" s="20">
        <v>148</v>
      </c>
      <c r="I2" s="20">
        <v>2296</v>
      </c>
      <c r="J2" s="20">
        <v>2296</v>
      </c>
      <c r="K2" s="20">
        <v>10</v>
      </c>
      <c r="L2" s="20">
        <v>10.8</v>
      </c>
      <c r="M2" s="20">
        <v>11.8</v>
      </c>
      <c r="N2" s="20">
        <v>956.51</v>
      </c>
      <c r="O2" s="135">
        <v>500</v>
      </c>
      <c r="P2" s="57">
        <f t="shared" ref="P2:P23" si="0">(G2*L2)+(H2*L2*1.5)+N2</f>
        <v>26552.51</v>
      </c>
      <c r="Q2" s="17">
        <f>(G2*M2)+(H2*M2*1.5)+O2</f>
        <v>28466</v>
      </c>
    </row>
    <row r="3" spans="1:18" x14ac:dyDescent="0.25">
      <c r="A3" s="131" t="s">
        <v>121</v>
      </c>
      <c r="B3" s="131">
        <v>2</v>
      </c>
      <c r="C3" s="131" t="s">
        <v>122</v>
      </c>
      <c r="D3" s="152"/>
      <c r="E3" s="20" t="s">
        <v>123</v>
      </c>
      <c r="F3" s="131">
        <v>2017</v>
      </c>
      <c r="G3" s="20">
        <f>I3-H3</f>
        <v>2189.5</v>
      </c>
      <c r="H3" s="20">
        <v>138</v>
      </c>
      <c r="I3" s="20">
        <v>2327.5</v>
      </c>
      <c r="J3" s="20">
        <v>2327.5</v>
      </c>
      <c r="K3" s="20">
        <v>12</v>
      </c>
      <c r="L3" s="20">
        <v>12.8</v>
      </c>
      <c r="M3" s="20">
        <v>13.8</v>
      </c>
      <c r="N3" s="20">
        <v>959.51</v>
      </c>
      <c r="O3" s="135">
        <v>500</v>
      </c>
      <c r="P3" s="57">
        <f t="shared" si="0"/>
        <v>31634.710000000003</v>
      </c>
      <c r="Q3" s="17">
        <f>(G3*M3)+(H3*M3*1.5)+O3</f>
        <v>33571.700000000004</v>
      </c>
    </row>
    <row r="4" spans="1:18" x14ac:dyDescent="0.25">
      <c r="A4" s="58" t="s">
        <v>121</v>
      </c>
      <c r="B4" s="58">
        <v>3</v>
      </c>
      <c r="C4" s="58" t="s">
        <v>122</v>
      </c>
      <c r="D4" s="152"/>
      <c r="E4" s="59"/>
      <c r="F4" s="58"/>
      <c r="G4" s="59">
        <v>987.5</v>
      </c>
      <c r="H4" s="59"/>
      <c r="I4" s="59">
        <v>987.5</v>
      </c>
      <c r="J4" s="59">
        <v>0</v>
      </c>
      <c r="K4" s="59"/>
      <c r="L4" s="59">
        <v>10</v>
      </c>
      <c r="M4" s="59">
        <v>0</v>
      </c>
      <c r="N4" s="59">
        <v>893.87</v>
      </c>
      <c r="O4" s="136"/>
      <c r="P4" s="60">
        <f t="shared" si="0"/>
        <v>10768.87</v>
      </c>
      <c r="Q4" s="61"/>
    </row>
    <row r="5" spans="1:18" x14ac:dyDescent="0.25">
      <c r="A5" s="131" t="s">
        <v>121</v>
      </c>
      <c r="B5" s="131">
        <v>4</v>
      </c>
      <c r="C5" s="131" t="s">
        <v>122</v>
      </c>
      <c r="D5" s="152"/>
      <c r="E5" s="20" t="s">
        <v>124</v>
      </c>
      <c r="F5" s="131">
        <v>2016</v>
      </c>
      <c r="G5" s="20">
        <f>I5-H5</f>
        <v>2119</v>
      </c>
      <c r="H5" s="20">
        <v>151.5</v>
      </c>
      <c r="I5" s="20">
        <v>2270.5</v>
      </c>
      <c r="J5" s="20">
        <v>2270.5</v>
      </c>
      <c r="K5" s="20">
        <v>18</v>
      </c>
      <c r="L5" s="20">
        <v>19.3</v>
      </c>
      <c r="M5" s="20">
        <v>20.8</v>
      </c>
      <c r="N5" s="20">
        <v>949.18</v>
      </c>
      <c r="O5" s="135">
        <v>500</v>
      </c>
      <c r="P5" s="62">
        <f t="shared" si="0"/>
        <v>46231.805000000008</v>
      </c>
      <c r="Q5" s="17">
        <f>(G5*M5)+(H5*M5*1.5)+O5</f>
        <v>49302.000000000007</v>
      </c>
    </row>
    <row r="6" spans="1:18" x14ac:dyDescent="0.25">
      <c r="A6" s="131" t="s">
        <v>121</v>
      </c>
      <c r="B6" s="131">
        <v>5</v>
      </c>
      <c r="C6" s="131" t="s">
        <v>125</v>
      </c>
      <c r="D6" s="152"/>
      <c r="E6" s="20" t="s">
        <v>123</v>
      </c>
      <c r="F6" s="131">
        <v>2021</v>
      </c>
      <c r="G6" s="20">
        <f>I6-H6</f>
        <v>40</v>
      </c>
      <c r="I6" s="20">
        <v>40</v>
      </c>
      <c r="J6" s="20">
        <v>2080</v>
      </c>
      <c r="L6" s="20">
        <v>10</v>
      </c>
      <c r="M6" s="20">
        <v>10</v>
      </c>
      <c r="O6" s="135">
        <v>500</v>
      </c>
      <c r="P6" s="62">
        <f t="shared" si="0"/>
        <v>400</v>
      </c>
      <c r="Q6" s="17">
        <f>(2080*M6)+(256*M6*1.5)+O6</f>
        <v>25140</v>
      </c>
    </row>
    <row r="7" spans="1:18" x14ac:dyDescent="0.25">
      <c r="A7" s="131" t="s">
        <v>121</v>
      </c>
      <c r="B7" s="131">
        <v>6</v>
      </c>
      <c r="C7" s="131" t="s">
        <v>122</v>
      </c>
      <c r="D7" s="152"/>
      <c r="E7" s="20" t="s">
        <v>126</v>
      </c>
      <c r="F7" s="131">
        <v>2012</v>
      </c>
      <c r="G7" s="20">
        <f>I7-H7</f>
        <v>2144.5</v>
      </c>
      <c r="H7" s="20">
        <v>151.5</v>
      </c>
      <c r="I7" s="20">
        <v>2296</v>
      </c>
      <c r="J7" s="20">
        <v>2296</v>
      </c>
      <c r="K7" s="20">
        <v>13.55</v>
      </c>
      <c r="L7" s="20">
        <v>14.85</v>
      </c>
      <c r="M7" s="20">
        <v>15.85</v>
      </c>
      <c r="N7" s="20">
        <v>1301.05</v>
      </c>
      <c r="O7" s="135">
        <v>500</v>
      </c>
      <c r="P7" s="62">
        <f t="shared" si="0"/>
        <v>36521.537500000006</v>
      </c>
      <c r="Q7" s="17">
        <f t="shared" ref="Q7:Q17" si="1">(G7*M7)+(H7*M7*1.5)+O7</f>
        <v>38092.237499999996</v>
      </c>
    </row>
    <row r="8" spans="1:18" x14ac:dyDescent="0.25">
      <c r="A8" s="131" t="s">
        <v>121</v>
      </c>
      <c r="B8" s="131">
        <v>7</v>
      </c>
      <c r="C8" s="131" t="s">
        <v>122</v>
      </c>
      <c r="D8" s="152"/>
      <c r="E8" s="20" t="s">
        <v>126</v>
      </c>
      <c r="F8" s="131">
        <v>2019</v>
      </c>
      <c r="G8" s="20">
        <f>I8-H8</f>
        <v>1610.5</v>
      </c>
      <c r="H8" s="20">
        <v>49.5</v>
      </c>
      <c r="I8" s="20">
        <v>1660</v>
      </c>
      <c r="J8" s="20">
        <f>G8+H8+760</f>
        <v>2420</v>
      </c>
      <c r="K8" s="20">
        <v>10</v>
      </c>
      <c r="L8" s="20">
        <v>10.3</v>
      </c>
      <c r="M8" s="20">
        <v>12</v>
      </c>
      <c r="N8" s="20">
        <v>993.5</v>
      </c>
      <c r="O8" s="135">
        <v>500</v>
      </c>
      <c r="P8" s="62">
        <f t="shared" si="0"/>
        <v>18346.425000000003</v>
      </c>
      <c r="Q8" s="17">
        <f t="shared" si="1"/>
        <v>20717</v>
      </c>
      <c r="R8" s="17">
        <f>((G8+760)*M8)+(H8*M8*1.5)+O8</f>
        <v>29837</v>
      </c>
    </row>
    <row r="9" spans="1:18" x14ac:dyDescent="0.25">
      <c r="A9" s="131" t="s">
        <v>121</v>
      </c>
      <c r="B9" s="131">
        <v>8</v>
      </c>
      <c r="C9" s="131" t="s">
        <v>125</v>
      </c>
      <c r="D9" s="152"/>
      <c r="E9" s="20" t="s">
        <v>127</v>
      </c>
      <c r="F9" s="131">
        <v>2019</v>
      </c>
      <c r="G9" s="20">
        <v>1639</v>
      </c>
      <c r="I9" s="20">
        <v>1639</v>
      </c>
      <c r="J9" s="20">
        <v>1639</v>
      </c>
      <c r="K9" s="20">
        <v>10</v>
      </c>
      <c r="L9" s="20">
        <v>10.3</v>
      </c>
      <c r="M9" s="20">
        <v>12.3</v>
      </c>
      <c r="N9" s="20">
        <v>993.51</v>
      </c>
      <c r="O9" s="135">
        <v>500</v>
      </c>
      <c r="P9" s="62">
        <f t="shared" si="0"/>
        <v>17875.21</v>
      </c>
      <c r="Q9" s="17">
        <f t="shared" si="1"/>
        <v>20659.7</v>
      </c>
    </row>
    <row r="10" spans="1:18" x14ac:dyDescent="0.25">
      <c r="A10" s="131" t="s">
        <v>121</v>
      </c>
      <c r="B10" s="131">
        <v>9</v>
      </c>
      <c r="C10" s="131" t="s">
        <v>125</v>
      </c>
      <c r="D10" s="152"/>
      <c r="E10" s="20" t="s">
        <v>127</v>
      </c>
      <c r="F10" s="131">
        <v>2021</v>
      </c>
      <c r="G10" s="20">
        <v>333.5</v>
      </c>
      <c r="I10" s="20">
        <v>333.5</v>
      </c>
      <c r="J10" s="20">
        <v>333.5</v>
      </c>
      <c r="L10" s="20">
        <v>8.5</v>
      </c>
      <c r="M10" s="20">
        <v>9.5</v>
      </c>
      <c r="N10" s="20">
        <v>922.48</v>
      </c>
      <c r="O10" s="135">
        <v>500</v>
      </c>
      <c r="P10" s="57">
        <f t="shared" si="0"/>
        <v>3757.23</v>
      </c>
      <c r="Q10" s="17">
        <f t="shared" si="1"/>
        <v>3668.25</v>
      </c>
    </row>
    <row r="11" spans="1:18" x14ac:dyDescent="0.25">
      <c r="A11" s="131" t="s">
        <v>121</v>
      </c>
      <c r="B11" s="131">
        <v>10</v>
      </c>
      <c r="C11" s="131" t="s">
        <v>122</v>
      </c>
      <c r="D11" s="152"/>
      <c r="E11" s="20" t="s">
        <v>128</v>
      </c>
      <c r="F11" s="131">
        <v>2004</v>
      </c>
      <c r="G11" s="20">
        <f t="shared" ref="G11:G23" si="2">I11-H11</f>
        <v>2182.5</v>
      </c>
      <c r="H11" s="20">
        <v>106.5</v>
      </c>
      <c r="I11" s="20">
        <v>2289</v>
      </c>
      <c r="J11" s="20">
        <v>2289</v>
      </c>
      <c r="K11" s="20">
        <v>20.97</v>
      </c>
      <c r="L11" s="20">
        <v>21.27</v>
      </c>
      <c r="M11" s="20">
        <v>22.27</v>
      </c>
      <c r="N11" s="20">
        <v>991.11</v>
      </c>
      <c r="O11" s="135">
        <v>500</v>
      </c>
      <c r="P11" s="57">
        <f t="shared" si="0"/>
        <v>50810.767500000002</v>
      </c>
      <c r="Q11" s="17">
        <f t="shared" si="1"/>
        <v>52661.907500000001</v>
      </c>
    </row>
    <row r="12" spans="1:18" x14ac:dyDescent="0.25">
      <c r="A12" s="131" t="s">
        <v>121</v>
      </c>
      <c r="B12" s="131">
        <v>11</v>
      </c>
      <c r="C12" s="131" t="s">
        <v>122</v>
      </c>
      <c r="D12" s="152"/>
      <c r="E12" s="20" t="s">
        <v>129</v>
      </c>
      <c r="F12" s="131">
        <v>2015</v>
      </c>
      <c r="G12" s="20">
        <f t="shared" si="2"/>
        <v>1664</v>
      </c>
      <c r="H12" s="20">
        <v>148.5</v>
      </c>
      <c r="I12" s="20">
        <v>1812.5</v>
      </c>
      <c r="J12" s="20">
        <v>1812.5</v>
      </c>
      <c r="K12" s="20">
        <v>18</v>
      </c>
      <c r="L12" s="20">
        <v>18.3</v>
      </c>
      <c r="M12" s="20">
        <v>19.3</v>
      </c>
      <c r="N12" s="20">
        <v>588.75</v>
      </c>
      <c r="O12" s="135">
        <v>500</v>
      </c>
      <c r="P12" s="57">
        <f t="shared" si="0"/>
        <v>35116.275000000001</v>
      </c>
      <c r="Q12" s="17">
        <f t="shared" si="1"/>
        <v>36914.275000000001</v>
      </c>
    </row>
    <row r="13" spans="1:18" x14ac:dyDescent="0.25">
      <c r="A13" s="131" t="s">
        <v>121</v>
      </c>
      <c r="B13" s="131">
        <v>12</v>
      </c>
      <c r="C13" s="131" t="s">
        <v>122</v>
      </c>
      <c r="D13" s="152"/>
      <c r="E13" s="20" t="s">
        <v>127</v>
      </c>
      <c r="F13" s="131">
        <v>2005</v>
      </c>
      <c r="G13" s="20">
        <f t="shared" si="2"/>
        <v>2125</v>
      </c>
      <c r="H13" s="20">
        <v>31.5</v>
      </c>
      <c r="I13" s="20">
        <v>2156.5</v>
      </c>
      <c r="J13" s="20">
        <v>2156.5</v>
      </c>
      <c r="K13" s="20">
        <v>19.329999999999998</v>
      </c>
      <c r="L13" s="20">
        <v>19.63</v>
      </c>
      <c r="M13" s="20">
        <v>20.63</v>
      </c>
      <c r="N13" s="20">
        <v>979.94</v>
      </c>
      <c r="O13" s="135">
        <v>500</v>
      </c>
      <c r="P13" s="57">
        <f t="shared" si="0"/>
        <v>43621.207500000004</v>
      </c>
      <c r="Q13" s="17">
        <f t="shared" si="1"/>
        <v>45313.517500000002</v>
      </c>
    </row>
    <row r="14" spans="1:18" x14ac:dyDescent="0.25">
      <c r="A14" s="131" t="s">
        <v>121</v>
      </c>
      <c r="B14" s="131">
        <v>13</v>
      </c>
      <c r="C14" s="131" t="s">
        <v>122</v>
      </c>
      <c r="D14" s="152"/>
      <c r="E14" s="20" t="s">
        <v>128</v>
      </c>
      <c r="F14" s="131">
        <v>2020</v>
      </c>
      <c r="G14" s="20">
        <f t="shared" si="2"/>
        <v>2192</v>
      </c>
      <c r="H14" s="20">
        <v>153.5</v>
      </c>
      <c r="I14" s="20">
        <v>2345.5</v>
      </c>
      <c r="J14" s="20">
        <v>2345.5</v>
      </c>
      <c r="K14" s="20">
        <v>10</v>
      </c>
      <c r="L14" s="20">
        <v>10.8</v>
      </c>
      <c r="M14" s="20">
        <v>11.8</v>
      </c>
      <c r="N14" s="20">
        <v>979.94</v>
      </c>
      <c r="O14" s="135">
        <v>500</v>
      </c>
      <c r="P14" s="57">
        <f t="shared" si="0"/>
        <v>27140.240000000002</v>
      </c>
      <c r="Q14" s="17">
        <f t="shared" si="1"/>
        <v>29082.550000000003</v>
      </c>
    </row>
    <row r="15" spans="1:18" x14ac:dyDescent="0.25">
      <c r="A15" s="131" t="s">
        <v>121</v>
      </c>
      <c r="B15" s="131">
        <v>14</v>
      </c>
      <c r="C15" s="131" t="s">
        <v>122</v>
      </c>
      <c r="D15" s="152"/>
      <c r="E15" s="20" t="s">
        <v>130</v>
      </c>
      <c r="F15" s="131">
        <v>2004</v>
      </c>
      <c r="G15" s="20">
        <f t="shared" si="2"/>
        <v>2235.5</v>
      </c>
      <c r="H15" s="20">
        <v>340</v>
      </c>
      <c r="I15" s="20">
        <v>2575.5</v>
      </c>
      <c r="J15" s="20">
        <v>2575.5</v>
      </c>
      <c r="K15" s="20">
        <v>21</v>
      </c>
      <c r="L15" s="20">
        <v>21.3</v>
      </c>
      <c r="M15" s="20">
        <v>22.8</v>
      </c>
      <c r="N15" s="20">
        <v>949.19</v>
      </c>
      <c r="O15" s="135">
        <v>500</v>
      </c>
      <c r="P15" s="57">
        <f t="shared" si="0"/>
        <v>59428.340000000004</v>
      </c>
      <c r="Q15" s="17">
        <f t="shared" si="1"/>
        <v>63097.4</v>
      </c>
    </row>
    <row r="16" spans="1:18" x14ac:dyDescent="0.25">
      <c r="A16" s="131" t="s">
        <v>121</v>
      </c>
      <c r="B16" s="131">
        <v>15</v>
      </c>
      <c r="C16" s="131" t="s">
        <v>122</v>
      </c>
      <c r="D16" s="152"/>
      <c r="E16" s="20" t="s">
        <v>131</v>
      </c>
      <c r="F16" s="131">
        <v>2019</v>
      </c>
      <c r="G16" s="20">
        <f t="shared" si="2"/>
        <v>2165</v>
      </c>
      <c r="H16" s="20">
        <v>206.5</v>
      </c>
      <c r="I16" s="20">
        <v>2371.5</v>
      </c>
      <c r="J16" s="20">
        <v>2371.5</v>
      </c>
      <c r="K16" s="20">
        <v>12</v>
      </c>
      <c r="L16" s="20">
        <v>12.8</v>
      </c>
      <c r="M16" s="20">
        <v>13.8</v>
      </c>
      <c r="N16" s="20">
        <v>1236.4100000000001</v>
      </c>
      <c r="O16" s="135">
        <v>500</v>
      </c>
      <c r="P16" s="57">
        <f t="shared" si="0"/>
        <v>32913.21</v>
      </c>
      <c r="Q16" s="17">
        <f t="shared" si="1"/>
        <v>34651.550000000003</v>
      </c>
    </row>
    <row r="17" spans="1:18" x14ac:dyDescent="0.25">
      <c r="A17" s="131" t="s">
        <v>121</v>
      </c>
      <c r="B17" s="131">
        <v>16</v>
      </c>
      <c r="C17" s="131" t="s">
        <v>125</v>
      </c>
      <c r="D17" s="152"/>
      <c r="E17" s="20" t="s">
        <v>128</v>
      </c>
      <c r="F17" s="131">
        <v>2000</v>
      </c>
      <c r="G17" s="20">
        <f t="shared" si="2"/>
        <v>505.5</v>
      </c>
      <c r="I17" s="20">
        <v>505.5</v>
      </c>
      <c r="J17" s="20">
        <v>505.5</v>
      </c>
      <c r="K17" s="20">
        <v>15</v>
      </c>
      <c r="L17" s="20">
        <v>15.3</v>
      </c>
      <c r="M17" s="20">
        <v>16.3</v>
      </c>
      <c r="N17" s="20">
        <v>588.75</v>
      </c>
      <c r="O17" s="135">
        <v>500</v>
      </c>
      <c r="P17" s="57">
        <f t="shared" si="0"/>
        <v>8322.9000000000015</v>
      </c>
      <c r="Q17" s="17">
        <f t="shared" si="1"/>
        <v>8739.65</v>
      </c>
    </row>
    <row r="18" spans="1:18" x14ac:dyDescent="0.25">
      <c r="A18" s="58" t="s">
        <v>121</v>
      </c>
      <c r="B18" s="58">
        <v>17</v>
      </c>
      <c r="C18" s="58" t="s">
        <v>122</v>
      </c>
      <c r="D18" s="152"/>
      <c r="E18" s="59" t="s">
        <v>123</v>
      </c>
      <c r="F18" s="58"/>
      <c r="G18" s="59">
        <f t="shared" si="2"/>
        <v>2181.5</v>
      </c>
      <c r="H18" s="59">
        <v>74</v>
      </c>
      <c r="I18" s="59">
        <v>2255.5</v>
      </c>
      <c r="J18" s="59">
        <v>0</v>
      </c>
      <c r="K18" s="59">
        <v>15</v>
      </c>
      <c r="L18" s="59">
        <v>15.3</v>
      </c>
      <c r="M18" s="59">
        <v>0</v>
      </c>
      <c r="N18" s="59">
        <v>588.75</v>
      </c>
      <c r="O18" s="136"/>
      <c r="P18" s="60">
        <f t="shared" si="0"/>
        <v>35664.000000000007</v>
      </c>
      <c r="Q18" s="61"/>
    </row>
    <row r="19" spans="1:18" x14ac:dyDescent="0.25">
      <c r="A19" s="131" t="s">
        <v>121</v>
      </c>
      <c r="B19" s="131">
        <v>18</v>
      </c>
      <c r="C19" s="131" t="s">
        <v>122</v>
      </c>
      <c r="D19" s="152"/>
      <c r="E19" s="20" t="s">
        <v>127</v>
      </c>
      <c r="F19" s="131">
        <v>2016</v>
      </c>
      <c r="G19" s="20">
        <f t="shared" si="2"/>
        <v>2120.5</v>
      </c>
      <c r="H19" s="20">
        <v>1</v>
      </c>
      <c r="I19" s="20">
        <v>2121.5</v>
      </c>
      <c r="J19" s="20">
        <v>2121.5</v>
      </c>
      <c r="K19" s="20">
        <v>12</v>
      </c>
      <c r="L19" s="20">
        <v>12.3</v>
      </c>
      <c r="M19" s="20">
        <v>13.3</v>
      </c>
      <c r="N19" s="20">
        <v>988.18</v>
      </c>
      <c r="O19" s="135">
        <v>500</v>
      </c>
      <c r="P19" s="57">
        <f t="shared" si="0"/>
        <v>27088.780000000002</v>
      </c>
      <c r="Q19" s="17">
        <f>(G19*M19)+(H19*M19*1.5)+O19</f>
        <v>28722.600000000002</v>
      </c>
    </row>
    <row r="20" spans="1:18" x14ac:dyDescent="0.25">
      <c r="A20" s="131" t="s">
        <v>121</v>
      </c>
      <c r="B20" s="131">
        <v>19</v>
      </c>
      <c r="C20" s="131" t="s">
        <v>122</v>
      </c>
      <c r="D20" s="152"/>
      <c r="E20" s="20" t="s">
        <v>132</v>
      </c>
      <c r="F20" s="131">
        <v>1994</v>
      </c>
      <c r="G20" s="20">
        <f t="shared" si="2"/>
        <v>2196.5</v>
      </c>
      <c r="H20" s="20">
        <v>7.5</v>
      </c>
      <c r="I20" s="20">
        <v>2204</v>
      </c>
      <c r="J20" s="20">
        <v>2204</v>
      </c>
      <c r="K20" s="20">
        <v>21.12</v>
      </c>
      <c r="L20" s="20">
        <v>21.92</v>
      </c>
      <c r="M20" s="20">
        <v>22.92</v>
      </c>
      <c r="N20" s="20">
        <v>949.17</v>
      </c>
      <c r="O20" s="135">
        <v>500</v>
      </c>
      <c r="P20" s="57">
        <f t="shared" si="0"/>
        <v>49343.05</v>
      </c>
      <c r="Q20" s="17">
        <f>(G20*M20)+(H20*M20*1.5)+O20</f>
        <v>51101.630000000005</v>
      </c>
    </row>
    <row r="21" spans="1:18" x14ac:dyDescent="0.25">
      <c r="A21" s="58" t="s">
        <v>121</v>
      </c>
      <c r="B21" s="58">
        <v>20</v>
      </c>
      <c r="C21" s="58" t="s">
        <v>122</v>
      </c>
      <c r="D21" s="152"/>
      <c r="E21" s="59" t="s">
        <v>123</v>
      </c>
      <c r="F21" s="58">
        <v>2015</v>
      </c>
      <c r="G21" s="59">
        <f t="shared" si="2"/>
        <v>1518</v>
      </c>
      <c r="H21" s="59">
        <v>63</v>
      </c>
      <c r="I21" s="59">
        <v>1581</v>
      </c>
      <c r="J21" s="59">
        <v>0</v>
      </c>
      <c r="K21" s="59">
        <v>12.5</v>
      </c>
      <c r="L21" s="59">
        <v>12.8</v>
      </c>
      <c r="M21" s="59">
        <v>0</v>
      </c>
      <c r="N21" s="59">
        <v>976.95</v>
      </c>
      <c r="O21" s="136"/>
      <c r="P21" s="60">
        <f t="shared" si="0"/>
        <v>21616.95</v>
      </c>
      <c r="Q21" s="61">
        <v>0</v>
      </c>
    </row>
    <row r="22" spans="1:18" x14ac:dyDescent="0.25">
      <c r="A22" s="131" t="s">
        <v>121</v>
      </c>
      <c r="B22" s="131">
        <v>21</v>
      </c>
      <c r="C22" s="131" t="s">
        <v>122</v>
      </c>
      <c r="D22" s="152"/>
      <c r="E22" s="20" t="s">
        <v>133</v>
      </c>
      <c r="F22" s="131">
        <v>2000</v>
      </c>
      <c r="G22" s="20">
        <f t="shared" si="2"/>
        <v>2200.5</v>
      </c>
      <c r="H22" s="20">
        <v>145</v>
      </c>
      <c r="I22" s="20">
        <v>2345.5</v>
      </c>
      <c r="J22" s="20">
        <v>2345.5</v>
      </c>
      <c r="K22" s="20">
        <v>23.13</v>
      </c>
      <c r="L22" s="20">
        <v>24.93</v>
      </c>
      <c r="M22" s="20">
        <v>25.93</v>
      </c>
      <c r="N22" s="20">
        <v>966.45</v>
      </c>
      <c r="O22" s="135">
        <v>500</v>
      </c>
      <c r="P22" s="57">
        <f t="shared" si="0"/>
        <v>61247.189999999995</v>
      </c>
      <c r="Q22" s="17">
        <f>(G22*M22)+(H22*M22*1.5)+O22</f>
        <v>63198.74</v>
      </c>
    </row>
    <row r="23" spans="1:18" x14ac:dyDescent="0.25">
      <c r="A23" s="131" t="s">
        <v>121</v>
      </c>
      <c r="B23" s="131">
        <v>22</v>
      </c>
      <c r="C23" s="131" t="s">
        <v>122</v>
      </c>
      <c r="D23" s="152"/>
      <c r="E23" s="20" t="s">
        <v>134</v>
      </c>
      <c r="F23" s="131">
        <v>2003</v>
      </c>
      <c r="G23" s="20">
        <f t="shared" si="2"/>
        <v>2257.5</v>
      </c>
      <c r="H23" s="20">
        <v>301</v>
      </c>
      <c r="I23" s="20">
        <v>2558.5</v>
      </c>
      <c r="J23" s="20">
        <v>2558.5</v>
      </c>
      <c r="K23" s="20">
        <v>22.38</v>
      </c>
      <c r="L23" s="20">
        <v>22.68</v>
      </c>
      <c r="M23" s="20">
        <v>23.68</v>
      </c>
      <c r="N23" s="20">
        <v>1962.76</v>
      </c>
      <c r="O23" s="135">
        <v>500</v>
      </c>
      <c r="P23" s="57">
        <f t="shared" si="0"/>
        <v>63402.879999999997</v>
      </c>
      <c r="Q23" s="17">
        <f>(G23*M23)+(H23*M23*1.5)+O23</f>
        <v>64649.119999999995</v>
      </c>
    </row>
    <row r="24" spans="1:18" x14ac:dyDescent="0.25">
      <c r="A24" s="131" t="s">
        <v>121</v>
      </c>
      <c r="B24" s="131">
        <v>23</v>
      </c>
      <c r="C24" s="131" t="s">
        <v>135</v>
      </c>
      <c r="D24" s="152"/>
      <c r="E24" s="20" t="s">
        <v>136</v>
      </c>
      <c r="F24" s="131">
        <v>1997</v>
      </c>
      <c r="J24" s="20">
        <v>0</v>
      </c>
      <c r="O24" s="135"/>
      <c r="P24" s="57">
        <v>106258.31</v>
      </c>
      <c r="Q24" s="57">
        <v>116258.31</v>
      </c>
    </row>
    <row r="25" spans="1:18" x14ac:dyDescent="0.25">
      <c r="A25" s="131" t="s">
        <v>121</v>
      </c>
      <c r="B25" s="131">
        <v>24</v>
      </c>
      <c r="C25" s="131" t="s">
        <v>122</v>
      </c>
      <c r="D25" s="152"/>
      <c r="E25" s="20" t="s">
        <v>123</v>
      </c>
      <c r="F25" s="131">
        <v>2012</v>
      </c>
      <c r="G25" s="20">
        <f>I25-H25</f>
        <v>1425</v>
      </c>
      <c r="H25" s="20">
        <v>54</v>
      </c>
      <c r="I25" s="20">
        <v>1479</v>
      </c>
      <c r="J25" s="20">
        <f>G25+H25+760</f>
        <v>2239</v>
      </c>
      <c r="K25" s="20">
        <v>14</v>
      </c>
      <c r="L25" s="20">
        <v>14.8</v>
      </c>
      <c r="M25" s="20">
        <v>16.3</v>
      </c>
      <c r="N25" s="20">
        <v>985.18</v>
      </c>
      <c r="O25" s="135">
        <v>500</v>
      </c>
      <c r="P25" s="57">
        <f t="shared" ref="P25:P34" si="3">(G25*L25)+(H25*L25*1.5)+N25</f>
        <v>23273.98</v>
      </c>
      <c r="Q25" s="17">
        <f>(G25*M25)+(H25*M25*1.5)+O25</f>
        <v>25047.8</v>
      </c>
      <c r="R25" s="17">
        <f>((G25+760)*M25)+(H25*M25*1.5)+O25</f>
        <v>37435.800000000003</v>
      </c>
    </row>
    <row r="26" spans="1:18" x14ac:dyDescent="0.25">
      <c r="A26" s="58" t="s">
        <v>121</v>
      </c>
      <c r="B26" s="58">
        <v>25</v>
      </c>
      <c r="C26" s="58" t="s">
        <v>122</v>
      </c>
      <c r="D26" s="152"/>
      <c r="E26" s="59" t="s">
        <v>127</v>
      </c>
      <c r="F26" s="58"/>
      <c r="G26" s="59">
        <f>I26-H26</f>
        <v>615.5</v>
      </c>
      <c r="H26" s="59">
        <v>5.5</v>
      </c>
      <c r="I26" s="59">
        <v>621</v>
      </c>
      <c r="J26" s="59">
        <v>0</v>
      </c>
      <c r="K26" s="59">
        <v>11.5</v>
      </c>
      <c r="L26" s="59">
        <v>11.8</v>
      </c>
      <c r="M26" s="59">
        <v>0</v>
      </c>
      <c r="N26" s="59">
        <v>0</v>
      </c>
      <c r="O26" s="136"/>
      <c r="P26" s="60">
        <f t="shared" si="3"/>
        <v>7360.2500000000009</v>
      </c>
      <c r="Q26" s="61">
        <f t="shared" ref="Q26" si="4">(G26*M26)+(H26*M26*1.5)+N26</f>
        <v>0</v>
      </c>
    </row>
    <row r="27" spans="1:18" x14ac:dyDescent="0.25">
      <c r="A27" s="131" t="s">
        <v>121</v>
      </c>
      <c r="B27" s="131">
        <v>26</v>
      </c>
      <c r="C27" s="131" t="s">
        <v>125</v>
      </c>
      <c r="D27" s="152"/>
      <c r="E27" s="20" t="s">
        <v>123</v>
      </c>
      <c r="F27" s="131">
        <v>2020</v>
      </c>
      <c r="G27" s="20">
        <f>I27-H27</f>
        <v>893.5</v>
      </c>
      <c r="H27" s="20">
        <v>43.5</v>
      </c>
      <c r="I27" s="20">
        <v>937</v>
      </c>
      <c r="J27" s="20">
        <v>937</v>
      </c>
      <c r="L27" s="20">
        <v>10</v>
      </c>
      <c r="M27" s="20">
        <v>10.5</v>
      </c>
      <c r="N27" s="20">
        <v>550.35</v>
      </c>
      <c r="O27" s="135">
        <v>500</v>
      </c>
      <c r="P27" s="57">
        <f t="shared" si="3"/>
        <v>10137.85</v>
      </c>
      <c r="Q27" s="17">
        <f>(G27*M27)+(H27*M27*1.5)+O27</f>
        <v>10566.875</v>
      </c>
    </row>
    <row r="28" spans="1:18" x14ac:dyDescent="0.25">
      <c r="A28" s="131" t="s">
        <v>121</v>
      </c>
      <c r="B28" s="131">
        <v>27</v>
      </c>
      <c r="C28" s="131" t="s">
        <v>122</v>
      </c>
      <c r="D28" s="152"/>
      <c r="E28" s="20" t="s">
        <v>128</v>
      </c>
      <c r="F28" s="131">
        <v>2008</v>
      </c>
      <c r="G28" s="20">
        <f>I28-H28</f>
        <v>2208.5</v>
      </c>
      <c r="H28" s="20">
        <v>181.5</v>
      </c>
      <c r="I28" s="20">
        <v>2390</v>
      </c>
      <c r="J28" s="20">
        <v>2390</v>
      </c>
      <c r="K28" s="20">
        <v>18.149999999999999</v>
      </c>
      <c r="L28" s="20">
        <v>18.45</v>
      </c>
      <c r="M28" s="20">
        <v>19.45</v>
      </c>
      <c r="N28" s="20">
        <v>1256.1600000000001</v>
      </c>
      <c r="O28" s="135">
        <v>500</v>
      </c>
      <c r="P28" s="57">
        <f t="shared" si="3"/>
        <v>47025.997499999998</v>
      </c>
      <c r="Q28" s="17">
        <f t="shared" ref="Q28:Q34" si="5">(G28*M28)+(H28*M28*1.5)+O28</f>
        <v>48750.587499999994</v>
      </c>
    </row>
    <row r="29" spans="1:18" x14ac:dyDescent="0.25">
      <c r="A29" s="131" t="s">
        <v>121</v>
      </c>
      <c r="B29" s="131">
        <v>28</v>
      </c>
      <c r="C29" s="131" t="s">
        <v>122</v>
      </c>
      <c r="D29" s="152"/>
      <c r="E29" s="20" t="s">
        <v>128</v>
      </c>
      <c r="F29" s="131">
        <v>2016</v>
      </c>
      <c r="G29" s="20">
        <f>I29-H29</f>
        <v>2177</v>
      </c>
      <c r="H29" s="20">
        <v>109</v>
      </c>
      <c r="I29" s="20">
        <v>2286</v>
      </c>
      <c r="J29" s="20">
        <v>2286</v>
      </c>
      <c r="K29" s="20">
        <v>12.5</v>
      </c>
      <c r="L29" s="20">
        <v>12.8</v>
      </c>
      <c r="M29" s="20">
        <v>13.8</v>
      </c>
      <c r="N29" s="20">
        <v>988.16</v>
      </c>
      <c r="O29" s="135">
        <v>500</v>
      </c>
      <c r="P29" s="57">
        <f t="shared" si="3"/>
        <v>30946.560000000001</v>
      </c>
      <c r="Q29" s="17">
        <f t="shared" si="5"/>
        <v>32798.9</v>
      </c>
    </row>
    <row r="30" spans="1:18" x14ac:dyDescent="0.25">
      <c r="A30" s="131" t="s">
        <v>135</v>
      </c>
      <c r="B30" s="131">
        <v>29</v>
      </c>
      <c r="C30" s="131" t="s">
        <v>122</v>
      </c>
      <c r="D30" s="152"/>
      <c r="E30" s="20" t="s">
        <v>137</v>
      </c>
      <c r="F30" s="131">
        <v>2010</v>
      </c>
      <c r="G30" s="20">
        <v>2170.5</v>
      </c>
      <c r="H30" s="20">
        <v>156.5</v>
      </c>
      <c r="I30" s="20">
        <v>2327</v>
      </c>
      <c r="J30" s="20">
        <v>2327</v>
      </c>
      <c r="K30" s="20">
        <v>20.96</v>
      </c>
      <c r="L30" s="20">
        <v>21.26</v>
      </c>
      <c r="M30" s="20">
        <v>22.26</v>
      </c>
      <c r="N30" s="20">
        <v>1278.4000000000001</v>
      </c>
      <c r="O30" s="135">
        <v>500</v>
      </c>
      <c r="P30" s="57">
        <f t="shared" si="3"/>
        <v>52414.015000000007</v>
      </c>
      <c r="Q30" s="17">
        <f t="shared" si="5"/>
        <v>54040.865000000005</v>
      </c>
    </row>
    <row r="31" spans="1:18" x14ac:dyDescent="0.25">
      <c r="A31" s="131" t="s">
        <v>135</v>
      </c>
      <c r="B31" s="131">
        <v>30</v>
      </c>
      <c r="C31" s="131" t="s">
        <v>122</v>
      </c>
      <c r="D31" s="152"/>
      <c r="E31" s="20" t="s">
        <v>138</v>
      </c>
      <c r="F31" s="131">
        <v>2007</v>
      </c>
      <c r="G31" s="20">
        <f>I31-H31</f>
        <v>2127.5</v>
      </c>
      <c r="H31" s="20">
        <v>64</v>
      </c>
      <c r="I31" s="20">
        <v>2191.5</v>
      </c>
      <c r="J31" s="20">
        <v>2191.5</v>
      </c>
      <c r="K31" s="20">
        <v>19.96</v>
      </c>
      <c r="L31" s="20">
        <v>21.26</v>
      </c>
      <c r="M31" s="20">
        <v>22.26</v>
      </c>
      <c r="N31" s="20">
        <v>1234.01</v>
      </c>
      <c r="O31" s="135">
        <v>500</v>
      </c>
      <c r="P31" s="57">
        <f t="shared" si="3"/>
        <v>48505.62</v>
      </c>
      <c r="Q31" s="17">
        <f t="shared" si="5"/>
        <v>49995.11</v>
      </c>
    </row>
    <row r="32" spans="1:18" x14ac:dyDescent="0.25">
      <c r="A32" s="131" t="s">
        <v>135</v>
      </c>
      <c r="B32" s="131">
        <v>31</v>
      </c>
      <c r="C32" s="131" t="s">
        <v>122</v>
      </c>
      <c r="D32" s="152"/>
      <c r="E32" s="20" t="s">
        <v>139</v>
      </c>
      <c r="F32" s="131">
        <v>2009</v>
      </c>
      <c r="G32" s="20">
        <f>I32-H32</f>
        <v>2175.5</v>
      </c>
      <c r="H32" s="20">
        <v>86</v>
      </c>
      <c r="I32" s="20">
        <v>2261.5</v>
      </c>
      <c r="J32" s="20">
        <v>2261.5</v>
      </c>
      <c r="K32" s="20">
        <v>21.65</v>
      </c>
      <c r="L32" s="20">
        <v>21.95</v>
      </c>
      <c r="M32" s="20">
        <v>23.95</v>
      </c>
      <c r="N32" s="20">
        <v>991.11</v>
      </c>
      <c r="O32" s="135">
        <v>500</v>
      </c>
      <c r="P32" s="57">
        <f t="shared" si="3"/>
        <v>51574.885000000002</v>
      </c>
      <c r="Q32" s="17">
        <f t="shared" si="5"/>
        <v>55692.775000000001</v>
      </c>
    </row>
    <row r="33" spans="1:18" x14ac:dyDescent="0.25">
      <c r="A33" s="131" t="s">
        <v>135</v>
      </c>
      <c r="B33" s="131">
        <v>32</v>
      </c>
      <c r="C33" s="131" t="s">
        <v>122</v>
      </c>
      <c r="D33" s="152"/>
      <c r="E33" s="20" t="s">
        <v>140</v>
      </c>
      <c r="F33" s="131">
        <v>2017</v>
      </c>
      <c r="G33" s="20">
        <f>I33-H33</f>
        <v>1591.5</v>
      </c>
      <c r="H33" s="20">
        <v>37.5</v>
      </c>
      <c r="I33" s="20">
        <v>1629</v>
      </c>
      <c r="J33" s="20">
        <f>G33+H33+760</f>
        <v>2389</v>
      </c>
      <c r="K33" s="20">
        <v>13</v>
      </c>
      <c r="L33" s="20">
        <v>14.3</v>
      </c>
      <c r="M33" s="20">
        <v>15.3</v>
      </c>
      <c r="N33" s="20">
        <v>989.07</v>
      </c>
      <c r="O33" s="135">
        <v>500</v>
      </c>
      <c r="P33" s="57">
        <f t="shared" si="3"/>
        <v>24551.895</v>
      </c>
      <c r="Q33" s="17">
        <f t="shared" si="5"/>
        <v>25710.575000000001</v>
      </c>
      <c r="R33" s="17">
        <f>((G33+760)*M33)+(H33*M33*1.5)+O33</f>
        <v>37338.575000000004</v>
      </c>
    </row>
    <row r="34" spans="1:18" x14ac:dyDescent="0.25">
      <c r="A34" s="131" t="s">
        <v>135</v>
      </c>
      <c r="B34" s="131">
        <v>33</v>
      </c>
      <c r="C34" s="131" t="s">
        <v>122</v>
      </c>
      <c r="D34" s="152"/>
      <c r="E34" s="20" t="s">
        <v>140</v>
      </c>
      <c r="F34" s="131">
        <v>2012</v>
      </c>
      <c r="G34" s="20">
        <f>I34-H34</f>
        <v>1481.5</v>
      </c>
      <c r="H34" s="20">
        <v>64</v>
      </c>
      <c r="I34" s="20">
        <v>1545.5</v>
      </c>
      <c r="J34" s="20">
        <f>G34+H34+760</f>
        <v>2305.5</v>
      </c>
      <c r="K34" s="20">
        <v>17.05</v>
      </c>
      <c r="L34" s="20">
        <v>17.350000000000001</v>
      </c>
      <c r="M34" s="20">
        <v>18.350000000000001</v>
      </c>
      <c r="N34" s="20">
        <v>977.87</v>
      </c>
      <c r="O34" s="135">
        <v>500</v>
      </c>
      <c r="P34" s="57">
        <f t="shared" si="3"/>
        <v>28347.494999999999</v>
      </c>
      <c r="Q34" s="17">
        <f t="shared" si="5"/>
        <v>29447.125</v>
      </c>
      <c r="R34" s="17">
        <f>((G34+760)*M34)+(H34*M34*1.5)+O34</f>
        <v>43393.125</v>
      </c>
    </row>
    <row r="35" spans="1:18" x14ac:dyDescent="0.25">
      <c r="N35" s="20">
        <f>SUM(N2:N34)</f>
        <v>29966.27</v>
      </c>
      <c r="O35" s="83">
        <f>SUM(O2:O34)</f>
        <v>14000</v>
      </c>
    </row>
    <row r="37" spans="1:18" x14ac:dyDescent="0.25">
      <c r="A37" s="168" t="s">
        <v>496</v>
      </c>
      <c r="B37" s="168"/>
      <c r="C37" s="168"/>
      <c r="D37" s="168"/>
    </row>
    <row r="39" spans="1:18" x14ac:dyDescent="0.25">
      <c r="R39" s="80"/>
    </row>
    <row r="40" spans="1:18" x14ac:dyDescent="0.25">
      <c r="R40" s="80"/>
    </row>
  </sheetData>
  <mergeCells count="1">
    <mergeCell ref="A37:D37"/>
  </mergeCells>
  <pageMargins left="0.25" right="0.25"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D136E-2D7C-4B39-8307-8A5AC6A35584}">
  <dimension ref="A1:AK38"/>
  <sheetViews>
    <sheetView topLeftCell="B1" zoomScale="80" zoomScaleNormal="80" workbookViewId="0">
      <selection activeCell="G37" sqref="G37"/>
    </sheetView>
  </sheetViews>
  <sheetFormatPr defaultRowHeight="15" x14ac:dyDescent="0.25"/>
  <cols>
    <col min="1" max="1" width="12.140625" style="92" customWidth="1"/>
    <col min="2" max="2" width="9.140625" style="92"/>
    <col min="3" max="4" width="16.85546875" style="92" customWidth="1"/>
    <col min="5" max="5" width="9.140625" style="94"/>
    <col min="6" max="6" width="22.5703125" style="20" customWidth="1"/>
    <col min="7" max="7" width="29.42578125" style="20" customWidth="1"/>
    <col min="8" max="9" width="17.42578125" style="20" customWidth="1"/>
    <col min="10" max="10" width="15.5703125" style="20" customWidth="1"/>
    <col min="11" max="11" width="11.5703125" style="20" customWidth="1"/>
    <col min="12" max="12" width="11.42578125" style="20" customWidth="1"/>
    <col min="13" max="13" width="10.5703125" style="20" bestFit="1" customWidth="1"/>
    <col min="14" max="15" width="9.140625" style="20"/>
    <col min="16" max="16" width="17.5703125" style="93" customWidth="1"/>
    <col min="17" max="17" width="13.140625" style="20" customWidth="1"/>
    <col min="18" max="19" width="13.42578125" style="20" customWidth="1"/>
    <col min="20" max="20" width="16" style="17" customWidth="1"/>
    <col min="21" max="21" width="15.42578125" style="17" customWidth="1"/>
    <col min="22" max="23" width="18" style="17" customWidth="1"/>
    <col min="24" max="24" width="20.5703125" style="20" customWidth="1"/>
    <col min="25" max="27" width="21" style="11" customWidth="1"/>
    <col min="28" max="28" width="21.7109375" style="20" customWidth="1"/>
    <col min="29" max="29" width="18.42578125" style="20" customWidth="1"/>
    <col min="30" max="30" width="19.140625" style="20" customWidth="1"/>
    <col min="31" max="31" width="20.28515625" style="20" customWidth="1"/>
    <col min="32" max="32" width="23.5703125" style="20" customWidth="1"/>
    <col min="33" max="33" width="21.85546875" style="20" customWidth="1"/>
    <col min="34" max="34" width="20.5703125" style="20" customWidth="1"/>
    <col min="35" max="35" width="22.42578125" style="20" customWidth="1"/>
    <col min="36" max="36" width="19" style="20" customWidth="1"/>
    <col min="37" max="37" width="21.42578125" style="20" customWidth="1"/>
    <col min="38" max="16384" width="9.140625" style="20"/>
  </cols>
  <sheetData>
    <row r="1" spans="1:37" ht="38.25" customHeight="1" x14ac:dyDescent="0.25">
      <c r="A1" s="165" t="s">
        <v>118</v>
      </c>
      <c r="B1" s="165" t="s">
        <v>237</v>
      </c>
      <c r="C1" s="169" t="s">
        <v>213</v>
      </c>
      <c r="D1" s="169" t="s">
        <v>243</v>
      </c>
      <c r="E1" s="165" t="s">
        <v>183</v>
      </c>
      <c r="F1" s="165" t="s">
        <v>109</v>
      </c>
      <c r="G1" s="165" t="s">
        <v>184</v>
      </c>
      <c r="H1" s="169" t="s">
        <v>185</v>
      </c>
      <c r="I1" s="169" t="s">
        <v>186</v>
      </c>
      <c r="J1" s="165" t="s">
        <v>187</v>
      </c>
      <c r="K1" s="165" t="s">
        <v>188</v>
      </c>
      <c r="L1" s="165"/>
      <c r="M1" s="165" t="s">
        <v>189</v>
      </c>
      <c r="N1" s="165" t="s">
        <v>190</v>
      </c>
      <c r="O1" s="165" t="s">
        <v>191</v>
      </c>
      <c r="P1" s="169" t="s">
        <v>192</v>
      </c>
      <c r="Q1" s="169" t="s">
        <v>193</v>
      </c>
      <c r="R1" s="169"/>
      <c r="S1" s="169" t="s">
        <v>194</v>
      </c>
      <c r="T1" s="170" t="s">
        <v>195</v>
      </c>
      <c r="U1" s="170" t="s">
        <v>196</v>
      </c>
      <c r="V1" s="172" t="s">
        <v>216</v>
      </c>
      <c r="W1" s="172" t="s">
        <v>217</v>
      </c>
      <c r="X1" s="173" t="s">
        <v>218</v>
      </c>
      <c r="Y1" s="173" t="s">
        <v>219</v>
      </c>
      <c r="Z1" s="173" t="s">
        <v>244</v>
      </c>
      <c r="AA1" s="173" t="s">
        <v>220</v>
      </c>
      <c r="AB1" s="173" t="s">
        <v>221</v>
      </c>
      <c r="AC1" s="173" t="s">
        <v>222</v>
      </c>
      <c r="AD1" s="171" t="s">
        <v>197</v>
      </c>
      <c r="AE1" s="171" t="s">
        <v>198</v>
      </c>
      <c r="AF1" s="171" t="s">
        <v>223</v>
      </c>
      <c r="AG1" s="171" t="s">
        <v>224</v>
      </c>
      <c r="AH1" s="171" t="s">
        <v>245</v>
      </c>
      <c r="AI1" s="171" t="s">
        <v>246</v>
      </c>
      <c r="AJ1" s="171" t="s">
        <v>221</v>
      </c>
      <c r="AK1" s="171" t="s">
        <v>222</v>
      </c>
    </row>
    <row r="2" spans="1:37" ht="38.25" customHeight="1" x14ac:dyDescent="0.25">
      <c r="A2" s="165"/>
      <c r="B2" s="165"/>
      <c r="C2" s="169"/>
      <c r="D2" s="169"/>
      <c r="E2" s="165"/>
      <c r="F2" s="165"/>
      <c r="G2" s="165"/>
      <c r="H2" s="169"/>
      <c r="I2" s="169"/>
      <c r="J2" s="165"/>
      <c r="K2" s="93">
        <v>2020</v>
      </c>
      <c r="L2" s="93">
        <v>2021</v>
      </c>
      <c r="M2" s="165"/>
      <c r="N2" s="165"/>
      <c r="O2" s="165"/>
      <c r="P2" s="169"/>
      <c r="Q2" s="93">
        <v>2020</v>
      </c>
      <c r="R2" s="63" t="s">
        <v>199</v>
      </c>
      <c r="S2" s="169"/>
      <c r="T2" s="170"/>
      <c r="U2" s="170"/>
      <c r="V2" s="172"/>
      <c r="W2" s="172"/>
      <c r="X2" s="173"/>
      <c r="Y2" s="173"/>
      <c r="Z2" s="173"/>
      <c r="AA2" s="173"/>
      <c r="AB2" s="173"/>
      <c r="AC2" s="173"/>
      <c r="AD2" s="171"/>
      <c r="AE2" s="171"/>
      <c r="AF2" s="171"/>
      <c r="AG2" s="171"/>
      <c r="AH2" s="171"/>
      <c r="AI2" s="171"/>
      <c r="AJ2" s="171"/>
      <c r="AK2" s="171"/>
    </row>
    <row r="3" spans="1:37" x14ac:dyDescent="0.25">
      <c r="A3" s="92" t="s">
        <v>200</v>
      </c>
      <c r="B3" s="92">
        <v>23</v>
      </c>
      <c r="C3" s="92">
        <v>10</v>
      </c>
      <c r="D3" s="99">
        <f>(AD36/I36)*100</f>
        <v>23.030164451175771</v>
      </c>
      <c r="E3" s="94" t="s">
        <v>122</v>
      </c>
      <c r="F3" s="152"/>
      <c r="G3" s="20" t="s">
        <v>201</v>
      </c>
      <c r="H3" s="17">
        <v>106258.31</v>
      </c>
      <c r="I3" s="17">
        <v>116258.31</v>
      </c>
      <c r="J3" s="64" t="s">
        <v>202</v>
      </c>
      <c r="K3" s="65">
        <v>1306.6500000000001</v>
      </c>
      <c r="L3" s="64">
        <v>1481.7</v>
      </c>
      <c r="M3" s="64">
        <v>39.6</v>
      </c>
      <c r="N3" s="64">
        <v>13.75</v>
      </c>
      <c r="O3" s="64">
        <v>5.5</v>
      </c>
      <c r="P3" s="66">
        <f>12*(L3+M3+N3+O3)</f>
        <v>18486.599999999999</v>
      </c>
      <c r="Q3" s="48">
        <f>0.246*H3</f>
        <v>26139.544259999999</v>
      </c>
      <c r="R3" s="17">
        <f>0.2695*I3</f>
        <v>31331.614545</v>
      </c>
      <c r="S3" s="48">
        <f>I3*0.0765</f>
        <v>8893.7607150000003</v>
      </c>
      <c r="T3" s="17">
        <f>(L3*12)*0.66</f>
        <v>11735.064000000002</v>
      </c>
      <c r="U3" s="17">
        <f>M3*12*0.4</f>
        <v>190.08000000000004</v>
      </c>
      <c r="V3" s="17">
        <f>I3*(C3/100)</f>
        <v>11625.831</v>
      </c>
      <c r="W3" s="17">
        <f>V3*0.0765</f>
        <v>889.37607149999997</v>
      </c>
      <c r="X3" s="48">
        <f>(C3/100)*T3</f>
        <v>1173.5064000000002</v>
      </c>
      <c r="Y3" s="67">
        <f>(C3/100)*U3</f>
        <v>19.008000000000006</v>
      </c>
      <c r="Z3" s="67">
        <f>(C3/100)*N3*12</f>
        <v>16.5</v>
      </c>
      <c r="AA3" s="67">
        <f>(C3/100)*O3*12</f>
        <v>6.6000000000000005</v>
      </c>
      <c r="AB3" s="48">
        <f>(C3/100)*R3</f>
        <v>3133.1614545000002</v>
      </c>
      <c r="AC3" s="48">
        <f>X3+Y3+Z3+AA3+AB3</f>
        <v>4348.7758545000006</v>
      </c>
      <c r="AD3" s="17">
        <f>I3*(D3/100)</f>
        <v>26774.479981157729</v>
      </c>
      <c r="AE3" s="17">
        <f>AD3*0.0765</f>
        <v>2048.2477185585662</v>
      </c>
      <c r="AF3" s="17">
        <f>(D3/100)*T3</f>
        <v>2702.6045376507259</v>
      </c>
      <c r="AG3" s="17">
        <f>(D3/100)*U3</f>
        <v>43.775736588794913</v>
      </c>
      <c r="AH3" s="17">
        <f>(D3/100)*N3*12</f>
        <v>37.99977134444002</v>
      </c>
      <c r="AI3" s="17">
        <f>(D3/100)*O3*12</f>
        <v>15.199908537776011</v>
      </c>
      <c r="AJ3" s="17">
        <f>(D3/100)*R3</f>
        <v>7215.722354922008</v>
      </c>
      <c r="AK3" s="17">
        <f>AF3+AG3+AH3+AI3+AJ3</f>
        <v>10015.302309043745</v>
      </c>
    </row>
    <row r="4" spans="1:37" x14ac:dyDescent="0.25">
      <c r="A4" s="92" t="s">
        <v>200</v>
      </c>
      <c r="B4" s="92">
        <v>19</v>
      </c>
      <c r="C4" s="92">
        <v>20</v>
      </c>
      <c r="D4" s="92">
        <v>15.45</v>
      </c>
      <c r="E4" s="94" t="s">
        <v>122</v>
      </c>
      <c r="F4" s="152"/>
      <c r="G4" s="20" t="s">
        <v>203</v>
      </c>
      <c r="H4" s="17">
        <v>48375.21</v>
      </c>
      <c r="I4" s="17">
        <v>51101.63</v>
      </c>
      <c r="J4" s="64" t="s">
        <v>204</v>
      </c>
      <c r="K4" s="65">
        <v>946.2</v>
      </c>
      <c r="L4" s="64">
        <v>1072.95</v>
      </c>
      <c r="M4" s="64">
        <v>40.81</v>
      </c>
      <c r="N4" s="64">
        <v>13.07</v>
      </c>
      <c r="O4" s="64">
        <v>5.5</v>
      </c>
      <c r="P4" s="66">
        <f t="shared" ref="P4:P31" si="0">12*(L4+M4+N4+O4)</f>
        <v>13587.96</v>
      </c>
      <c r="Q4" s="48">
        <f t="shared" ref="Q4:Q26" si="1">0.246*H4</f>
        <v>11900.301659999999</v>
      </c>
      <c r="R4" s="17">
        <f t="shared" ref="R4:R26" si="2">0.2695*I4</f>
        <v>13771.889284999999</v>
      </c>
      <c r="S4" s="48">
        <f t="shared" ref="S4:S31" si="3">I4*0.0765</f>
        <v>3909.2746949999996</v>
      </c>
      <c r="T4" s="17">
        <f t="shared" ref="T4:T24" si="4">(L4*12)*0.66</f>
        <v>8497.764000000001</v>
      </c>
      <c r="U4" s="17">
        <f t="shared" ref="U4:U31" si="5">M4*12*0.4</f>
        <v>195.88800000000003</v>
      </c>
      <c r="V4" s="17">
        <f t="shared" ref="V4:V31" si="6">I4*(C4/100)</f>
        <v>10220.326000000001</v>
      </c>
      <c r="W4" s="17">
        <f t="shared" ref="W4:W32" si="7">V4*0.0765</f>
        <v>781.85493900000006</v>
      </c>
      <c r="X4" s="48">
        <f t="shared" ref="X4:X31" si="8">(C4/100)*T4</f>
        <v>1699.5528000000004</v>
      </c>
      <c r="Y4" s="67">
        <f t="shared" ref="Y4:Y31" si="9">(C4/100)*U4</f>
        <v>39.177600000000012</v>
      </c>
      <c r="Z4" s="67">
        <f t="shared" ref="Z4:Z31" si="10">(C4/100)*N4*12</f>
        <v>31.368000000000002</v>
      </c>
      <c r="AA4" s="67">
        <f t="shared" ref="AA4:AA31" si="11">(C4/100)*O4*12</f>
        <v>13.200000000000001</v>
      </c>
      <c r="AB4" s="48">
        <f t="shared" ref="AB4:AB31" si="12">(C4/100)*R4</f>
        <v>2754.3778569999999</v>
      </c>
      <c r="AC4" s="48">
        <f t="shared" ref="AC4:AC31" si="13">X4+Y4+Z4+AA4+AB4</f>
        <v>4537.6762570000001</v>
      </c>
      <c r="AD4" s="17">
        <f t="shared" ref="AD4:AD31" si="14">I4*(D4/100)</f>
        <v>7895.2018349999998</v>
      </c>
      <c r="AE4" s="17">
        <f t="shared" ref="AE4:AE31" si="15">AD4*0.0765</f>
        <v>603.98294037749997</v>
      </c>
      <c r="AF4" s="17">
        <f t="shared" ref="AF4:AF31" si="16">(D4/100)*T4</f>
        <v>1312.9045380000002</v>
      </c>
      <c r="AG4" s="17">
        <f t="shared" ref="AG4:AG31" si="17">(D4/100)*U4</f>
        <v>30.264696000000004</v>
      </c>
      <c r="AH4" s="17">
        <f t="shared" ref="AH4:AH31" si="18">(D4/100)*N4*12</f>
        <v>24.231780000000001</v>
      </c>
      <c r="AI4" s="17">
        <f t="shared" ref="AI4:AI31" si="19">(D4/100)*O4*12</f>
        <v>10.196999999999999</v>
      </c>
      <c r="AJ4" s="17">
        <f t="shared" ref="AJ4:AJ31" si="20">(D4/100)*R4</f>
        <v>2127.7568945324997</v>
      </c>
      <c r="AK4" s="17">
        <f t="shared" ref="AK4:AK31" si="21">AF4+AG4+AH4+AI4+AJ4</f>
        <v>3505.3549085324998</v>
      </c>
    </row>
    <row r="5" spans="1:37" x14ac:dyDescent="0.25">
      <c r="A5" s="92" t="s">
        <v>200</v>
      </c>
      <c r="B5" s="100">
        <v>21</v>
      </c>
      <c r="C5" s="92">
        <v>10</v>
      </c>
      <c r="D5" s="92">
        <v>10</v>
      </c>
      <c r="E5" s="94" t="s">
        <v>122</v>
      </c>
      <c r="F5" s="152"/>
      <c r="G5" s="20" t="s">
        <v>205</v>
      </c>
      <c r="H5" s="17">
        <v>58998.46</v>
      </c>
      <c r="I5" s="17">
        <v>63198.74</v>
      </c>
      <c r="J5" s="64" t="s">
        <v>204</v>
      </c>
      <c r="K5" s="65">
        <v>946.2</v>
      </c>
      <c r="L5" s="64">
        <v>1072.95</v>
      </c>
      <c r="M5" s="64">
        <v>40.81</v>
      </c>
      <c r="N5" s="64">
        <v>13.07</v>
      </c>
      <c r="O5" s="64">
        <v>5.5</v>
      </c>
      <c r="P5" s="66">
        <f t="shared" si="0"/>
        <v>13587.96</v>
      </c>
      <c r="Q5" s="48">
        <f t="shared" si="1"/>
        <v>14513.621159999999</v>
      </c>
      <c r="R5" s="17">
        <f t="shared" si="2"/>
        <v>17032.060430000001</v>
      </c>
      <c r="S5" s="48">
        <f t="shared" si="3"/>
        <v>4834.7036099999996</v>
      </c>
      <c r="T5" s="17">
        <f t="shared" si="4"/>
        <v>8497.764000000001</v>
      </c>
      <c r="U5" s="17">
        <f t="shared" si="5"/>
        <v>195.88800000000003</v>
      </c>
      <c r="V5" s="17">
        <f t="shared" si="6"/>
        <v>6319.8739999999998</v>
      </c>
      <c r="W5" s="17">
        <f t="shared" si="7"/>
        <v>483.47036099999997</v>
      </c>
      <c r="X5" s="48">
        <f t="shared" si="8"/>
        <v>849.77640000000019</v>
      </c>
      <c r="Y5" s="67">
        <f t="shared" si="9"/>
        <v>19.588800000000006</v>
      </c>
      <c r="Z5" s="67">
        <f t="shared" si="10"/>
        <v>15.684000000000001</v>
      </c>
      <c r="AA5" s="67">
        <f t="shared" si="11"/>
        <v>6.6000000000000005</v>
      </c>
      <c r="AB5" s="48">
        <f t="shared" si="12"/>
        <v>1703.2060430000001</v>
      </c>
      <c r="AC5" s="48">
        <f t="shared" si="13"/>
        <v>2594.8552430000004</v>
      </c>
      <c r="AD5" s="17">
        <f t="shared" si="14"/>
        <v>6319.8739999999998</v>
      </c>
      <c r="AE5" s="17">
        <f t="shared" si="15"/>
        <v>483.47036099999997</v>
      </c>
      <c r="AF5" s="17">
        <f t="shared" si="16"/>
        <v>849.77640000000019</v>
      </c>
      <c r="AG5" s="17">
        <f t="shared" si="17"/>
        <v>19.588800000000006</v>
      </c>
      <c r="AH5" s="17">
        <f t="shared" si="18"/>
        <v>15.684000000000001</v>
      </c>
      <c r="AI5" s="17">
        <f t="shared" si="19"/>
        <v>6.6000000000000005</v>
      </c>
      <c r="AJ5" s="17">
        <f t="shared" si="20"/>
        <v>1703.2060430000001</v>
      </c>
      <c r="AK5" s="17">
        <f t="shared" si="21"/>
        <v>2594.8552430000004</v>
      </c>
    </row>
    <row r="6" spans="1:37" x14ac:dyDescent="0.25">
      <c r="A6" s="92" t="s">
        <v>200</v>
      </c>
      <c r="B6" s="92">
        <v>22</v>
      </c>
      <c r="C6" s="92">
        <v>20</v>
      </c>
      <c r="D6" s="92">
        <v>15.45</v>
      </c>
      <c r="E6" s="94" t="s">
        <v>122</v>
      </c>
      <c r="F6" s="152"/>
      <c r="G6" s="20" t="s">
        <v>134</v>
      </c>
      <c r="H6" s="17">
        <v>63402.879999999997</v>
      </c>
      <c r="I6" s="101">
        <v>64649.120000000003</v>
      </c>
      <c r="J6" s="64" t="s">
        <v>206</v>
      </c>
      <c r="K6" s="65">
        <v>811.03</v>
      </c>
      <c r="L6" s="64">
        <v>510.93</v>
      </c>
      <c r="M6" s="64">
        <v>19.399999999999999</v>
      </c>
      <c r="N6" s="64">
        <v>6.88</v>
      </c>
      <c r="O6" s="64">
        <v>5.5</v>
      </c>
      <c r="P6" s="66">
        <f t="shared" si="0"/>
        <v>6512.52</v>
      </c>
      <c r="Q6" s="48">
        <f t="shared" si="1"/>
        <v>15597.108479999999</v>
      </c>
      <c r="R6" s="17">
        <f t="shared" si="2"/>
        <v>17422.937840000002</v>
      </c>
      <c r="S6" s="48">
        <f t="shared" si="3"/>
        <v>4945.6576800000003</v>
      </c>
      <c r="T6" s="17">
        <f>(L6*12)*0.78</f>
        <v>4782.3047999999999</v>
      </c>
      <c r="U6" s="17">
        <f t="shared" si="5"/>
        <v>93.12</v>
      </c>
      <c r="V6" s="17">
        <f t="shared" si="6"/>
        <v>12929.824000000001</v>
      </c>
      <c r="W6" s="17">
        <f t="shared" si="7"/>
        <v>989.13153599999998</v>
      </c>
      <c r="X6" s="48">
        <f t="shared" si="8"/>
        <v>956.46096</v>
      </c>
      <c r="Y6" s="67">
        <f t="shared" si="9"/>
        <v>18.624000000000002</v>
      </c>
      <c r="Z6" s="67">
        <f t="shared" si="10"/>
        <v>16.512</v>
      </c>
      <c r="AA6" s="67">
        <f t="shared" si="11"/>
        <v>13.200000000000001</v>
      </c>
      <c r="AB6" s="48">
        <f t="shared" si="12"/>
        <v>3484.5875680000008</v>
      </c>
      <c r="AC6" s="48">
        <f t="shared" si="13"/>
        <v>4489.3845280000005</v>
      </c>
      <c r="AD6" s="17">
        <f t="shared" si="14"/>
        <v>9988.2890399999997</v>
      </c>
      <c r="AE6" s="17">
        <f t="shared" si="15"/>
        <v>764.10411155999998</v>
      </c>
      <c r="AF6" s="17">
        <f t="shared" si="16"/>
        <v>738.8660916</v>
      </c>
      <c r="AG6" s="17">
        <f t="shared" si="17"/>
        <v>14.387040000000001</v>
      </c>
      <c r="AH6" s="17">
        <f t="shared" si="18"/>
        <v>12.755519999999999</v>
      </c>
      <c r="AI6" s="17">
        <f t="shared" si="19"/>
        <v>10.196999999999999</v>
      </c>
      <c r="AJ6" s="17">
        <f t="shared" si="20"/>
        <v>2691.8438962800005</v>
      </c>
      <c r="AK6" s="17">
        <f t="shared" si="21"/>
        <v>3468.0495478800003</v>
      </c>
    </row>
    <row r="7" spans="1:37" x14ac:dyDescent="0.25">
      <c r="A7" s="92" t="s">
        <v>200</v>
      </c>
      <c r="B7" s="92">
        <v>12</v>
      </c>
      <c r="C7" s="92">
        <v>10</v>
      </c>
      <c r="D7" s="92">
        <v>15.45</v>
      </c>
      <c r="E7" s="94" t="s">
        <v>122</v>
      </c>
      <c r="F7" s="152"/>
      <c r="G7" s="20" t="s">
        <v>207</v>
      </c>
      <c r="H7" s="17">
        <v>43647.48</v>
      </c>
      <c r="I7" s="17">
        <v>43621.21</v>
      </c>
      <c r="J7" s="64" t="s">
        <v>208</v>
      </c>
      <c r="K7" s="65">
        <v>0</v>
      </c>
      <c r="L7" s="64">
        <v>0</v>
      </c>
      <c r="M7" s="64">
        <v>19.399999999999999</v>
      </c>
      <c r="N7" s="64">
        <v>6.88</v>
      </c>
      <c r="O7" s="64">
        <v>5.5</v>
      </c>
      <c r="P7" s="66">
        <f t="shared" si="0"/>
        <v>381.35999999999996</v>
      </c>
      <c r="Q7" s="48">
        <f t="shared" si="1"/>
        <v>10737.28008</v>
      </c>
      <c r="R7" s="17">
        <f t="shared" si="2"/>
        <v>11755.916095</v>
      </c>
      <c r="S7" s="48">
        <f t="shared" si="3"/>
        <v>3337.0225649999998</v>
      </c>
      <c r="T7" s="17">
        <f t="shared" si="4"/>
        <v>0</v>
      </c>
      <c r="U7" s="17">
        <f t="shared" si="5"/>
        <v>93.12</v>
      </c>
      <c r="V7" s="17">
        <f t="shared" si="6"/>
        <v>4362.1210000000001</v>
      </c>
      <c r="W7" s="17">
        <f t="shared" si="7"/>
        <v>333.70225649999998</v>
      </c>
      <c r="X7" s="48">
        <f t="shared" si="8"/>
        <v>0</v>
      </c>
      <c r="Y7" s="67">
        <f t="shared" si="9"/>
        <v>9.3120000000000012</v>
      </c>
      <c r="Z7" s="67">
        <f t="shared" si="10"/>
        <v>8.2560000000000002</v>
      </c>
      <c r="AA7" s="67">
        <f t="shared" si="11"/>
        <v>6.6000000000000005</v>
      </c>
      <c r="AB7" s="48">
        <f t="shared" si="12"/>
        <v>1175.5916095</v>
      </c>
      <c r="AC7" s="48">
        <f t="shared" si="13"/>
        <v>1199.7596094999999</v>
      </c>
      <c r="AD7" s="17">
        <f t="shared" si="14"/>
        <v>6739.4769449999994</v>
      </c>
      <c r="AE7" s="17">
        <f t="shared" si="15"/>
        <v>515.56998629249995</v>
      </c>
      <c r="AF7" s="17">
        <f t="shared" si="16"/>
        <v>0</v>
      </c>
      <c r="AG7" s="17">
        <f t="shared" si="17"/>
        <v>14.387040000000001</v>
      </c>
      <c r="AH7" s="17">
        <f t="shared" si="18"/>
        <v>12.755519999999999</v>
      </c>
      <c r="AI7" s="17">
        <f t="shared" si="19"/>
        <v>10.196999999999999</v>
      </c>
      <c r="AJ7" s="17">
        <f t="shared" si="20"/>
        <v>1816.2890366775</v>
      </c>
      <c r="AK7" s="17">
        <f t="shared" si="21"/>
        <v>1853.6285966774999</v>
      </c>
    </row>
    <row r="8" spans="1:37" x14ac:dyDescent="0.25">
      <c r="A8" s="92" t="s">
        <v>200</v>
      </c>
      <c r="B8" s="92">
        <v>18</v>
      </c>
      <c r="C8" s="92">
        <v>0</v>
      </c>
      <c r="D8" s="92">
        <v>15.45</v>
      </c>
      <c r="E8" s="94" t="s">
        <v>122</v>
      </c>
      <c r="F8" s="152"/>
      <c r="G8" s="20" t="s">
        <v>207</v>
      </c>
      <c r="H8" s="17">
        <v>27088.78</v>
      </c>
      <c r="I8" s="17">
        <v>27088.78</v>
      </c>
      <c r="J8" s="64" t="s">
        <v>202</v>
      </c>
      <c r="K8" s="68">
        <v>1306.6500000000001</v>
      </c>
      <c r="L8" s="64">
        <v>1481.7</v>
      </c>
      <c r="M8" s="64">
        <v>79.349999999999994</v>
      </c>
      <c r="N8" s="64">
        <v>20.22</v>
      </c>
      <c r="O8" s="64">
        <v>5.5</v>
      </c>
      <c r="P8" s="66">
        <f t="shared" si="0"/>
        <v>19041.239999999998</v>
      </c>
      <c r="Q8" s="48">
        <f t="shared" si="1"/>
        <v>6663.8398799999995</v>
      </c>
      <c r="R8" s="17">
        <f t="shared" si="2"/>
        <v>7300.4262100000005</v>
      </c>
      <c r="S8" s="48">
        <f t="shared" si="3"/>
        <v>2072.2916700000001</v>
      </c>
      <c r="T8" s="17">
        <f t="shared" si="4"/>
        <v>11735.064000000002</v>
      </c>
      <c r="U8" s="17">
        <f t="shared" si="5"/>
        <v>380.88</v>
      </c>
      <c r="V8" s="17">
        <f t="shared" si="6"/>
        <v>0</v>
      </c>
      <c r="W8" s="17">
        <f t="shared" si="7"/>
        <v>0</v>
      </c>
      <c r="X8" s="48">
        <f t="shared" si="8"/>
        <v>0</v>
      </c>
      <c r="Y8" s="67">
        <f t="shared" si="9"/>
        <v>0</v>
      </c>
      <c r="Z8" s="67">
        <f t="shared" si="10"/>
        <v>0</v>
      </c>
      <c r="AA8" s="67">
        <f t="shared" si="11"/>
        <v>0</v>
      </c>
      <c r="AB8" s="48">
        <f t="shared" si="12"/>
        <v>0</v>
      </c>
      <c r="AC8" s="48">
        <f t="shared" si="13"/>
        <v>0</v>
      </c>
      <c r="AD8" s="17">
        <f t="shared" si="14"/>
        <v>4185.2165100000002</v>
      </c>
      <c r="AE8" s="17">
        <f t="shared" si="15"/>
        <v>320.16906301500001</v>
      </c>
      <c r="AF8" s="17">
        <f t="shared" si="16"/>
        <v>1813.0673880000004</v>
      </c>
      <c r="AG8" s="17">
        <f t="shared" si="17"/>
        <v>58.845959999999998</v>
      </c>
      <c r="AH8" s="17">
        <f t="shared" si="18"/>
        <v>37.487879999999997</v>
      </c>
      <c r="AI8" s="17">
        <f t="shared" si="19"/>
        <v>10.196999999999999</v>
      </c>
      <c r="AJ8" s="17">
        <f t="shared" si="20"/>
        <v>1127.915849445</v>
      </c>
      <c r="AK8" s="17">
        <f t="shared" si="21"/>
        <v>3047.5140774450001</v>
      </c>
    </row>
    <row r="9" spans="1:37" x14ac:dyDescent="0.25">
      <c r="A9" s="92" t="s">
        <v>121</v>
      </c>
      <c r="B9" s="92">
        <v>14</v>
      </c>
      <c r="C9" s="92">
        <v>0</v>
      </c>
      <c r="D9" s="92">
        <v>0</v>
      </c>
      <c r="E9" s="94" t="s">
        <v>122</v>
      </c>
      <c r="F9" s="152"/>
      <c r="G9" s="20" t="s">
        <v>238</v>
      </c>
      <c r="H9" s="17">
        <v>59428.42</v>
      </c>
      <c r="I9" s="17">
        <v>63097.4</v>
      </c>
      <c r="J9" s="64" t="s">
        <v>202</v>
      </c>
      <c r="K9" s="65">
        <v>1306.6500000000001</v>
      </c>
      <c r="L9" s="64">
        <v>1481.7</v>
      </c>
      <c r="M9" s="64">
        <v>79.349999999999994</v>
      </c>
      <c r="N9" s="64">
        <v>20.22</v>
      </c>
      <c r="O9" s="64">
        <v>5.5</v>
      </c>
      <c r="P9" s="66">
        <f t="shared" si="0"/>
        <v>19041.239999999998</v>
      </c>
      <c r="Q9" s="48">
        <f t="shared" si="1"/>
        <v>14619.391319999999</v>
      </c>
      <c r="R9" s="17">
        <f t="shared" si="2"/>
        <v>17004.749300000003</v>
      </c>
      <c r="S9" s="48">
        <f t="shared" si="3"/>
        <v>4826.9511000000002</v>
      </c>
      <c r="T9" s="17">
        <f t="shared" si="4"/>
        <v>11735.064000000002</v>
      </c>
      <c r="U9" s="17">
        <f t="shared" si="5"/>
        <v>380.88</v>
      </c>
      <c r="V9" s="17">
        <f t="shared" si="6"/>
        <v>0</v>
      </c>
      <c r="W9" s="17">
        <f t="shared" si="7"/>
        <v>0</v>
      </c>
      <c r="X9" s="48">
        <f t="shared" si="8"/>
        <v>0</v>
      </c>
      <c r="Y9" s="67">
        <f t="shared" si="9"/>
        <v>0</v>
      </c>
      <c r="Z9" s="67">
        <f t="shared" si="10"/>
        <v>0</v>
      </c>
      <c r="AA9" s="67">
        <f t="shared" si="11"/>
        <v>0</v>
      </c>
      <c r="AB9" s="48">
        <f t="shared" si="12"/>
        <v>0</v>
      </c>
      <c r="AC9" s="48">
        <f t="shared" si="13"/>
        <v>0</v>
      </c>
      <c r="AD9" s="17">
        <f t="shared" si="14"/>
        <v>0</v>
      </c>
      <c r="AE9" s="17">
        <f t="shared" si="15"/>
        <v>0</v>
      </c>
      <c r="AF9" s="17">
        <f t="shared" si="16"/>
        <v>0</v>
      </c>
      <c r="AG9" s="17">
        <f t="shared" si="17"/>
        <v>0</v>
      </c>
      <c r="AH9" s="17">
        <f t="shared" si="18"/>
        <v>0</v>
      </c>
      <c r="AI9" s="17">
        <f t="shared" si="19"/>
        <v>0</v>
      </c>
      <c r="AJ9" s="17">
        <f t="shared" si="20"/>
        <v>0</v>
      </c>
      <c r="AK9" s="17">
        <f t="shared" si="21"/>
        <v>0</v>
      </c>
    </row>
    <row r="10" spans="1:37" x14ac:dyDescent="0.25">
      <c r="A10" s="69" t="s">
        <v>135</v>
      </c>
      <c r="B10" s="69">
        <v>30</v>
      </c>
      <c r="C10" s="69">
        <v>100</v>
      </c>
      <c r="D10" s="69">
        <v>100</v>
      </c>
      <c r="E10" s="70" t="s">
        <v>122</v>
      </c>
      <c r="F10" s="152"/>
      <c r="G10" s="71" t="s">
        <v>209</v>
      </c>
      <c r="H10" s="72">
        <v>48042.93</v>
      </c>
      <c r="I10" s="72">
        <v>49995.11</v>
      </c>
      <c r="J10" s="73" t="s">
        <v>202</v>
      </c>
      <c r="K10" s="74">
        <v>1306.6500000000001</v>
      </c>
      <c r="L10" s="73">
        <v>1481.7</v>
      </c>
      <c r="M10" s="73">
        <v>79.349999999999994</v>
      </c>
      <c r="N10" s="73">
        <v>20.22</v>
      </c>
      <c r="O10" s="73">
        <v>5.5</v>
      </c>
      <c r="P10" s="75">
        <f t="shared" si="0"/>
        <v>19041.239999999998</v>
      </c>
      <c r="Q10" s="76">
        <f t="shared" si="1"/>
        <v>11818.56078</v>
      </c>
      <c r="R10" s="72">
        <f t="shared" si="2"/>
        <v>13473.682145000001</v>
      </c>
      <c r="S10" s="76">
        <f t="shared" si="3"/>
        <v>3824.6259150000001</v>
      </c>
      <c r="T10" s="72">
        <f t="shared" si="4"/>
        <v>11735.064000000002</v>
      </c>
      <c r="U10" s="72">
        <f t="shared" si="5"/>
        <v>380.88</v>
      </c>
      <c r="V10" s="72">
        <f t="shared" si="6"/>
        <v>49995.11</v>
      </c>
      <c r="W10" s="72">
        <f t="shared" si="7"/>
        <v>3824.6259150000001</v>
      </c>
      <c r="X10" s="76">
        <f t="shared" si="8"/>
        <v>11735.064000000002</v>
      </c>
      <c r="Y10" s="77">
        <f t="shared" si="9"/>
        <v>380.88</v>
      </c>
      <c r="Z10" s="77">
        <f t="shared" si="10"/>
        <v>242.64</v>
      </c>
      <c r="AA10" s="77">
        <f t="shared" si="11"/>
        <v>66</v>
      </c>
      <c r="AB10" s="76">
        <f t="shared" si="12"/>
        <v>13473.682145000001</v>
      </c>
      <c r="AC10" s="76">
        <f t="shared" si="13"/>
        <v>25898.266145000001</v>
      </c>
      <c r="AD10" s="72">
        <f t="shared" si="14"/>
        <v>49995.11</v>
      </c>
      <c r="AE10" s="72">
        <f t="shared" si="15"/>
        <v>3824.6259150000001</v>
      </c>
      <c r="AF10" s="72">
        <f t="shared" si="16"/>
        <v>11735.064000000002</v>
      </c>
      <c r="AG10" s="72">
        <f t="shared" si="17"/>
        <v>380.88</v>
      </c>
      <c r="AH10" s="72">
        <f t="shared" si="18"/>
        <v>242.64</v>
      </c>
      <c r="AI10" s="72">
        <f t="shared" si="19"/>
        <v>66</v>
      </c>
      <c r="AJ10" s="72">
        <f t="shared" si="20"/>
        <v>13473.682145000001</v>
      </c>
      <c r="AK10" s="72">
        <f t="shared" si="21"/>
        <v>25898.266145000001</v>
      </c>
    </row>
    <row r="11" spans="1:37" x14ac:dyDescent="0.25">
      <c r="A11" s="69" t="s">
        <v>135</v>
      </c>
      <c r="B11" s="69">
        <v>29</v>
      </c>
      <c r="C11" s="69">
        <v>100</v>
      </c>
      <c r="D11" s="69">
        <v>100</v>
      </c>
      <c r="E11" s="70" t="s">
        <v>122</v>
      </c>
      <c r="F11" s="152"/>
      <c r="G11" s="71" t="s">
        <v>210</v>
      </c>
      <c r="H11" s="72">
        <v>52414.05</v>
      </c>
      <c r="I11" s="72">
        <v>54040.87</v>
      </c>
      <c r="J11" s="73" t="s">
        <v>206</v>
      </c>
      <c r="K11" s="74">
        <v>450.57</v>
      </c>
      <c r="L11" s="73">
        <v>510.93</v>
      </c>
      <c r="M11" s="73">
        <v>19.399999999999999</v>
      </c>
      <c r="N11" s="73">
        <v>6.88</v>
      </c>
      <c r="O11" s="73">
        <v>5.5</v>
      </c>
      <c r="P11" s="75">
        <f t="shared" si="0"/>
        <v>6512.52</v>
      </c>
      <c r="Q11" s="76">
        <f t="shared" si="1"/>
        <v>12893.856300000001</v>
      </c>
      <c r="R11" s="72">
        <f t="shared" si="2"/>
        <v>14564.014465000002</v>
      </c>
      <c r="S11" s="76">
        <f t="shared" si="3"/>
        <v>4134.1265549999998</v>
      </c>
      <c r="T11" s="72">
        <f>(L11*12)*0.78</f>
        <v>4782.3047999999999</v>
      </c>
      <c r="U11" s="72">
        <f t="shared" si="5"/>
        <v>93.12</v>
      </c>
      <c r="V11" s="72">
        <f t="shared" si="6"/>
        <v>54040.87</v>
      </c>
      <c r="W11" s="72">
        <f t="shared" si="7"/>
        <v>4134.1265549999998</v>
      </c>
      <c r="X11" s="76">
        <f t="shared" si="8"/>
        <v>4782.3047999999999</v>
      </c>
      <c r="Y11" s="77">
        <f t="shared" si="9"/>
        <v>93.12</v>
      </c>
      <c r="Z11" s="77">
        <f t="shared" si="10"/>
        <v>82.56</v>
      </c>
      <c r="AA11" s="77">
        <f t="shared" si="11"/>
        <v>66</v>
      </c>
      <c r="AB11" s="76">
        <f t="shared" si="12"/>
        <v>14564.014465000002</v>
      </c>
      <c r="AC11" s="76">
        <f t="shared" si="13"/>
        <v>19587.999265000002</v>
      </c>
      <c r="AD11" s="72">
        <f t="shared" si="14"/>
        <v>54040.87</v>
      </c>
      <c r="AE11" s="72">
        <f t="shared" si="15"/>
        <v>4134.1265549999998</v>
      </c>
      <c r="AF11" s="72">
        <f t="shared" si="16"/>
        <v>4782.3047999999999</v>
      </c>
      <c r="AG11" s="72">
        <f t="shared" si="17"/>
        <v>93.12</v>
      </c>
      <c r="AH11" s="72">
        <f t="shared" si="18"/>
        <v>82.56</v>
      </c>
      <c r="AI11" s="72">
        <f t="shared" si="19"/>
        <v>66</v>
      </c>
      <c r="AJ11" s="72">
        <f t="shared" si="20"/>
        <v>14564.014465000002</v>
      </c>
      <c r="AK11" s="72">
        <f t="shared" si="21"/>
        <v>19587.999265000002</v>
      </c>
    </row>
    <row r="12" spans="1:37" x14ac:dyDescent="0.25">
      <c r="A12" s="92" t="s">
        <v>121</v>
      </c>
      <c r="B12" s="92">
        <v>27</v>
      </c>
      <c r="C12" s="92">
        <v>0</v>
      </c>
      <c r="D12" s="92">
        <v>0</v>
      </c>
      <c r="E12" s="94" t="s">
        <v>122</v>
      </c>
      <c r="F12" s="152"/>
      <c r="G12" s="20" t="s">
        <v>239</v>
      </c>
      <c r="H12" s="17">
        <v>47026.96</v>
      </c>
      <c r="I12" s="17">
        <v>48750.59</v>
      </c>
      <c r="J12" s="64" t="s">
        <v>202</v>
      </c>
      <c r="K12" s="65">
        <v>1306.6500000000001</v>
      </c>
      <c r="L12" s="64">
        <v>1481.7</v>
      </c>
      <c r="M12" s="64">
        <v>79.349999999999994</v>
      </c>
      <c r="N12" s="64">
        <v>20.22</v>
      </c>
      <c r="O12" s="64">
        <v>5.5</v>
      </c>
      <c r="P12" s="66">
        <f t="shared" si="0"/>
        <v>19041.239999999998</v>
      </c>
      <c r="Q12" s="48">
        <f t="shared" si="1"/>
        <v>11568.632159999999</v>
      </c>
      <c r="R12" s="17">
        <f t="shared" si="2"/>
        <v>13138.284005</v>
      </c>
      <c r="S12" s="48">
        <f t="shared" si="3"/>
        <v>3729.4201349999998</v>
      </c>
      <c r="T12" s="17">
        <f t="shared" si="4"/>
        <v>11735.064000000002</v>
      </c>
      <c r="U12" s="17">
        <f t="shared" si="5"/>
        <v>380.88</v>
      </c>
      <c r="V12" s="17">
        <f t="shared" si="6"/>
        <v>0</v>
      </c>
      <c r="W12" s="17">
        <f t="shared" si="7"/>
        <v>0</v>
      </c>
      <c r="X12" s="48">
        <f t="shared" si="8"/>
        <v>0</v>
      </c>
      <c r="Y12" s="67">
        <f t="shared" si="9"/>
        <v>0</v>
      </c>
      <c r="Z12" s="67">
        <f t="shared" si="10"/>
        <v>0</v>
      </c>
      <c r="AA12" s="67">
        <f t="shared" si="11"/>
        <v>0</v>
      </c>
      <c r="AB12" s="48">
        <f t="shared" si="12"/>
        <v>0</v>
      </c>
      <c r="AC12" s="48">
        <f t="shared" si="13"/>
        <v>0</v>
      </c>
      <c r="AD12" s="17">
        <f t="shared" si="14"/>
        <v>0</v>
      </c>
      <c r="AE12" s="17">
        <f t="shared" si="15"/>
        <v>0</v>
      </c>
      <c r="AF12" s="17">
        <f t="shared" si="16"/>
        <v>0</v>
      </c>
      <c r="AG12" s="17">
        <f t="shared" si="17"/>
        <v>0</v>
      </c>
      <c r="AH12" s="17">
        <f t="shared" si="18"/>
        <v>0</v>
      </c>
      <c r="AI12" s="17">
        <f t="shared" si="19"/>
        <v>0</v>
      </c>
      <c r="AJ12" s="17">
        <f t="shared" si="20"/>
        <v>0</v>
      </c>
      <c r="AK12" s="17">
        <f t="shared" si="21"/>
        <v>0</v>
      </c>
    </row>
    <row r="13" spans="1:37" x14ac:dyDescent="0.25">
      <c r="A13" s="92" t="s">
        <v>121</v>
      </c>
      <c r="B13" s="92">
        <v>6</v>
      </c>
      <c r="C13" s="92">
        <v>0</v>
      </c>
      <c r="D13" s="92">
        <v>1.9</v>
      </c>
      <c r="E13" s="94" t="s">
        <v>122</v>
      </c>
      <c r="F13" s="152"/>
      <c r="G13" s="20" t="s">
        <v>205</v>
      </c>
      <c r="H13" s="17">
        <v>36192.31</v>
      </c>
      <c r="I13" s="17">
        <v>38092.239999999998</v>
      </c>
      <c r="J13" s="64" t="s">
        <v>206</v>
      </c>
      <c r="K13" s="65">
        <v>450.57</v>
      </c>
      <c r="L13" s="64">
        <v>510.93</v>
      </c>
      <c r="M13" s="64">
        <v>19.399999999999999</v>
      </c>
      <c r="N13" s="64">
        <v>6.88</v>
      </c>
      <c r="O13" s="64">
        <v>5.5</v>
      </c>
      <c r="P13" s="66">
        <f t="shared" si="0"/>
        <v>6512.52</v>
      </c>
      <c r="Q13" s="48">
        <f t="shared" si="1"/>
        <v>8903.3082599999998</v>
      </c>
      <c r="R13" s="17">
        <f t="shared" si="2"/>
        <v>10265.858679999999</v>
      </c>
      <c r="S13" s="48">
        <f t="shared" si="3"/>
        <v>2914.0563599999996</v>
      </c>
      <c r="T13" s="17">
        <f>(L13*12)*0.78</f>
        <v>4782.3047999999999</v>
      </c>
      <c r="U13" s="17">
        <f t="shared" si="5"/>
        <v>93.12</v>
      </c>
      <c r="V13" s="17">
        <f t="shared" si="6"/>
        <v>0</v>
      </c>
      <c r="W13" s="17">
        <f t="shared" si="7"/>
        <v>0</v>
      </c>
      <c r="X13" s="48">
        <f t="shared" si="8"/>
        <v>0</v>
      </c>
      <c r="Y13" s="67">
        <f t="shared" si="9"/>
        <v>0</v>
      </c>
      <c r="Z13" s="67">
        <f t="shared" si="10"/>
        <v>0</v>
      </c>
      <c r="AA13" s="67">
        <f t="shared" si="11"/>
        <v>0</v>
      </c>
      <c r="AB13" s="48">
        <f t="shared" si="12"/>
        <v>0</v>
      </c>
      <c r="AC13" s="48">
        <f t="shared" si="13"/>
        <v>0</v>
      </c>
      <c r="AD13" s="17">
        <f t="shared" si="14"/>
        <v>723.7525599999999</v>
      </c>
      <c r="AE13" s="17">
        <f t="shared" si="15"/>
        <v>55.36707083999999</v>
      </c>
      <c r="AF13" s="17">
        <f t="shared" si="16"/>
        <v>90.863791199999994</v>
      </c>
      <c r="AG13" s="17">
        <f t="shared" si="17"/>
        <v>1.76928</v>
      </c>
      <c r="AH13" s="17">
        <f t="shared" si="18"/>
        <v>1.56864</v>
      </c>
      <c r="AI13" s="17">
        <f t="shared" si="19"/>
        <v>1.254</v>
      </c>
      <c r="AJ13" s="17">
        <f t="shared" si="20"/>
        <v>195.05131491999998</v>
      </c>
      <c r="AK13" s="17">
        <f t="shared" si="21"/>
        <v>290.50702611999998</v>
      </c>
    </row>
    <row r="14" spans="1:37" x14ac:dyDescent="0.25">
      <c r="A14" s="92" t="s">
        <v>121</v>
      </c>
      <c r="B14" s="92">
        <v>11</v>
      </c>
      <c r="C14" s="92">
        <v>0</v>
      </c>
      <c r="D14" s="92">
        <v>0</v>
      </c>
      <c r="E14" s="94" t="s">
        <v>122</v>
      </c>
      <c r="F14" s="152"/>
      <c r="G14" s="20" t="s">
        <v>205</v>
      </c>
      <c r="H14" s="17">
        <v>35116.339999999997</v>
      </c>
      <c r="I14" s="17">
        <v>36914.28</v>
      </c>
      <c r="J14" s="64" t="s">
        <v>211</v>
      </c>
      <c r="K14" s="65">
        <v>811.03</v>
      </c>
      <c r="L14" s="64">
        <v>919.67</v>
      </c>
      <c r="M14" s="64">
        <v>39.6</v>
      </c>
      <c r="N14" s="64">
        <v>13.75</v>
      </c>
      <c r="O14" s="64">
        <v>5.5</v>
      </c>
      <c r="P14" s="66">
        <f t="shared" si="0"/>
        <v>11742.24</v>
      </c>
      <c r="Q14" s="48">
        <f t="shared" si="1"/>
        <v>8638.619639999999</v>
      </c>
      <c r="R14" s="17">
        <f t="shared" si="2"/>
        <v>9948.3984600000003</v>
      </c>
      <c r="S14" s="48">
        <f t="shared" si="3"/>
        <v>2823.9424199999999</v>
      </c>
      <c r="T14" s="17">
        <f t="shared" si="4"/>
        <v>7283.7864</v>
      </c>
      <c r="U14" s="17">
        <f t="shared" si="5"/>
        <v>190.08000000000004</v>
      </c>
      <c r="V14" s="17">
        <f t="shared" si="6"/>
        <v>0</v>
      </c>
      <c r="W14" s="17">
        <f t="shared" si="7"/>
        <v>0</v>
      </c>
      <c r="X14" s="48">
        <f t="shared" si="8"/>
        <v>0</v>
      </c>
      <c r="Y14" s="67">
        <f t="shared" si="9"/>
        <v>0</v>
      </c>
      <c r="Z14" s="67">
        <f t="shared" si="10"/>
        <v>0</v>
      </c>
      <c r="AA14" s="67">
        <f t="shared" si="11"/>
        <v>0</v>
      </c>
      <c r="AB14" s="48">
        <f t="shared" si="12"/>
        <v>0</v>
      </c>
      <c r="AC14" s="48">
        <f t="shared" si="13"/>
        <v>0</v>
      </c>
      <c r="AD14" s="17">
        <f t="shared" si="14"/>
        <v>0</v>
      </c>
      <c r="AE14" s="17">
        <f t="shared" si="15"/>
        <v>0</v>
      </c>
      <c r="AF14" s="17">
        <f t="shared" si="16"/>
        <v>0</v>
      </c>
      <c r="AG14" s="17">
        <f t="shared" si="17"/>
        <v>0</v>
      </c>
      <c r="AH14" s="17">
        <f t="shared" si="18"/>
        <v>0</v>
      </c>
      <c r="AI14" s="17">
        <f t="shared" si="19"/>
        <v>0</v>
      </c>
      <c r="AJ14" s="17">
        <f t="shared" si="20"/>
        <v>0</v>
      </c>
      <c r="AK14" s="17">
        <f t="shared" si="21"/>
        <v>0</v>
      </c>
    </row>
    <row r="15" spans="1:37" x14ac:dyDescent="0.25">
      <c r="A15" s="92" t="s">
        <v>121</v>
      </c>
      <c r="B15" s="92">
        <v>4</v>
      </c>
      <c r="C15" s="92">
        <v>0</v>
      </c>
      <c r="D15" s="92">
        <v>0</v>
      </c>
      <c r="E15" s="94" t="s">
        <v>122</v>
      </c>
      <c r="F15" s="152"/>
      <c r="G15" s="20" t="s">
        <v>240</v>
      </c>
      <c r="H15" s="17">
        <v>45201.31</v>
      </c>
      <c r="I15" s="17">
        <v>49302</v>
      </c>
      <c r="J15" s="64" t="s">
        <v>211</v>
      </c>
      <c r="K15" s="65">
        <v>450.57</v>
      </c>
      <c r="L15" s="64">
        <v>919.67</v>
      </c>
      <c r="M15" s="64">
        <v>39.6</v>
      </c>
      <c r="N15" s="64">
        <v>13.75</v>
      </c>
      <c r="O15" s="64">
        <v>5.5</v>
      </c>
      <c r="P15" s="66">
        <f t="shared" si="0"/>
        <v>11742.24</v>
      </c>
      <c r="Q15" s="48">
        <f t="shared" si="1"/>
        <v>11119.52226</v>
      </c>
      <c r="R15" s="17">
        <f t="shared" si="2"/>
        <v>13286.889000000001</v>
      </c>
      <c r="S15" s="48">
        <f t="shared" si="3"/>
        <v>3771.6030000000001</v>
      </c>
      <c r="T15" s="17">
        <f t="shared" si="4"/>
        <v>7283.7864</v>
      </c>
      <c r="U15" s="17">
        <f t="shared" si="5"/>
        <v>190.08000000000004</v>
      </c>
      <c r="V15" s="17">
        <f t="shared" si="6"/>
        <v>0</v>
      </c>
      <c r="W15" s="17">
        <f t="shared" si="7"/>
        <v>0</v>
      </c>
      <c r="X15" s="48">
        <f t="shared" si="8"/>
        <v>0</v>
      </c>
      <c r="Y15" s="67">
        <f t="shared" si="9"/>
        <v>0</v>
      </c>
      <c r="Z15" s="67">
        <f t="shared" si="10"/>
        <v>0</v>
      </c>
      <c r="AA15" s="67">
        <f t="shared" si="11"/>
        <v>0</v>
      </c>
      <c r="AB15" s="48">
        <f t="shared" si="12"/>
        <v>0</v>
      </c>
      <c r="AC15" s="48">
        <f t="shared" si="13"/>
        <v>0</v>
      </c>
      <c r="AD15" s="17">
        <f t="shared" si="14"/>
        <v>0</v>
      </c>
      <c r="AE15" s="17">
        <f t="shared" si="15"/>
        <v>0</v>
      </c>
      <c r="AF15" s="17">
        <f t="shared" si="16"/>
        <v>0</v>
      </c>
      <c r="AG15" s="17">
        <f t="shared" si="17"/>
        <v>0</v>
      </c>
      <c r="AH15" s="17">
        <f t="shared" si="18"/>
        <v>0</v>
      </c>
      <c r="AI15" s="17">
        <f t="shared" si="19"/>
        <v>0</v>
      </c>
      <c r="AJ15" s="17">
        <f t="shared" si="20"/>
        <v>0</v>
      </c>
      <c r="AK15" s="17">
        <f t="shared" si="21"/>
        <v>0</v>
      </c>
    </row>
    <row r="16" spans="1:37" s="78" customFormat="1" x14ac:dyDescent="0.25">
      <c r="A16" s="69" t="s">
        <v>135</v>
      </c>
      <c r="B16" s="69">
        <v>28</v>
      </c>
      <c r="C16" s="69">
        <v>100</v>
      </c>
      <c r="D16" s="69">
        <v>100</v>
      </c>
      <c r="E16" s="70" t="s">
        <v>122</v>
      </c>
      <c r="F16" s="152"/>
      <c r="G16" s="71" t="s">
        <v>249</v>
      </c>
      <c r="H16" s="72">
        <v>30946.560000000001</v>
      </c>
      <c r="I16" s="72">
        <v>32798.9</v>
      </c>
      <c r="J16" s="73" t="s">
        <v>206</v>
      </c>
      <c r="K16" s="74">
        <v>450.57</v>
      </c>
      <c r="L16" s="73">
        <v>510.93</v>
      </c>
      <c r="M16" s="73">
        <v>19.399999999999999</v>
      </c>
      <c r="N16" s="73">
        <v>6.88</v>
      </c>
      <c r="O16" s="73">
        <v>5.5</v>
      </c>
      <c r="P16" s="75">
        <f t="shared" si="0"/>
        <v>6512.52</v>
      </c>
      <c r="Q16" s="76">
        <f t="shared" si="1"/>
        <v>7612.85376</v>
      </c>
      <c r="R16" s="72">
        <f t="shared" si="2"/>
        <v>8839.3035500000005</v>
      </c>
      <c r="S16" s="76">
        <f t="shared" si="3"/>
        <v>2509.1158500000001</v>
      </c>
      <c r="T16" s="72">
        <f>(L16*12)*0.78</f>
        <v>4782.3047999999999</v>
      </c>
      <c r="U16" s="72">
        <f t="shared" si="5"/>
        <v>93.12</v>
      </c>
      <c r="V16" s="72">
        <f t="shared" si="6"/>
        <v>32798.9</v>
      </c>
      <c r="W16" s="72">
        <f t="shared" si="7"/>
        <v>2509.1158500000001</v>
      </c>
      <c r="X16" s="76">
        <f t="shared" si="8"/>
        <v>4782.3047999999999</v>
      </c>
      <c r="Y16" s="77">
        <f t="shared" si="9"/>
        <v>93.12</v>
      </c>
      <c r="Z16" s="77">
        <f t="shared" si="10"/>
        <v>82.56</v>
      </c>
      <c r="AA16" s="77">
        <f t="shared" si="11"/>
        <v>66</v>
      </c>
      <c r="AB16" s="76">
        <f t="shared" si="12"/>
        <v>8839.3035500000005</v>
      </c>
      <c r="AC16" s="76">
        <f t="shared" si="13"/>
        <v>13863.288350000001</v>
      </c>
      <c r="AD16" s="72">
        <f t="shared" si="14"/>
        <v>32798.9</v>
      </c>
      <c r="AE16" s="72">
        <f t="shared" si="15"/>
        <v>2509.1158500000001</v>
      </c>
      <c r="AF16" s="72">
        <f t="shared" si="16"/>
        <v>4782.3047999999999</v>
      </c>
      <c r="AG16" s="72">
        <f t="shared" si="17"/>
        <v>93.12</v>
      </c>
      <c r="AH16" s="72">
        <f t="shared" si="18"/>
        <v>82.56</v>
      </c>
      <c r="AI16" s="72">
        <f t="shared" si="19"/>
        <v>66</v>
      </c>
      <c r="AJ16" s="72">
        <f t="shared" si="20"/>
        <v>8839.3035500000005</v>
      </c>
      <c r="AK16" s="72">
        <f t="shared" si="21"/>
        <v>13863.288350000001</v>
      </c>
    </row>
    <row r="17" spans="1:37" x14ac:dyDescent="0.25">
      <c r="A17" s="92" t="s">
        <v>121</v>
      </c>
      <c r="B17" s="92">
        <v>32</v>
      </c>
      <c r="C17" s="92">
        <v>0</v>
      </c>
      <c r="D17" s="92">
        <v>0</v>
      </c>
      <c r="E17" s="94" t="s">
        <v>122</v>
      </c>
      <c r="F17" s="152"/>
      <c r="G17" s="20" t="s">
        <v>205</v>
      </c>
      <c r="H17" s="17">
        <v>24224.16</v>
      </c>
      <c r="I17" s="17">
        <v>37827.65</v>
      </c>
      <c r="J17" s="64" t="s">
        <v>206</v>
      </c>
      <c r="K17" s="65">
        <v>450.57</v>
      </c>
      <c r="L17" s="64">
        <v>510.93</v>
      </c>
      <c r="M17" s="64">
        <v>19.399999999999999</v>
      </c>
      <c r="N17" s="64">
        <v>6.88</v>
      </c>
      <c r="O17" s="64">
        <v>5.5</v>
      </c>
      <c r="P17" s="66">
        <f t="shared" si="0"/>
        <v>6512.52</v>
      </c>
      <c r="Q17" s="48">
        <f t="shared" si="1"/>
        <v>5959.14336</v>
      </c>
      <c r="R17" s="17">
        <f t="shared" si="2"/>
        <v>10194.551675000001</v>
      </c>
      <c r="S17" s="48">
        <f t="shared" si="3"/>
        <v>2893.8152250000003</v>
      </c>
      <c r="T17" s="17">
        <f>(L17*12)*0.78</f>
        <v>4782.3047999999999</v>
      </c>
      <c r="U17" s="17">
        <f t="shared" si="5"/>
        <v>93.12</v>
      </c>
      <c r="V17" s="17">
        <f t="shared" si="6"/>
        <v>0</v>
      </c>
      <c r="W17" s="17">
        <f t="shared" si="7"/>
        <v>0</v>
      </c>
      <c r="X17" s="48">
        <f t="shared" si="8"/>
        <v>0</v>
      </c>
      <c r="Y17" s="67">
        <f t="shared" si="9"/>
        <v>0</v>
      </c>
      <c r="Z17" s="67">
        <f t="shared" si="10"/>
        <v>0</v>
      </c>
      <c r="AA17" s="67">
        <f t="shared" si="11"/>
        <v>0</v>
      </c>
      <c r="AB17" s="48">
        <f t="shared" si="12"/>
        <v>0</v>
      </c>
      <c r="AC17" s="48">
        <f t="shared" si="13"/>
        <v>0</v>
      </c>
      <c r="AD17" s="17">
        <f t="shared" si="14"/>
        <v>0</v>
      </c>
      <c r="AE17" s="17">
        <f t="shared" si="15"/>
        <v>0</v>
      </c>
      <c r="AF17" s="17">
        <f t="shared" si="16"/>
        <v>0</v>
      </c>
      <c r="AG17" s="17">
        <f t="shared" si="17"/>
        <v>0</v>
      </c>
      <c r="AH17" s="17">
        <f t="shared" si="18"/>
        <v>0</v>
      </c>
      <c r="AI17" s="17">
        <f t="shared" si="19"/>
        <v>0</v>
      </c>
      <c r="AJ17" s="17">
        <f t="shared" si="20"/>
        <v>0</v>
      </c>
      <c r="AK17" s="17">
        <f t="shared" si="21"/>
        <v>0</v>
      </c>
    </row>
    <row r="18" spans="1:37" x14ac:dyDescent="0.25">
      <c r="A18" s="92" t="s">
        <v>121</v>
      </c>
      <c r="B18" s="92">
        <v>2</v>
      </c>
      <c r="C18" s="92">
        <v>0</v>
      </c>
      <c r="D18" s="92">
        <v>0</v>
      </c>
      <c r="E18" s="94" t="s">
        <v>122</v>
      </c>
      <c r="F18" s="152"/>
      <c r="G18" s="20" t="s">
        <v>205</v>
      </c>
      <c r="H18" s="17">
        <v>30580.74</v>
      </c>
      <c r="I18" s="17">
        <v>37338.58</v>
      </c>
      <c r="J18" s="64" t="s">
        <v>202</v>
      </c>
      <c r="K18" s="65">
        <v>1306.6500000000001</v>
      </c>
      <c r="L18" s="64">
        <v>1481.7</v>
      </c>
      <c r="M18" s="64">
        <v>79.349999999999994</v>
      </c>
      <c r="N18" s="64">
        <v>20.22</v>
      </c>
      <c r="O18" s="64">
        <v>5.5</v>
      </c>
      <c r="P18" s="66">
        <f t="shared" si="0"/>
        <v>19041.239999999998</v>
      </c>
      <c r="Q18" s="48">
        <f t="shared" si="1"/>
        <v>7522.86204</v>
      </c>
      <c r="R18" s="17">
        <f t="shared" si="2"/>
        <v>10062.747310000001</v>
      </c>
      <c r="S18" s="48">
        <f t="shared" si="3"/>
        <v>2856.40137</v>
      </c>
      <c r="T18" s="17">
        <f t="shared" si="4"/>
        <v>11735.064000000002</v>
      </c>
      <c r="U18" s="17">
        <f t="shared" si="5"/>
        <v>380.88</v>
      </c>
      <c r="V18" s="17">
        <f t="shared" si="6"/>
        <v>0</v>
      </c>
      <c r="W18" s="17">
        <f t="shared" si="7"/>
        <v>0</v>
      </c>
      <c r="X18" s="48">
        <f t="shared" si="8"/>
        <v>0</v>
      </c>
      <c r="Y18" s="67">
        <f t="shared" si="9"/>
        <v>0</v>
      </c>
      <c r="Z18" s="67">
        <f t="shared" si="10"/>
        <v>0</v>
      </c>
      <c r="AA18" s="67">
        <f t="shared" si="11"/>
        <v>0</v>
      </c>
      <c r="AB18" s="48">
        <f t="shared" si="12"/>
        <v>0</v>
      </c>
      <c r="AC18" s="48">
        <f t="shared" si="13"/>
        <v>0</v>
      </c>
      <c r="AD18" s="17">
        <f t="shared" si="14"/>
        <v>0</v>
      </c>
      <c r="AE18" s="17">
        <f t="shared" si="15"/>
        <v>0</v>
      </c>
      <c r="AF18" s="17">
        <f t="shared" si="16"/>
        <v>0</v>
      </c>
      <c r="AG18" s="17">
        <f t="shared" si="17"/>
        <v>0</v>
      </c>
      <c r="AH18" s="17">
        <f t="shared" si="18"/>
        <v>0</v>
      </c>
      <c r="AI18" s="17">
        <f t="shared" si="19"/>
        <v>0</v>
      </c>
      <c r="AJ18" s="17">
        <f t="shared" si="20"/>
        <v>0</v>
      </c>
      <c r="AK18" s="17">
        <f t="shared" si="21"/>
        <v>0</v>
      </c>
    </row>
    <row r="19" spans="1:37" x14ac:dyDescent="0.25">
      <c r="A19" s="92" t="s">
        <v>121</v>
      </c>
      <c r="B19" s="100">
        <v>15</v>
      </c>
      <c r="C19" s="92">
        <v>0</v>
      </c>
      <c r="D19" s="92">
        <v>0</v>
      </c>
      <c r="E19" s="94" t="s">
        <v>122</v>
      </c>
      <c r="F19" s="152"/>
      <c r="G19" s="20" t="s">
        <v>205</v>
      </c>
      <c r="H19" s="17">
        <v>32758.98</v>
      </c>
      <c r="I19" s="17">
        <v>34651.550000000003</v>
      </c>
      <c r="J19" s="64" t="s">
        <v>206</v>
      </c>
      <c r="K19" s="65">
        <v>450.57</v>
      </c>
      <c r="L19" s="64">
        <v>510.93</v>
      </c>
      <c r="M19" s="64">
        <v>19.399999999999999</v>
      </c>
      <c r="N19" s="64">
        <v>6.88</v>
      </c>
      <c r="O19" s="64">
        <v>5.5</v>
      </c>
      <c r="P19" s="66">
        <f t="shared" si="0"/>
        <v>6512.52</v>
      </c>
      <c r="Q19" s="48">
        <f t="shared" si="1"/>
        <v>8058.7090799999996</v>
      </c>
      <c r="R19" s="17">
        <f t="shared" si="2"/>
        <v>9338.5927250000022</v>
      </c>
      <c r="S19" s="48">
        <f t="shared" si="3"/>
        <v>2650.8435750000003</v>
      </c>
      <c r="T19" s="17">
        <f>(L19*12)*0.78</f>
        <v>4782.3047999999999</v>
      </c>
      <c r="U19" s="17">
        <f t="shared" si="5"/>
        <v>93.12</v>
      </c>
      <c r="V19" s="17">
        <f t="shared" si="6"/>
        <v>0</v>
      </c>
      <c r="W19" s="17">
        <f t="shared" si="7"/>
        <v>0</v>
      </c>
      <c r="X19" s="48">
        <f t="shared" si="8"/>
        <v>0</v>
      </c>
      <c r="Y19" s="67">
        <f t="shared" si="9"/>
        <v>0</v>
      </c>
      <c r="Z19" s="67">
        <f t="shared" si="10"/>
        <v>0</v>
      </c>
      <c r="AA19" s="67">
        <f t="shared" si="11"/>
        <v>0</v>
      </c>
      <c r="AB19" s="48">
        <f t="shared" si="12"/>
        <v>0</v>
      </c>
      <c r="AC19" s="48">
        <f t="shared" si="13"/>
        <v>0</v>
      </c>
      <c r="AD19" s="17">
        <f t="shared" si="14"/>
        <v>0</v>
      </c>
      <c r="AE19" s="17">
        <f t="shared" si="15"/>
        <v>0</v>
      </c>
      <c r="AF19" s="17">
        <f t="shared" si="16"/>
        <v>0</v>
      </c>
      <c r="AG19" s="17">
        <f t="shared" si="17"/>
        <v>0</v>
      </c>
      <c r="AH19" s="17">
        <f t="shared" si="18"/>
        <v>0</v>
      </c>
      <c r="AI19" s="17">
        <f t="shared" si="19"/>
        <v>0</v>
      </c>
      <c r="AJ19" s="17">
        <f t="shared" si="20"/>
        <v>0</v>
      </c>
      <c r="AK19" s="17">
        <f t="shared" si="21"/>
        <v>0</v>
      </c>
    </row>
    <row r="20" spans="1:37" x14ac:dyDescent="0.25">
      <c r="A20" s="92" t="s">
        <v>121</v>
      </c>
      <c r="B20" s="92">
        <v>10</v>
      </c>
      <c r="C20" s="92">
        <v>0</v>
      </c>
      <c r="D20" s="92">
        <v>0</v>
      </c>
      <c r="E20" s="94" t="s">
        <v>122</v>
      </c>
      <c r="F20" s="152"/>
      <c r="G20" s="20" t="s">
        <v>241</v>
      </c>
      <c r="H20" s="17">
        <v>50817.02</v>
      </c>
      <c r="I20" s="17">
        <v>52661.91</v>
      </c>
      <c r="J20" s="64" t="s">
        <v>202</v>
      </c>
      <c r="K20" s="65">
        <v>1306.6500000000001</v>
      </c>
      <c r="L20" s="64">
        <v>1481.7</v>
      </c>
      <c r="M20" s="64">
        <v>79.349999999999994</v>
      </c>
      <c r="N20" s="64">
        <v>20.22</v>
      </c>
      <c r="O20" s="64">
        <v>5.5</v>
      </c>
      <c r="P20" s="66">
        <f t="shared" si="0"/>
        <v>19041.239999999998</v>
      </c>
      <c r="Q20" s="48">
        <f t="shared" si="1"/>
        <v>12500.986919999999</v>
      </c>
      <c r="R20" s="17">
        <f t="shared" si="2"/>
        <v>14192.384745000001</v>
      </c>
      <c r="S20" s="48">
        <f t="shared" si="3"/>
        <v>4028.6361150000002</v>
      </c>
      <c r="T20" s="17">
        <f t="shared" si="4"/>
        <v>11735.064000000002</v>
      </c>
      <c r="U20" s="17">
        <f t="shared" si="5"/>
        <v>380.88</v>
      </c>
      <c r="V20" s="17">
        <f t="shared" si="6"/>
        <v>0</v>
      </c>
      <c r="W20" s="17">
        <f t="shared" si="7"/>
        <v>0</v>
      </c>
      <c r="X20" s="48">
        <f t="shared" si="8"/>
        <v>0</v>
      </c>
      <c r="Y20" s="67">
        <f t="shared" si="9"/>
        <v>0</v>
      </c>
      <c r="Z20" s="67">
        <f t="shared" si="10"/>
        <v>0</v>
      </c>
      <c r="AA20" s="67">
        <f t="shared" si="11"/>
        <v>0</v>
      </c>
      <c r="AB20" s="48">
        <f t="shared" si="12"/>
        <v>0</v>
      </c>
      <c r="AC20" s="48">
        <f t="shared" si="13"/>
        <v>0</v>
      </c>
      <c r="AD20" s="17">
        <f t="shared" si="14"/>
        <v>0</v>
      </c>
      <c r="AE20" s="17">
        <f t="shared" si="15"/>
        <v>0</v>
      </c>
      <c r="AF20" s="17">
        <f t="shared" si="16"/>
        <v>0</v>
      </c>
      <c r="AG20" s="17">
        <f t="shared" si="17"/>
        <v>0</v>
      </c>
      <c r="AH20" s="17">
        <f t="shared" si="18"/>
        <v>0</v>
      </c>
      <c r="AI20" s="17">
        <f t="shared" si="19"/>
        <v>0</v>
      </c>
      <c r="AJ20" s="17">
        <f t="shared" si="20"/>
        <v>0</v>
      </c>
      <c r="AK20" s="17">
        <f t="shared" si="21"/>
        <v>0</v>
      </c>
    </row>
    <row r="21" spans="1:37" s="78" customFormat="1" x14ac:dyDescent="0.25">
      <c r="A21" s="69" t="s">
        <v>135</v>
      </c>
      <c r="B21" s="69">
        <v>31</v>
      </c>
      <c r="C21" s="69">
        <v>50</v>
      </c>
      <c r="D21" s="69">
        <v>50</v>
      </c>
      <c r="E21" s="70" t="s">
        <v>122</v>
      </c>
      <c r="F21" s="152"/>
      <c r="G21" s="71" t="s">
        <v>212</v>
      </c>
      <c r="H21" s="72">
        <v>51575.45</v>
      </c>
      <c r="I21" s="72">
        <v>55692.78</v>
      </c>
      <c r="J21" s="73" t="s">
        <v>211</v>
      </c>
      <c r="K21" s="74">
        <v>811.03</v>
      </c>
      <c r="L21" s="73">
        <v>919.67</v>
      </c>
      <c r="M21" s="73">
        <v>39.6</v>
      </c>
      <c r="N21" s="73">
        <v>13.75</v>
      </c>
      <c r="O21" s="73">
        <v>5.5</v>
      </c>
      <c r="P21" s="75">
        <f t="shared" si="0"/>
        <v>11742.24</v>
      </c>
      <c r="Q21" s="76">
        <f t="shared" si="1"/>
        <v>12687.5607</v>
      </c>
      <c r="R21" s="72">
        <f t="shared" si="2"/>
        <v>15009.20421</v>
      </c>
      <c r="S21" s="76">
        <f t="shared" si="3"/>
        <v>4260.4976699999997</v>
      </c>
      <c r="T21" s="72">
        <f t="shared" si="4"/>
        <v>7283.7864</v>
      </c>
      <c r="U21" s="72">
        <f t="shared" si="5"/>
        <v>190.08000000000004</v>
      </c>
      <c r="V21" s="72">
        <f t="shared" si="6"/>
        <v>27846.39</v>
      </c>
      <c r="W21" s="72">
        <f t="shared" si="7"/>
        <v>2130.2488349999999</v>
      </c>
      <c r="X21" s="76">
        <f t="shared" si="8"/>
        <v>3641.8932</v>
      </c>
      <c r="Y21" s="77">
        <f t="shared" si="9"/>
        <v>95.04000000000002</v>
      </c>
      <c r="Z21" s="77">
        <f t="shared" si="10"/>
        <v>82.5</v>
      </c>
      <c r="AA21" s="77">
        <f t="shared" si="11"/>
        <v>33</v>
      </c>
      <c r="AB21" s="76">
        <f t="shared" si="12"/>
        <v>7504.6021049999999</v>
      </c>
      <c r="AC21" s="76">
        <f t="shared" si="13"/>
        <v>11357.035304999999</v>
      </c>
      <c r="AD21" s="72">
        <f t="shared" si="14"/>
        <v>27846.39</v>
      </c>
      <c r="AE21" s="72">
        <f t="shared" si="15"/>
        <v>2130.2488349999999</v>
      </c>
      <c r="AF21" s="72">
        <f t="shared" si="16"/>
        <v>3641.8932</v>
      </c>
      <c r="AG21" s="72">
        <f t="shared" si="17"/>
        <v>95.04000000000002</v>
      </c>
      <c r="AH21" s="72">
        <f t="shared" si="18"/>
        <v>82.5</v>
      </c>
      <c r="AI21" s="72">
        <f t="shared" si="19"/>
        <v>33</v>
      </c>
      <c r="AJ21" s="72">
        <f t="shared" si="20"/>
        <v>7504.6021049999999</v>
      </c>
      <c r="AK21" s="72">
        <f t="shared" si="21"/>
        <v>11357.035304999999</v>
      </c>
    </row>
    <row r="22" spans="1:37" s="78" customFormat="1" x14ac:dyDescent="0.25">
      <c r="A22" s="69" t="s">
        <v>135</v>
      </c>
      <c r="B22" s="69">
        <v>33</v>
      </c>
      <c r="C22" s="69">
        <v>100</v>
      </c>
      <c r="D22" s="69">
        <v>100</v>
      </c>
      <c r="E22" s="70" t="s">
        <v>122</v>
      </c>
      <c r="F22" s="152"/>
      <c r="G22" s="71" t="s">
        <v>249</v>
      </c>
      <c r="H22" s="72">
        <v>28347.9</v>
      </c>
      <c r="I22" s="72">
        <v>43393.13</v>
      </c>
      <c r="J22" s="73" t="s">
        <v>204</v>
      </c>
      <c r="K22" s="74">
        <v>946.2</v>
      </c>
      <c r="L22" s="73">
        <v>1072.95</v>
      </c>
      <c r="M22" s="73">
        <v>40.81</v>
      </c>
      <c r="N22" s="73">
        <v>13.07</v>
      </c>
      <c r="O22" s="73">
        <v>5.5</v>
      </c>
      <c r="P22" s="75">
        <f t="shared" si="0"/>
        <v>13587.96</v>
      </c>
      <c r="Q22" s="76">
        <f t="shared" si="1"/>
        <v>6973.5834000000004</v>
      </c>
      <c r="R22" s="72">
        <f t="shared" si="2"/>
        <v>11694.448535</v>
      </c>
      <c r="S22" s="76">
        <f t="shared" si="3"/>
        <v>3319.5744449999997</v>
      </c>
      <c r="T22" s="72">
        <f t="shared" si="4"/>
        <v>8497.764000000001</v>
      </c>
      <c r="U22" s="72">
        <f t="shared" si="5"/>
        <v>195.88800000000003</v>
      </c>
      <c r="V22" s="72">
        <f t="shared" si="6"/>
        <v>43393.13</v>
      </c>
      <c r="W22" s="72">
        <f t="shared" si="7"/>
        <v>3319.5744449999997</v>
      </c>
      <c r="X22" s="76">
        <f t="shared" si="8"/>
        <v>8497.764000000001</v>
      </c>
      <c r="Y22" s="77">
        <f t="shared" si="9"/>
        <v>195.88800000000003</v>
      </c>
      <c r="Z22" s="77">
        <f t="shared" si="10"/>
        <v>156.84</v>
      </c>
      <c r="AA22" s="77">
        <f t="shared" si="11"/>
        <v>66</v>
      </c>
      <c r="AB22" s="76">
        <f t="shared" si="12"/>
        <v>11694.448535</v>
      </c>
      <c r="AC22" s="76">
        <f t="shared" si="13"/>
        <v>20610.940535000002</v>
      </c>
      <c r="AD22" s="72">
        <f t="shared" si="14"/>
        <v>43393.13</v>
      </c>
      <c r="AE22" s="72">
        <f t="shared" si="15"/>
        <v>3319.5744449999997</v>
      </c>
      <c r="AF22" s="72">
        <f t="shared" si="16"/>
        <v>8497.764000000001</v>
      </c>
      <c r="AG22" s="72">
        <f t="shared" si="17"/>
        <v>195.88800000000003</v>
      </c>
      <c r="AH22" s="72">
        <f t="shared" si="18"/>
        <v>156.84</v>
      </c>
      <c r="AI22" s="72">
        <f t="shared" si="19"/>
        <v>66</v>
      </c>
      <c r="AJ22" s="72">
        <f t="shared" si="20"/>
        <v>11694.448535</v>
      </c>
      <c r="AK22" s="72">
        <f t="shared" si="21"/>
        <v>20610.940535000002</v>
      </c>
    </row>
    <row r="23" spans="1:37" x14ac:dyDescent="0.25">
      <c r="A23" s="92" t="s">
        <v>121</v>
      </c>
      <c r="B23" s="92">
        <v>24</v>
      </c>
      <c r="C23" s="92">
        <v>0</v>
      </c>
      <c r="D23" s="92">
        <v>0</v>
      </c>
      <c r="E23" s="94" t="s">
        <v>122</v>
      </c>
      <c r="F23" s="152"/>
      <c r="G23" s="20" t="s">
        <v>205</v>
      </c>
      <c r="H23" s="17">
        <v>22646.63</v>
      </c>
      <c r="I23" s="101">
        <v>37435.800000000003</v>
      </c>
      <c r="J23" s="64" t="s">
        <v>206</v>
      </c>
      <c r="K23" s="65">
        <v>450.57</v>
      </c>
      <c r="L23" s="64">
        <v>510.93</v>
      </c>
      <c r="M23" s="64">
        <v>19.399999999999999</v>
      </c>
      <c r="N23" s="64">
        <v>6.88</v>
      </c>
      <c r="O23" s="64">
        <v>5.5</v>
      </c>
      <c r="P23" s="66">
        <f t="shared" si="0"/>
        <v>6512.52</v>
      </c>
      <c r="Q23" s="48">
        <f t="shared" si="1"/>
        <v>5571.0709800000004</v>
      </c>
      <c r="R23" s="17">
        <f t="shared" si="2"/>
        <v>10088.948100000001</v>
      </c>
      <c r="S23" s="48">
        <f t="shared" si="3"/>
        <v>2863.8387000000002</v>
      </c>
      <c r="T23" s="17">
        <f>(L23*12)*0.78</f>
        <v>4782.3047999999999</v>
      </c>
      <c r="U23" s="17">
        <f t="shared" si="5"/>
        <v>93.12</v>
      </c>
      <c r="V23" s="17">
        <f t="shared" si="6"/>
        <v>0</v>
      </c>
      <c r="W23" s="17">
        <f t="shared" si="7"/>
        <v>0</v>
      </c>
      <c r="X23" s="48">
        <f t="shared" si="8"/>
        <v>0</v>
      </c>
      <c r="Y23" s="67">
        <f t="shared" si="9"/>
        <v>0</v>
      </c>
      <c r="Z23" s="67">
        <f t="shared" si="10"/>
        <v>0</v>
      </c>
      <c r="AA23" s="67">
        <f t="shared" si="11"/>
        <v>0</v>
      </c>
      <c r="AB23" s="48">
        <f t="shared" si="12"/>
        <v>0</v>
      </c>
      <c r="AC23" s="48">
        <f t="shared" si="13"/>
        <v>0</v>
      </c>
      <c r="AD23" s="17">
        <f t="shared" si="14"/>
        <v>0</v>
      </c>
      <c r="AE23" s="17">
        <f t="shared" si="15"/>
        <v>0</v>
      </c>
      <c r="AF23" s="17">
        <f t="shared" si="16"/>
        <v>0</v>
      </c>
      <c r="AG23" s="17">
        <f t="shared" si="17"/>
        <v>0</v>
      </c>
      <c r="AH23" s="17">
        <f t="shared" si="18"/>
        <v>0</v>
      </c>
      <c r="AI23" s="17">
        <f t="shared" si="19"/>
        <v>0</v>
      </c>
      <c r="AJ23" s="17">
        <f t="shared" si="20"/>
        <v>0</v>
      </c>
      <c r="AK23" s="17">
        <f t="shared" si="21"/>
        <v>0</v>
      </c>
    </row>
    <row r="24" spans="1:37" x14ac:dyDescent="0.25">
      <c r="A24" s="92" t="s">
        <v>121</v>
      </c>
      <c r="B24" s="92">
        <v>1</v>
      </c>
      <c r="C24" s="92">
        <v>0</v>
      </c>
      <c r="D24" s="92">
        <v>0</v>
      </c>
      <c r="E24" s="94" t="s">
        <v>122</v>
      </c>
      <c r="F24" s="152"/>
      <c r="G24" s="20" t="s">
        <v>205</v>
      </c>
      <c r="H24" s="17">
        <v>26397.89</v>
      </c>
      <c r="I24" s="17">
        <v>28466</v>
      </c>
      <c r="J24" s="64" t="s">
        <v>204</v>
      </c>
      <c r="K24" s="65">
        <v>946.2</v>
      </c>
      <c r="L24" s="64">
        <v>1072.95</v>
      </c>
      <c r="M24" s="64">
        <v>40.81</v>
      </c>
      <c r="N24" s="64">
        <v>13.07</v>
      </c>
      <c r="O24" s="64">
        <v>5.5</v>
      </c>
      <c r="P24" s="66">
        <f t="shared" si="0"/>
        <v>13587.96</v>
      </c>
      <c r="Q24" s="48">
        <f t="shared" si="1"/>
        <v>6493.88094</v>
      </c>
      <c r="R24" s="17">
        <f t="shared" si="2"/>
        <v>7671.5870000000004</v>
      </c>
      <c r="S24" s="48">
        <f t="shared" si="3"/>
        <v>2177.6489999999999</v>
      </c>
      <c r="T24" s="17">
        <f t="shared" si="4"/>
        <v>8497.764000000001</v>
      </c>
      <c r="U24" s="17">
        <f t="shared" si="5"/>
        <v>195.88800000000003</v>
      </c>
      <c r="V24" s="17">
        <f t="shared" si="6"/>
        <v>0</v>
      </c>
      <c r="W24" s="17">
        <f t="shared" si="7"/>
        <v>0</v>
      </c>
      <c r="X24" s="48">
        <f t="shared" si="8"/>
        <v>0</v>
      </c>
      <c r="Y24" s="67">
        <f t="shared" si="9"/>
        <v>0</v>
      </c>
      <c r="Z24" s="67">
        <f t="shared" si="10"/>
        <v>0</v>
      </c>
      <c r="AA24" s="67">
        <f t="shared" si="11"/>
        <v>0</v>
      </c>
      <c r="AB24" s="48">
        <f t="shared" si="12"/>
        <v>0</v>
      </c>
      <c r="AC24" s="48">
        <f t="shared" si="13"/>
        <v>0</v>
      </c>
      <c r="AD24" s="17">
        <f t="shared" si="14"/>
        <v>0</v>
      </c>
      <c r="AE24" s="17">
        <f t="shared" si="15"/>
        <v>0</v>
      </c>
      <c r="AF24" s="17">
        <f t="shared" si="16"/>
        <v>0</v>
      </c>
      <c r="AG24" s="17">
        <f t="shared" si="17"/>
        <v>0</v>
      </c>
      <c r="AH24" s="17">
        <f t="shared" si="18"/>
        <v>0</v>
      </c>
      <c r="AI24" s="17">
        <f t="shared" si="19"/>
        <v>0</v>
      </c>
      <c r="AJ24" s="17">
        <f t="shared" si="20"/>
        <v>0</v>
      </c>
      <c r="AK24" s="17">
        <f t="shared" si="21"/>
        <v>0</v>
      </c>
    </row>
    <row r="25" spans="1:37" x14ac:dyDescent="0.25">
      <c r="A25" s="92" t="s">
        <v>121</v>
      </c>
      <c r="B25" s="92">
        <v>13</v>
      </c>
      <c r="C25" s="92">
        <v>0</v>
      </c>
      <c r="D25" s="92">
        <v>0</v>
      </c>
      <c r="E25" s="94" t="s">
        <v>122</v>
      </c>
      <c r="F25" s="152"/>
      <c r="G25" s="20" t="s">
        <v>239</v>
      </c>
      <c r="H25" s="17">
        <v>26443.68</v>
      </c>
      <c r="I25" s="17">
        <v>29082.55</v>
      </c>
      <c r="J25" s="64" t="s">
        <v>206</v>
      </c>
      <c r="K25" s="65">
        <v>450.57</v>
      </c>
      <c r="L25" s="64">
        <v>510.93</v>
      </c>
      <c r="M25" s="64">
        <v>19.399999999999999</v>
      </c>
      <c r="N25" s="64">
        <v>6.88</v>
      </c>
      <c r="O25" s="64">
        <v>5.5</v>
      </c>
      <c r="P25" s="66">
        <f t="shared" si="0"/>
        <v>6512.52</v>
      </c>
      <c r="Q25" s="48">
        <f t="shared" si="1"/>
        <v>6505.1452799999997</v>
      </c>
      <c r="R25" s="17">
        <f t="shared" si="2"/>
        <v>7837.7472250000001</v>
      </c>
      <c r="S25" s="48">
        <f t="shared" si="3"/>
        <v>2224.815075</v>
      </c>
      <c r="T25" s="17">
        <f t="shared" ref="T25:T31" si="22">(L25*12)*0.78</f>
        <v>4782.3047999999999</v>
      </c>
      <c r="U25" s="17">
        <f t="shared" si="5"/>
        <v>93.12</v>
      </c>
      <c r="V25" s="17">
        <f t="shared" si="6"/>
        <v>0</v>
      </c>
      <c r="W25" s="17">
        <f t="shared" si="7"/>
        <v>0</v>
      </c>
      <c r="X25" s="48">
        <f t="shared" si="8"/>
        <v>0</v>
      </c>
      <c r="Y25" s="67">
        <f t="shared" si="9"/>
        <v>0</v>
      </c>
      <c r="Z25" s="67">
        <f t="shared" si="10"/>
        <v>0</v>
      </c>
      <c r="AA25" s="67">
        <f t="shared" si="11"/>
        <v>0</v>
      </c>
      <c r="AB25" s="48">
        <f t="shared" si="12"/>
        <v>0</v>
      </c>
      <c r="AC25" s="48">
        <f t="shared" si="13"/>
        <v>0</v>
      </c>
      <c r="AD25" s="17">
        <f t="shared" si="14"/>
        <v>0</v>
      </c>
      <c r="AE25" s="17">
        <f t="shared" si="15"/>
        <v>0</v>
      </c>
      <c r="AF25" s="17">
        <f t="shared" si="16"/>
        <v>0</v>
      </c>
      <c r="AG25" s="17">
        <f t="shared" si="17"/>
        <v>0</v>
      </c>
      <c r="AH25" s="17">
        <f t="shared" si="18"/>
        <v>0</v>
      </c>
      <c r="AI25" s="17">
        <f t="shared" si="19"/>
        <v>0</v>
      </c>
      <c r="AJ25" s="17">
        <f t="shared" si="20"/>
        <v>0</v>
      </c>
      <c r="AK25" s="17">
        <f t="shared" si="21"/>
        <v>0</v>
      </c>
    </row>
    <row r="26" spans="1:37" x14ac:dyDescent="0.25">
      <c r="A26" s="92" t="s">
        <v>121</v>
      </c>
      <c r="B26" s="92">
        <v>7</v>
      </c>
      <c r="C26" s="92">
        <v>0</v>
      </c>
      <c r="D26" s="92">
        <v>1.8</v>
      </c>
      <c r="E26" s="94" t="s">
        <v>122</v>
      </c>
      <c r="F26" s="152"/>
      <c r="G26" s="20" t="s">
        <v>205</v>
      </c>
      <c r="H26" s="17">
        <v>18346.46</v>
      </c>
      <c r="I26" s="101">
        <v>29837</v>
      </c>
      <c r="J26" s="64" t="s">
        <v>206</v>
      </c>
      <c r="K26" s="65">
        <v>450.57</v>
      </c>
      <c r="L26" s="64">
        <v>510.93</v>
      </c>
      <c r="M26" s="64">
        <v>19.399999999999999</v>
      </c>
      <c r="N26" s="64">
        <v>6.88</v>
      </c>
      <c r="O26" s="64">
        <v>5.5</v>
      </c>
      <c r="P26" s="66">
        <f t="shared" si="0"/>
        <v>6512.52</v>
      </c>
      <c r="Q26" s="48">
        <f t="shared" si="1"/>
        <v>4513.2291599999999</v>
      </c>
      <c r="R26" s="17">
        <f t="shared" si="2"/>
        <v>8041.0715000000009</v>
      </c>
      <c r="S26" s="48">
        <f t="shared" si="3"/>
        <v>2282.5304999999998</v>
      </c>
      <c r="T26" s="17">
        <f t="shared" si="22"/>
        <v>4782.3047999999999</v>
      </c>
      <c r="U26" s="17">
        <f t="shared" si="5"/>
        <v>93.12</v>
      </c>
      <c r="V26" s="17">
        <f t="shared" si="6"/>
        <v>0</v>
      </c>
      <c r="W26" s="17">
        <f t="shared" si="7"/>
        <v>0</v>
      </c>
      <c r="X26" s="48">
        <f t="shared" si="8"/>
        <v>0</v>
      </c>
      <c r="Y26" s="67">
        <f t="shared" si="9"/>
        <v>0</v>
      </c>
      <c r="Z26" s="67">
        <f t="shared" si="10"/>
        <v>0</v>
      </c>
      <c r="AA26" s="67">
        <f t="shared" si="11"/>
        <v>0</v>
      </c>
      <c r="AB26" s="48">
        <f t="shared" si="12"/>
        <v>0</v>
      </c>
      <c r="AC26" s="48">
        <f t="shared" si="13"/>
        <v>0</v>
      </c>
      <c r="AD26" s="17">
        <f t="shared" si="14"/>
        <v>537.06600000000003</v>
      </c>
      <c r="AE26" s="17">
        <f t="shared" si="15"/>
        <v>41.085549</v>
      </c>
      <c r="AF26" s="17">
        <f t="shared" si="16"/>
        <v>86.081486400000003</v>
      </c>
      <c r="AG26" s="17">
        <f t="shared" si="17"/>
        <v>1.6761600000000003</v>
      </c>
      <c r="AH26" s="17">
        <f t="shared" si="18"/>
        <v>1.4860800000000003</v>
      </c>
      <c r="AI26" s="17">
        <f t="shared" si="19"/>
        <v>1.1880000000000002</v>
      </c>
      <c r="AJ26" s="17">
        <f t="shared" si="20"/>
        <v>144.73928700000005</v>
      </c>
      <c r="AK26" s="17">
        <f t="shared" si="21"/>
        <v>235.17101340000005</v>
      </c>
    </row>
    <row r="27" spans="1:37" x14ac:dyDescent="0.25">
      <c r="A27" s="92" t="s">
        <v>200</v>
      </c>
      <c r="B27" s="100">
        <v>8</v>
      </c>
      <c r="C27" s="92">
        <v>0</v>
      </c>
      <c r="D27" s="92">
        <v>15.45</v>
      </c>
      <c r="E27" s="94" t="s">
        <v>125</v>
      </c>
      <c r="F27" s="152"/>
      <c r="G27" s="20" t="s">
        <v>207</v>
      </c>
      <c r="H27" s="17">
        <v>17875.21</v>
      </c>
      <c r="I27" s="17">
        <v>20659.7</v>
      </c>
      <c r="J27" s="64" t="s">
        <v>208</v>
      </c>
      <c r="K27" s="65">
        <v>0</v>
      </c>
      <c r="L27" s="64">
        <v>0</v>
      </c>
      <c r="M27" s="64">
        <v>0</v>
      </c>
      <c r="N27" s="64">
        <v>0</v>
      </c>
      <c r="O27" s="64">
        <v>0</v>
      </c>
      <c r="P27" s="66">
        <f t="shared" si="0"/>
        <v>0</v>
      </c>
      <c r="Q27" s="64">
        <v>0</v>
      </c>
      <c r="R27" s="64">
        <v>0</v>
      </c>
      <c r="S27" s="48">
        <f t="shared" si="3"/>
        <v>1580.46705</v>
      </c>
      <c r="T27" s="17">
        <f t="shared" si="22"/>
        <v>0</v>
      </c>
      <c r="U27" s="17">
        <f>M27*12*0.4</f>
        <v>0</v>
      </c>
      <c r="V27" s="17">
        <f t="shared" si="6"/>
        <v>0</v>
      </c>
      <c r="W27" s="17">
        <f t="shared" si="7"/>
        <v>0</v>
      </c>
      <c r="X27" s="48">
        <f t="shared" si="8"/>
        <v>0</v>
      </c>
      <c r="Y27" s="67">
        <f t="shared" si="9"/>
        <v>0</v>
      </c>
      <c r="Z27" s="67">
        <f t="shared" si="10"/>
        <v>0</v>
      </c>
      <c r="AA27" s="67">
        <f t="shared" si="11"/>
        <v>0</v>
      </c>
      <c r="AB27" s="48">
        <f t="shared" si="12"/>
        <v>0</v>
      </c>
      <c r="AC27" s="48">
        <f t="shared" si="13"/>
        <v>0</v>
      </c>
      <c r="AD27" s="17">
        <f t="shared" si="14"/>
        <v>3191.9236500000002</v>
      </c>
      <c r="AE27" s="17">
        <f t="shared" si="15"/>
        <v>244.18215922500002</v>
      </c>
      <c r="AF27" s="17">
        <f t="shared" si="16"/>
        <v>0</v>
      </c>
      <c r="AG27" s="17">
        <f t="shared" si="17"/>
        <v>0</v>
      </c>
      <c r="AH27" s="17">
        <f t="shared" si="18"/>
        <v>0</v>
      </c>
      <c r="AI27" s="17">
        <f t="shared" si="19"/>
        <v>0</v>
      </c>
      <c r="AJ27" s="17">
        <f t="shared" si="20"/>
        <v>0</v>
      </c>
      <c r="AK27" s="17">
        <f t="shared" si="21"/>
        <v>0</v>
      </c>
    </row>
    <row r="28" spans="1:37" x14ac:dyDescent="0.25">
      <c r="A28" s="92" t="s">
        <v>200</v>
      </c>
      <c r="B28" s="92">
        <v>9</v>
      </c>
      <c r="C28" s="92">
        <v>0</v>
      </c>
      <c r="D28" s="92">
        <v>15.45</v>
      </c>
      <c r="E28" s="94" t="s">
        <v>125</v>
      </c>
      <c r="F28" s="152"/>
      <c r="G28" s="20" t="s">
        <v>207</v>
      </c>
      <c r="H28" s="17">
        <v>3757.23</v>
      </c>
      <c r="I28" s="17">
        <v>3668.25</v>
      </c>
      <c r="J28" s="64" t="s">
        <v>208</v>
      </c>
      <c r="K28" s="65">
        <v>0</v>
      </c>
      <c r="L28" s="64">
        <v>0</v>
      </c>
      <c r="M28" s="64">
        <v>0</v>
      </c>
      <c r="N28" s="64">
        <v>0</v>
      </c>
      <c r="O28" s="64">
        <v>0</v>
      </c>
      <c r="P28" s="66">
        <f t="shared" si="0"/>
        <v>0</v>
      </c>
      <c r="Q28" s="64">
        <v>0</v>
      </c>
      <c r="R28" s="64">
        <v>0</v>
      </c>
      <c r="S28" s="48">
        <f t="shared" si="3"/>
        <v>280.62112500000001</v>
      </c>
      <c r="T28" s="17">
        <f t="shared" si="22"/>
        <v>0</v>
      </c>
      <c r="U28" s="17">
        <f t="shared" si="5"/>
        <v>0</v>
      </c>
      <c r="V28" s="17">
        <f t="shared" si="6"/>
        <v>0</v>
      </c>
      <c r="W28" s="17">
        <f t="shared" si="7"/>
        <v>0</v>
      </c>
      <c r="X28" s="48">
        <f t="shared" si="8"/>
        <v>0</v>
      </c>
      <c r="Y28" s="67">
        <f t="shared" si="9"/>
        <v>0</v>
      </c>
      <c r="Z28" s="67">
        <f t="shared" si="10"/>
        <v>0</v>
      </c>
      <c r="AA28" s="67">
        <f t="shared" si="11"/>
        <v>0</v>
      </c>
      <c r="AB28" s="48">
        <f t="shared" si="12"/>
        <v>0</v>
      </c>
      <c r="AC28" s="48">
        <f t="shared" si="13"/>
        <v>0</v>
      </c>
      <c r="AD28" s="17">
        <f t="shared" si="14"/>
        <v>566.74462500000004</v>
      </c>
      <c r="AE28" s="17">
        <f t="shared" si="15"/>
        <v>43.355963812500001</v>
      </c>
      <c r="AF28" s="17">
        <f t="shared" si="16"/>
        <v>0</v>
      </c>
      <c r="AG28" s="17">
        <f t="shared" si="17"/>
        <v>0</v>
      </c>
      <c r="AH28" s="17">
        <f t="shared" si="18"/>
        <v>0</v>
      </c>
      <c r="AI28" s="17">
        <f t="shared" si="19"/>
        <v>0</v>
      </c>
      <c r="AJ28" s="17">
        <f t="shared" si="20"/>
        <v>0</v>
      </c>
      <c r="AK28" s="17">
        <f t="shared" si="21"/>
        <v>0</v>
      </c>
    </row>
    <row r="29" spans="1:37" x14ac:dyDescent="0.25">
      <c r="A29" s="92" t="s">
        <v>121</v>
      </c>
      <c r="B29" s="92">
        <v>16</v>
      </c>
      <c r="C29" s="92">
        <v>0</v>
      </c>
      <c r="D29" s="92">
        <v>0</v>
      </c>
      <c r="E29" s="94" t="s">
        <v>125</v>
      </c>
      <c r="F29" s="152"/>
      <c r="G29" s="20" t="s">
        <v>241</v>
      </c>
      <c r="H29" s="17">
        <v>8284.52</v>
      </c>
      <c r="I29" s="17">
        <v>8739.65</v>
      </c>
      <c r="J29" s="64" t="s">
        <v>208</v>
      </c>
      <c r="K29" s="65">
        <v>0</v>
      </c>
      <c r="L29" s="64">
        <v>0</v>
      </c>
      <c r="M29" s="64">
        <v>0</v>
      </c>
      <c r="N29" s="64">
        <v>0</v>
      </c>
      <c r="O29" s="64">
        <v>0</v>
      </c>
      <c r="P29" s="66">
        <f t="shared" si="0"/>
        <v>0</v>
      </c>
      <c r="Q29" s="64">
        <v>0</v>
      </c>
      <c r="R29" s="64">
        <v>0</v>
      </c>
      <c r="S29" s="48">
        <f t="shared" si="3"/>
        <v>668.58322499999997</v>
      </c>
      <c r="T29" s="17">
        <f t="shared" si="22"/>
        <v>0</v>
      </c>
      <c r="U29" s="17">
        <f t="shared" si="5"/>
        <v>0</v>
      </c>
      <c r="V29" s="17">
        <f t="shared" si="6"/>
        <v>0</v>
      </c>
      <c r="W29" s="17">
        <f t="shared" si="7"/>
        <v>0</v>
      </c>
      <c r="X29" s="48">
        <f t="shared" si="8"/>
        <v>0</v>
      </c>
      <c r="Y29" s="67">
        <f t="shared" si="9"/>
        <v>0</v>
      </c>
      <c r="Z29" s="67">
        <f t="shared" si="10"/>
        <v>0</v>
      </c>
      <c r="AA29" s="67">
        <f t="shared" si="11"/>
        <v>0</v>
      </c>
      <c r="AB29" s="48">
        <f t="shared" si="12"/>
        <v>0</v>
      </c>
      <c r="AC29" s="48">
        <f t="shared" si="13"/>
        <v>0</v>
      </c>
      <c r="AD29" s="17">
        <f t="shared" si="14"/>
        <v>0</v>
      </c>
      <c r="AE29" s="17">
        <f t="shared" si="15"/>
        <v>0</v>
      </c>
      <c r="AF29" s="17">
        <f t="shared" si="16"/>
        <v>0</v>
      </c>
      <c r="AG29" s="17">
        <f t="shared" si="17"/>
        <v>0</v>
      </c>
      <c r="AH29" s="17">
        <f t="shared" si="18"/>
        <v>0</v>
      </c>
      <c r="AI29" s="17">
        <f t="shared" si="19"/>
        <v>0</v>
      </c>
      <c r="AJ29" s="17">
        <f t="shared" si="20"/>
        <v>0</v>
      </c>
      <c r="AK29" s="17">
        <f t="shared" si="21"/>
        <v>0</v>
      </c>
    </row>
    <row r="30" spans="1:37" x14ac:dyDescent="0.25">
      <c r="A30" s="92" t="s">
        <v>121</v>
      </c>
      <c r="B30" s="92">
        <v>26</v>
      </c>
      <c r="C30" s="92">
        <v>0</v>
      </c>
      <c r="D30" s="92">
        <v>0</v>
      </c>
      <c r="E30" s="94" t="s">
        <v>125</v>
      </c>
      <c r="F30" s="152"/>
      <c r="G30" s="20" t="s">
        <v>205</v>
      </c>
      <c r="H30" s="17">
        <v>10137.86</v>
      </c>
      <c r="I30" s="17">
        <v>10566.88</v>
      </c>
      <c r="J30" s="64" t="s">
        <v>208</v>
      </c>
      <c r="K30" s="65">
        <v>0</v>
      </c>
      <c r="L30" s="64">
        <v>0</v>
      </c>
      <c r="M30" s="64">
        <v>0</v>
      </c>
      <c r="N30" s="64">
        <v>0</v>
      </c>
      <c r="O30" s="64">
        <v>0</v>
      </c>
      <c r="P30" s="66">
        <f t="shared" si="0"/>
        <v>0</v>
      </c>
      <c r="Q30" s="64">
        <v>0</v>
      </c>
      <c r="R30" s="64">
        <v>0</v>
      </c>
      <c r="S30" s="48">
        <f t="shared" si="3"/>
        <v>808.36631999999997</v>
      </c>
      <c r="T30" s="17">
        <f t="shared" si="22"/>
        <v>0</v>
      </c>
      <c r="U30" s="17">
        <f t="shared" si="5"/>
        <v>0</v>
      </c>
      <c r="V30" s="17">
        <f t="shared" si="6"/>
        <v>0</v>
      </c>
      <c r="W30" s="17">
        <f t="shared" si="7"/>
        <v>0</v>
      </c>
      <c r="X30" s="48">
        <f t="shared" si="8"/>
        <v>0</v>
      </c>
      <c r="Y30" s="67">
        <f t="shared" si="9"/>
        <v>0</v>
      </c>
      <c r="Z30" s="67">
        <f t="shared" si="10"/>
        <v>0</v>
      </c>
      <c r="AA30" s="67">
        <f t="shared" si="11"/>
        <v>0</v>
      </c>
      <c r="AB30" s="48">
        <f t="shared" si="12"/>
        <v>0</v>
      </c>
      <c r="AC30" s="48">
        <f t="shared" si="13"/>
        <v>0</v>
      </c>
      <c r="AD30" s="17">
        <f t="shared" si="14"/>
        <v>0</v>
      </c>
      <c r="AE30" s="17">
        <f t="shared" si="15"/>
        <v>0</v>
      </c>
      <c r="AF30" s="17">
        <f t="shared" si="16"/>
        <v>0</v>
      </c>
      <c r="AG30" s="17">
        <f t="shared" si="17"/>
        <v>0</v>
      </c>
      <c r="AH30" s="17">
        <f t="shared" si="18"/>
        <v>0</v>
      </c>
      <c r="AI30" s="17">
        <f t="shared" si="19"/>
        <v>0</v>
      </c>
      <c r="AJ30" s="17">
        <f t="shared" si="20"/>
        <v>0</v>
      </c>
      <c r="AK30" s="17">
        <f t="shared" si="21"/>
        <v>0</v>
      </c>
    </row>
    <row r="31" spans="1:37" x14ac:dyDescent="0.25">
      <c r="A31" s="92" t="s">
        <v>121</v>
      </c>
      <c r="B31" s="92">
        <v>5</v>
      </c>
      <c r="C31" s="92">
        <v>0</v>
      </c>
      <c r="D31" s="92">
        <v>0</v>
      </c>
      <c r="E31" s="94" t="s">
        <v>125</v>
      </c>
      <c r="F31" s="152"/>
      <c r="G31" s="102" t="s">
        <v>205</v>
      </c>
      <c r="H31" s="17">
        <v>400</v>
      </c>
      <c r="I31" s="17">
        <v>25140</v>
      </c>
      <c r="J31" s="64" t="s">
        <v>208</v>
      </c>
      <c r="K31" s="64">
        <v>0</v>
      </c>
      <c r="L31" s="64">
        <v>0</v>
      </c>
      <c r="M31" s="64">
        <v>0</v>
      </c>
      <c r="N31" s="64">
        <v>0</v>
      </c>
      <c r="O31" s="64">
        <v>0</v>
      </c>
      <c r="P31" s="66">
        <f t="shared" si="0"/>
        <v>0</v>
      </c>
      <c r="Q31" s="64">
        <v>0</v>
      </c>
      <c r="R31" s="64">
        <v>0</v>
      </c>
      <c r="S31" s="48">
        <f t="shared" si="3"/>
        <v>1923.21</v>
      </c>
      <c r="T31" s="17">
        <f t="shared" si="22"/>
        <v>0</v>
      </c>
      <c r="U31" s="17">
        <f t="shared" si="5"/>
        <v>0</v>
      </c>
      <c r="V31" s="17">
        <f t="shared" si="6"/>
        <v>0</v>
      </c>
      <c r="W31" s="17">
        <f t="shared" si="7"/>
        <v>0</v>
      </c>
      <c r="X31" s="48">
        <f t="shared" si="8"/>
        <v>0</v>
      </c>
      <c r="Y31" s="67">
        <f t="shared" si="9"/>
        <v>0</v>
      </c>
      <c r="Z31" s="67">
        <f t="shared" si="10"/>
        <v>0</v>
      </c>
      <c r="AA31" s="67">
        <f t="shared" si="11"/>
        <v>0</v>
      </c>
      <c r="AB31" s="48">
        <f t="shared" si="12"/>
        <v>0</v>
      </c>
      <c r="AC31" s="48">
        <f t="shared" si="13"/>
        <v>0</v>
      </c>
      <c r="AD31" s="17">
        <f t="shared" si="14"/>
        <v>0</v>
      </c>
      <c r="AE31" s="17">
        <f t="shared" si="15"/>
        <v>0</v>
      </c>
      <c r="AF31" s="17">
        <f t="shared" si="16"/>
        <v>0</v>
      </c>
      <c r="AG31" s="17">
        <f t="shared" si="17"/>
        <v>0</v>
      </c>
      <c r="AH31" s="17">
        <f t="shared" si="18"/>
        <v>0</v>
      </c>
      <c r="AI31" s="17">
        <f t="shared" si="19"/>
        <v>0</v>
      </c>
      <c r="AJ31" s="17">
        <f t="shared" si="20"/>
        <v>0</v>
      </c>
      <c r="AK31" s="17">
        <f t="shared" si="21"/>
        <v>0</v>
      </c>
    </row>
    <row r="32" spans="1:37" x14ac:dyDescent="0.25">
      <c r="H32" s="48">
        <f>SUM(H3:H31)</f>
        <v>1054733.73</v>
      </c>
      <c r="I32" s="48">
        <f>SUM(I3:I31)</f>
        <v>1194070.6099999999</v>
      </c>
      <c r="J32" s="64"/>
      <c r="K32" s="64"/>
      <c r="L32" s="64"/>
      <c r="M32" s="64">
        <f>SUM(M3:M31)</f>
        <v>991.74</v>
      </c>
      <c r="N32" s="64"/>
      <c r="O32" s="64"/>
      <c r="P32" s="79">
        <f>SUM(P3:P31)</f>
        <v>281306.6399999999</v>
      </c>
      <c r="Q32" s="17">
        <f>SUM(Q2:Q31)</f>
        <v>251532.61185999995</v>
      </c>
      <c r="R32" s="48">
        <f>SUM(R3:R31)</f>
        <v>303267.30703500001</v>
      </c>
      <c r="S32" s="48">
        <f>SUM(S3:S31)</f>
        <v>91346.401665000027</v>
      </c>
      <c r="V32" s="17">
        <f>SUM(V3:V31)</f>
        <v>253532.37599999999</v>
      </c>
      <c r="W32" s="17">
        <f t="shared" si="7"/>
        <v>19395.226763999999</v>
      </c>
      <c r="X32" s="48">
        <f t="shared" ref="X32:AD32" si="23">SUM(X3:X31)</f>
        <v>38118.627359999999</v>
      </c>
      <c r="Y32" s="67">
        <f t="shared" si="23"/>
        <v>963.75840000000005</v>
      </c>
      <c r="Z32" s="67">
        <f>SUM(Z3:Z31)</f>
        <v>735.42</v>
      </c>
      <c r="AA32" s="67">
        <f t="shared" si="23"/>
        <v>343.2</v>
      </c>
      <c r="AB32" s="48">
        <f t="shared" si="23"/>
        <v>68326.975332000002</v>
      </c>
      <c r="AC32" s="48">
        <f t="shared" si="23"/>
        <v>108487.981092</v>
      </c>
      <c r="AD32" s="17">
        <f t="shared" si="23"/>
        <v>274996.42514615774</v>
      </c>
      <c r="AE32" s="17">
        <f>SUM(AE3:AE31)</f>
        <v>21037.226523681064</v>
      </c>
      <c r="AF32" s="17">
        <f>SUM(AF3:AF31)</f>
        <v>41033.495032850733</v>
      </c>
      <c r="AG32" s="17">
        <f t="shared" ref="AG32" si="24">SUM(AG3:AG31)</f>
        <v>1042.7427125887948</v>
      </c>
      <c r="AH32" s="17">
        <f>SUM(AH3:AH31)</f>
        <v>791.06919134444001</v>
      </c>
      <c r="AI32" s="17">
        <f t="shared" ref="AI32:AK32" si="25">SUM(AI3:AI31)</f>
        <v>362.02990853777601</v>
      </c>
      <c r="AJ32" s="17">
        <f t="shared" si="25"/>
        <v>73098.575476777012</v>
      </c>
      <c r="AK32" s="17">
        <f t="shared" si="25"/>
        <v>116327.91232209875</v>
      </c>
    </row>
    <row r="33" spans="4:30" x14ac:dyDescent="0.25">
      <c r="D33" s="92">
        <f>I33</f>
        <v>0</v>
      </c>
      <c r="J33" s="64"/>
      <c r="K33" s="64"/>
      <c r="L33" s="64"/>
      <c r="M33" s="64"/>
      <c r="N33" s="64"/>
      <c r="O33" s="64"/>
    </row>
    <row r="36" spans="4:30" x14ac:dyDescent="0.25">
      <c r="H36" s="103" t="s">
        <v>242</v>
      </c>
      <c r="I36" s="48">
        <f>SUM(I4:I31)</f>
        <v>1077812.3</v>
      </c>
      <c r="AC36" s="80" t="s">
        <v>242</v>
      </c>
      <c r="AD36" s="48">
        <f>SUM(AD4:AD31)</f>
        <v>248221.94516499998</v>
      </c>
    </row>
    <row r="38" spans="4:30" x14ac:dyDescent="0.25">
      <c r="H38" s="20" t="s">
        <v>251</v>
      </c>
      <c r="I38" s="20">
        <f>AD32/I32</f>
        <v>0.23030164451175777</v>
      </c>
    </row>
  </sheetData>
  <mergeCells count="35">
    <mergeCell ref="AG1:AG2"/>
    <mergeCell ref="AH1:AH2"/>
    <mergeCell ref="AI1:AI2"/>
    <mergeCell ref="AJ1:AJ2"/>
    <mergeCell ref="AK1:AK2"/>
    <mergeCell ref="AF1:AF2"/>
    <mergeCell ref="U1:U2"/>
    <mergeCell ref="V1:V2"/>
    <mergeCell ref="W1:W2"/>
    <mergeCell ref="X1:X2"/>
    <mergeCell ref="Y1:Y2"/>
    <mergeCell ref="Z1:Z2"/>
    <mergeCell ref="AA1:AA2"/>
    <mergeCell ref="AB1:AB2"/>
    <mergeCell ref="AC1:AC2"/>
    <mergeCell ref="AD1:AD2"/>
    <mergeCell ref="AE1:AE2"/>
    <mergeCell ref="T1:T2"/>
    <mergeCell ref="G1:G2"/>
    <mergeCell ref="H1:H2"/>
    <mergeCell ref="I1:I2"/>
    <mergeCell ref="J1:J2"/>
    <mergeCell ref="K1:L1"/>
    <mergeCell ref="M1:M2"/>
    <mergeCell ref="N1:N2"/>
    <mergeCell ref="O1:O2"/>
    <mergeCell ref="P1:P2"/>
    <mergeCell ref="Q1:R1"/>
    <mergeCell ref="S1:S2"/>
    <mergeCell ref="F1:F2"/>
    <mergeCell ref="A1:A2"/>
    <mergeCell ref="B1:B2"/>
    <mergeCell ref="C1:C2"/>
    <mergeCell ref="D1:D2"/>
    <mergeCell ref="E1:E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C0D46-0CD1-4796-8836-49131CAD4036}">
  <dimension ref="A1:I109"/>
  <sheetViews>
    <sheetView topLeftCell="E35" zoomScale="90" zoomScaleNormal="90" workbookViewId="0">
      <selection activeCell="G98" sqref="G98"/>
    </sheetView>
  </sheetViews>
  <sheetFormatPr defaultRowHeight="15" x14ac:dyDescent="0.25"/>
  <cols>
    <col min="1" max="1" width="30" style="11" customWidth="1"/>
    <col min="2" max="2" width="12.85546875" style="20" customWidth="1"/>
    <col min="3" max="3" width="9.140625" style="20" customWidth="1"/>
    <col min="4" max="4" width="34.140625" style="20" customWidth="1"/>
    <col min="5" max="5" width="77" style="20" customWidth="1"/>
    <col min="6" max="6" width="12.42578125" style="20" customWidth="1"/>
    <col min="7" max="7" width="42.42578125" style="20" customWidth="1"/>
    <col min="8" max="8" width="55.42578125" style="20" customWidth="1"/>
    <col min="9" max="9" width="12.140625" style="20" bestFit="1" customWidth="1"/>
    <col min="10" max="16384" width="9.140625" style="20"/>
  </cols>
  <sheetData>
    <row r="1" spans="1:9" s="114" customFormat="1" x14ac:dyDescent="0.25">
      <c r="A1" s="82"/>
      <c r="B1" s="113" t="s">
        <v>284</v>
      </c>
      <c r="C1" s="113" t="s">
        <v>285</v>
      </c>
      <c r="D1" s="113" t="s">
        <v>286</v>
      </c>
      <c r="E1" s="113" t="s">
        <v>287</v>
      </c>
      <c r="F1" s="113" t="s">
        <v>253</v>
      </c>
      <c r="G1" s="113" t="s">
        <v>288</v>
      </c>
      <c r="H1" s="113" t="s">
        <v>49</v>
      </c>
    </row>
    <row r="2" spans="1:9" ht="45" x14ac:dyDescent="0.25">
      <c r="A2" s="11" t="s">
        <v>289</v>
      </c>
      <c r="I2" s="18" t="s">
        <v>290</v>
      </c>
    </row>
    <row r="3" spans="1:9" x14ac:dyDescent="0.25">
      <c r="B3" s="20">
        <v>21364</v>
      </c>
      <c r="C3" s="20" t="s">
        <v>291</v>
      </c>
      <c r="D3" s="20" t="s">
        <v>292</v>
      </c>
      <c r="E3" s="20" t="s">
        <v>293</v>
      </c>
      <c r="F3" s="83">
        <v>100.5</v>
      </c>
      <c r="G3" s="20" t="s">
        <v>294</v>
      </c>
      <c r="I3" s="17">
        <f>F3*0.1545</f>
        <v>15.52725</v>
      </c>
    </row>
    <row r="4" spans="1:9" x14ac:dyDescent="0.25">
      <c r="B4" s="20">
        <v>21365</v>
      </c>
      <c r="C4" s="20" t="s">
        <v>295</v>
      </c>
      <c r="D4" s="20" t="s">
        <v>296</v>
      </c>
      <c r="E4" s="20" t="s">
        <v>297</v>
      </c>
      <c r="F4" s="83">
        <v>2080</v>
      </c>
      <c r="G4" s="20" t="s">
        <v>294</v>
      </c>
      <c r="I4" s="17">
        <f t="shared" ref="I4:I14" si="0">F4*0.1545</f>
        <v>321.36</v>
      </c>
    </row>
    <row r="5" spans="1:9" x14ac:dyDescent="0.25">
      <c r="B5" s="20">
        <v>21366</v>
      </c>
      <c r="C5" s="20" t="s">
        <v>298</v>
      </c>
      <c r="D5" s="20" t="s">
        <v>292</v>
      </c>
      <c r="E5" s="20" t="s">
        <v>299</v>
      </c>
      <c r="F5" s="83">
        <v>1492.08</v>
      </c>
      <c r="G5" s="20" t="s">
        <v>294</v>
      </c>
      <c r="I5" s="17">
        <f t="shared" si="0"/>
        <v>230.52635999999998</v>
      </c>
    </row>
    <row r="6" spans="1:9" x14ac:dyDescent="0.25">
      <c r="B6" s="20">
        <v>21367</v>
      </c>
      <c r="C6" s="20" t="s">
        <v>300</v>
      </c>
      <c r="D6" s="20" t="s">
        <v>292</v>
      </c>
      <c r="E6" s="20" t="s">
        <v>301</v>
      </c>
      <c r="F6" s="83">
        <v>1042.5</v>
      </c>
      <c r="G6" s="20" t="s">
        <v>294</v>
      </c>
      <c r="I6" s="17">
        <f t="shared" si="0"/>
        <v>161.06625</v>
      </c>
    </row>
    <row r="7" spans="1:9" x14ac:dyDescent="0.25">
      <c r="B7" s="20">
        <v>21368</v>
      </c>
      <c r="C7" s="20" t="s">
        <v>302</v>
      </c>
      <c r="D7" s="20" t="s">
        <v>292</v>
      </c>
      <c r="E7" s="20" t="s">
        <v>303</v>
      </c>
      <c r="F7" s="83">
        <v>2667.55</v>
      </c>
      <c r="G7" s="20" t="s">
        <v>294</v>
      </c>
      <c r="I7" s="17">
        <f t="shared" si="0"/>
        <v>412.13647500000002</v>
      </c>
    </row>
    <row r="8" spans="1:9" x14ac:dyDescent="0.25">
      <c r="B8" s="20">
        <v>21369</v>
      </c>
      <c r="C8" s="20" t="s">
        <v>304</v>
      </c>
      <c r="D8" s="20" t="s">
        <v>292</v>
      </c>
      <c r="E8" s="20" t="s">
        <v>305</v>
      </c>
      <c r="F8" s="83">
        <v>1545</v>
      </c>
      <c r="G8" s="20" t="s">
        <v>294</v>
      </c>
      <c r="I8" s="17">
        <f t="shared" si="0"/>
        <v>238.70249999999999</v>
      </c>
    </row>
    <row r="9" spans="1:9" x14ac:dyDescent="0.25">
      <c r="B9" s="20">
        <v>21370</v>
      </c>
      <c r="C9" s="20" t="s">
        <v>306</v>
      </c>
      <c r="D9" s="20" t="s">
        <v>292</v>
      </c>
      <c r="E9" s="20" t="s">
        <v>307</v>
      </c>
      <c r="F9" s="83">
        <v>1085.25</v>
      </c>
      <c r="G9" s="20" t="s">
        <v>294</v>
      </c>
      <c r="I9" s="17">
        <f t="shared" si="0"/>
        <v>167.67112499999999</v>
      </c>
    </row>
    <row r="10" spans="1:9" x14ac:dyDescent="0.25">
      <c r="B10" s="20">
        <v>21371</v>
      </c>
      <c r="C10" s="20" t="s">
        <v>308</v>
      </c>
      <c r="D10" s="20" t="s">
        <v>292</v>
      </c>
      <c r="E10" s="20" t="s">
        <v>309</v>
      </c>
      <c r="F10" s="83">
        <v>1091</v>
      </c>
      <c r="G10" s="20" t="s">
        <v>294</v>
      </c>
      <c r="I10" s="17">
        <f t="shared" si="0"/>
        <v>168.55949999999999</v>
      </c>
    </row>
    <row r="11" spans="1:9" x14ac:dyDescent="0.25">
      <c r="B11" s="20">
        <v>21372</v>
      </c>
      <c r="C11" s="20" t="s">
        <v>310</v>
      </c>
      <c r="D11" s="20" t="s">
        <v>292</v>
      </c>
      <c r="E11" s="20" t="s">
        <v>311</v>
      </c>
      <c r="F11" s="83">
        <v>813.75</v>
      </c>
      <c r="G11" s="20" t="s">
        <v>294</v>
      </c>
      <c r="I11" s="17">
        <f t="shared" si="0"/>
        <v>125.72437499999999</v>
      </c>
    </row>
    <row r="12" spans="1:9" x14ac:dyDescent="0.25">
      <c r="B12" s="20">
        <v>21373</v>
      </c>
      <c r="C12" s="20" t="s">
        <v>312</v>
      </c>
      <c r="D12" s="20" t="s">
        <v>292</v>
      </c>
      <c r="E12" s="20" t="s">
        <v>313</v>
      </c>
      <c r="F12" s="83">
        <v>800</v>
      </c>
      <c r="G12" s="20" t="s">
        <v>294</v>
      </c>
      <c r="I12" s="17">
        <f t="shared" si="0"/>
        <v>123.6</v>
      </c>
    </row>
    <row r="13" spans="1:9" x14ac:dyDescent="0.25">
      <c r="B13" s="20">
        <v>21375</v>
      </c>
      <c r="C13" s="20" t="s">
        <v>314</v>
      </c>
      <c r="D13" s="20" t="s">
        <v>292</v>
      </c>
      <c r="E13" s="20" t="s">
        <v>315</v>
      </c>
      <c r="F13" s="83">
        <v>1511.25</v>
      </c>
      <c r="G13" s="20" t="s">
        <v>294</v>
      </c>
      <c r="I13" s="17">
        <f t="shared" si="0"/>
        <v>233.488125</v>
      </c>
    </row>
    <row r="14" spans="1:9" x14ac:dyDescent="0.25">
      <c r="B14" s="20">
        <v>21445</v>
      </c>
      <c r="C14" s="20" t="s">
        <v>316</v>
      </c>
      <c r="D14" s="20" t="s">
        <v>292</v>
      </c>
      <c r="E14" s="20" t="s">
        <v>317</v>
      </c>
      <c r="F14" s="20">
        <v>393.75</v>
      </c>
      <c r="G14" s="20" t="s">
        <v>294</v>
      </c>
      <c r="H14" s="20" t="s">
        <v>318</v>
      </c>
      <c r="I14" s="17">
        <f t="shared" si="0"/>
        <v>60.834375000000001</v>
      </c>
    </row>
    <row r="15" spans="1:9" s="116" customFormat="1" x14ac:dyDescent="0.25">
      <c r="A15" s="122"/>
      <c r="B15" s="116">
        <v>21376</v>
      </c>
      <c r="C15" s="116" t="s">
        <v>319</v>
      </c>
      <c r="D15" s="116" t="s">
        <v>292</v>
      </c>
      <c r="E15" s="116" t="s">
        <v>320</v>
      </c>
      <c r="F15" s="123">
        <v>315</v>
      </c>
      <c r="G15" s="116" t="s">
        <v>321</v>
      </c>
      <c r="I15" s="124">
        <v>315</v>
      </c>
    </row>
    <row r="16" spans="1:9" s="116" customFormat="1" x14ac:dyDescent="0.25">
      <c r="A16" s="122"/>
      <c r="B16" s="116">
        <v>21374</v>
      </c>
      <c r="C16" s="116" t="s">
        <v>322</v>
      </c>
      <c r="D16" s="116" t="s">
        <v>292</v>
      </c>
      <c r="E16" s="116" t="s">
        <v>323</v>
      </c>
      <c r="F16" s="123">
        <v>1301.25</v>
      </c>
      <c r="G16" s="116" t="s">
        <v>324</v>
      </c>
      <c r="H16" s="116" t="s">
        <v>325</v>
      </c>
      <c r="I16" s="124">
        <v>1301.25</v>
      </c>
    </row>
    <row r="17" spans="1:9" s="78" customFormat="1" x14ac:dyDescent="0.25">
      <c r="A17" s="125"/>
      <c r="F17" s="126"/>
      <c r="H17" s="78" t="s">
        <v>326</v>
      </c>
      <c r="I17" s="101">
        <f>SUM(I3:I16)</f>
        <v>3875.4463350000001</v>
      </c>
    </row>
    <row r="18" spans="1:9" x14ac:dyDescent="0.25">
      <c r="I18" s="48"/>
    </row>
    <row r="19" spans="1:9" ht="45" x14ac:dyDescent="0.25">
      <c r="A19" s="11" t="s">
        <v>327</v>
      </c>
    </row>
    <row r="20" spans="1:9" x14ac:dyDescent="0.25">
      <c r="B20" s="20">
        <v>21407</v>
      </c>
      <c r="C20" s="20" t="s">
        <v>328</v>
      </c>
      <c r="D20" s="20" t="s">
        <v>329</v>
      </c>
      <c r="E20" s="20" t="s">
        <v>330</v>
      </c>
      <c r="F20" s="83">
        <v>65</v>
      </c>
      <c r="G20" s="20" t="s">
        <v>331</v>
      </c>
      <c r="I20" s="17">
        <f>F20*0.1545</f>
        <v>10.0425</v>
      </c>
    </row>
    <row r="21" spans="1:9" x14ac:dyDescent="0.25">
      <c r="B21" s="20">
        <v>21421</v>
      </c>
      <c r="C21" s="20" t="s">
        <v>332</v>
      </c>
      <c r="D21" s="20" t="s">
        <v>329</v>
      </c>
      <c r="E21" s="20" t="s">
        <v>333</v>
      </c>
      <c r="F21" s="83">
        <v>65</v>
      </c>
      <c r="G21" s="20" t="s">
        <v>331</v>
      </c>
      <c r="I21" s="17">
        <f t="shared" ref="I21:I32" si="1">F21*0.1545</f>
        <v>10.0425</v>
      </c>
    </row>
    <row r="22" spans="1:9" x14ac:dyDescent="0.25">
      <c r="B22" s="20">
        <v>21444</v>
      </c>
      <c r="C22" s="20" t="s">
        <v>334</v>
      </c>
      <c r="D22" s="20" t="s">
        <v>329</v>
      </c>
      <c r="E22" s="20" t="s">
        <v>335</v>
      </c>
      <c r="F22" s="83">
        <v>65</v>
      </c>
      <c r="G22" s="20" t="s">
        <v>331</v>
      </c>
      <c r="I22" s="17">
        <f t="shared" si="1"/>
        <v>10.0425</v>
      </c>
    </row>
    <row r="23" spans="1:9" x14ac:dyDescent="0.25">
      <c r="B23" s="20">
        <v>21453</v>
      </c>
      <c r="C23" s="20" t="s">
        <v>336</v>
      </c>
      <c r="D23" s="20" t="s">
        <v>329</v>
      </c>
      <c r="E23" s="20" t="s">
        <v>337</v>
      </c>
      <c r="F23" s="83">
        <v>65</v>
      </c>
      <c r="G23" s="20" t="s">
        <v>331</v>
      </c>
      <c r="I23" s="17">
        <f t="shared" si="1"/>
        <v>10.0425</v>
      </c>
    </row>
    <row r="24" spans="1:9" x14ac:dyDescent="0.25">
      <c r="B24" s="20">
        <v>21481</v>
      </c>
      <c r="C24" s="20" t="s">
        <v>338</v>
      </c>
      <c r="D24" s="20" t="s">
        <v>329</v>
      </c>
      <c r="E24" s="20" t="s">
        <v>339</v>
      </c>
      <c r="F24" s="83">
        <v>65</v>
      </c>
      <c r="G24" s="20" t="s">
        <v>331</v>
      </c>
      <c r="I24" s="17">
        <f t="shared" si="1"/>
        <v>10.0425</v>
      </c>
    </row>
    <row r="25" spans="1:9" x14ac:dyDescent="0.25">
      <c r="B25" s="20">
        <v>21491</v>
      </c>
      <c r="C25" s="20" t="s">
        <v>340</v>
      </c>
      <c r="D25" s="20" t="s">
        <v>329</v>
      </c>
      <c r="E25" s="20" t="s">
        <v>341</v>
      </c>
      <c r="F25" s="83">
        <v>65</v>
      </c>
      <c r="G25" s="20" t="s">
        <v>331</v>
      </c>
      <c r="I25" s="17">
        <f t="shared" si="1"/>
        <v>10.0425</v>
      </c>
    </row>
    <row r="26" spans="1:9" x14ac:dyDescent="0.25">
      <c r="B26" s="20">
        <v>21514</v>
      </c>
      <c r="C26" s="20" t="s">
        <v>342</v>
      </c>
      <c r="D26" s="20" t="s">
        <v>329</v>
      </c>
      <c r="E26" s="20" t="s">
        <v>343</v>
      </c>
      <c r="F26" s="83">
        <v>65</v>
      </c>
      <c r="G26" s="20" t="s">
        <v>331</v>
      </c>
      <c r="I26" s="17">
        <f t="shared" si="1"/>
        <v>10.0425</v>
      </c>
    </row>
    <row r="27" spans="1:9" x14ac:dyDescent="0.25">
      <c r="B27" s="20">
        <v>21542</v>
      </c>
      <c r="C27" s="20" t="s">
        <v>344</v>
      </c>
      <c r="D27" s="20" t="s">
        <v>329</v>
      </c>
      <c r="E27" s="20" t="s">
        <v>345</v>
      </c>
      <c r="F27" s="83">
        <v>65</v>
      </c>
      <c r="G27" s="20" t="s">
        <v>331</v>
      </c>
      <c r="I27" s="17">
        <f t="shared" si="1"/>
        <v>10.0425</v>
      </c>
    </row>
    <row r="28" spans="1:9" x14ac:dyDescent="0.25">
      <c r="B28" s="20">
        <v>21577</v>
      </c>
      <c r="C28" s="20" t="s">
        <v>346</v>
      </c>
      <c r="D28" s="20" t="s">
        <v>329</v>
      </c>
      <c r="E28" s="20" t="s">
        <v>347</v>
      </c>
      <c r="F28" s="83">
        <v>65</v>
      </c>
      <c r="G28" s="20" t="s">
        <v>331</v>
      </c>
      <c r="I28" s="17">
        <f t="shared" si="1"/>
        <v>10.0425</v>
      </c>
    </row>
    <row r="29" spans="1:9" x14ac:dyDescent="0.25">
      <c r="B29" s="20">
        <v>21602</v>
      </c>
      <c r="C29" s="20" t="s">
        <v>348</v>
      </c>
      <c r="D29" s="20" t="s">
        <v>329</v>
      </c>
      <c r="E29" s="20" t="s">
        <v>349</v>
      </c>
      <c r="F29" s="83">
        <v>65</v>
      </c>
      <c r="G29" s="20" t="s">
        <v>331</v>
      </c>
      <c r="I29" s="17">
        <f t="shared" si="1"/>
        <v>10.0425</v>
      </c>
    </row>
    <row r="30" spans="1:9" x14ac:dyDescent="0.25">
      <c r="B30" s="20">
        <v>21624</v>
      </c>
      <c r="C30" s="20" t="s">
        <v>350</v>
      </c>
      <c r="D30" s="20" t="s">
        <v>329</v>
      </c>
      <c r="E30" s="20" t="s">
        <v>351</v>
      </c>
      <c r="F30" s="83">
        <v>65</v>
      </c>
      <c r="G30" s="20" t="s">
        <v>331</v>
      </c>
      <c r="I30" s="17">
        <f t="shared" si="1"/>
        <v>10.0425</v>
      </c>
    </row>
    <row r="31" spans="1:9" x14ac:dyDescent="0.25">
      <c r="B31" s="20">
        <v>21643</v>
      </c>
      <c r="C31" s="20" t="s">
        <v>352</v>
      </c>
      <c r="D31" s="20" t="s">
        <v>329</v>
      </c>
      <c r="E31" s="20" t="s">
        <v>353</v>
      </c>
      <c r="F31" s="83">
        <v>65</v>
      </c>
      <c r="G31" s="20" t="s">
        <v>331</v>
      </c>
      <c r="I31" s="17">
        <f t="shared" si="1"/>
        <v>10.0425</v>
      </c>
    </row>
    <row r="32" spans="1:9" x14ac:dyDescent="0.25">
      <c r="B32" s="20">
        <v>21561</v>
      </c>
      <c r="C32" s="20" t="s">
        <v>354</v>
      </c>
      <c r="D32" s="20" t="s">
        <v>355</v>
      </c>
      <c r="E32" s="20" t="s">
        <v>356</v>
      </c>
      <c r="F32" s="127">
        <v>200</v>
      </c>
      <c r="G32" s="20" t="s">
        <v>331</v>
      </c>
      <c r="I32" s="17">
        <f t="shared" si="1"/>
        <v>30.9</v>
      </c>
    </row>
    <row r="33" spans="1:9" x14ac:dyDescent="0.25">
      <c r="H33" s="20" t="s">
        <v>326</v>
      </c>
      <c r="I33" s="17">
        <f>SUM(I20:I32)</f>
        <v>151.41000000000003</v>
      </c>
    </row>
    <row r="34" spans="1:9" ht="45" x14ac:dyDescent="0.25">
      <c r="A34" s="11" t="s">
        <v>357</v>
      </c>
    </row>
    <row r="35" spans="1:9" x14ac:dyDescent="0.25">
      <c r="B35" s="20">
        <v>21402</v>
      </c>
      <c r="C35" s="20" t="s">
        <v>358</v>
      </c>
      <c r="D35" s="20" t="s">
        <v>359</v>
      </c>
      <c r="E35" s="20" t="s">
        <v>360</v>
      </c>
      <c r="F35" s="83">
        <v>63.52</v>
      </c>
      <c r="G35" s="20" t="s">
        <v>361</v>
      </c>
      <c r="I35" s="17">
        <f>F35*0.1545</f>
        <v>9.8138400000000008</v>
      </c>
    </row>
    <row r="36" spans="1:9" x14ac:dyDescent="0.25">
      <c r="B36" s="20">
        <v>21414</v>
      </c>
      <c r="C36" s="20" t="s">
        <v>362</v>
      </c>
      <c r="D36" s="20" t="s">
        <v>359</v>
      </c>
      <c r="E36" s="20" t="s">
        <v>360</v>
      </c>
      <c r="F36" s="83">
        <v>150</v>
      </c>
      <c r="G36" s="20" t="s">
        <v>361</v>
      </c>
      <c r="I36" s="17">
        <f t="shared" ref="I36:I47" si="2">F36*0.1545</f>
        <v>23.175000000000001</v>
      </c>
    </row>
    <row r="37" spans="1:9" x14ac:dyDescent="0.25">
      <c r="B37" s="20">
        <v>21440</v>
      </c>
      <c r="C37" s="20" t="s">
        <v>363</v>
      </c>
      <c r="D37" s="20" t="s">
        <v>359</v>
      </c>
      <c r="E37" s="20" t="s">
        <v>364</v>
      </c>
      <c r="F37" s="83">
        <v>235.6</v>
      </c>
      <c r="G37" s="20" t="s">
        <v>361</v>
      </c>
      <c r="I37" s="17">
        <f t="shared" si="2"/>
        <v>36.400199999999998</v>
      </c>
    </row>
    <row r="38" spans="1:9" x14ac:dyDescent="0.25">
      <c r="B38" s="20">
        <v>21462</v>
      </c>
      <c r="C38" s="20" t="s">
        <v>365</v>
      </c>
      <c r="D38" s="20" t="s">
        <v>359</v>
      </c>
      <c r="E38" s="20" t="s">
        <v>366</v>
      </c>
      <c r="F38" s="83">
        <v>122.8</v>
      </c>
      <c r="G38" s="20" t="s">
        <v>361</v>
      </c>
      <c r="I38" s="17">
        <f t="shared" si="2"/>
        <v>18.9726</v>
      </c>
    </row>
    <row r="39" spans="1:9" x14ac:dyDescent="0.25">
      <c r="B39" s="20">
        <v>21478</v>
      </c>
      <c r="C39" s="20" t="s">
        <v>367</v>
      </c>
      <c r="D39" s="20" t="s">
        <v>359</v>
      </c>
      <c r="E39" s="20" t="s">
        <v>364</v>
      </c>
      <c r="F39" s="83">
        <v>209.25</v>
      </c>
      <c r="G39" s="20" t="s">
        <v>361</v>
      </c>
      <c r="I39" s="17">
        <f t="shared" si="2"/>
        <v>32.329124999999998</v>
      </c>
    </row>
    <row r="40" spans="1:9" x14ac:dyDescent="0.25">
      <c r="B40" s="20">
        <v>21498</v>
      </c>
      <c r="C40" s="20" t="s">
        <v>368</v>
      </c>
      <c r="D40" s="20" t="s">
        <v>359</v>
      </c>
      <c r="E40" s="20" t="s">
        <v>364</v>
      </c>
      <c r="F40" s="83">
        <v>105.83</v>
      </c>
      <c r="G40" s="20" t="s">
        <v>361</v>
      </c>
      <c r="I40" s="17">
        <f t="shared" si="2"/>
        <v>16.350735</v>
      </c>
    </row>
    <row r="41" spans="1:9" x14ac:dyDescent="0.25">
      <c r="B41" s="20">
        <v>21513</v>
      </c>
      <c r="C41" s="20" t="s">
        <v>369</v>
      </c>
      <c r="D41" s="20" t="s">
        <v>359</v>
      </c>
      <c r="E41" s="20" t="s">
        <v>366</v>
      </c>
      <c r="F41" s="83">
        <v>54.87</v>
      </c>
      <c r="G41" s="20" t="s">
        <v>361</v>
      </c>
      <c r="I41" s="17">
        <f t="shared" si="2"/>
        <v>8.4774149999999988</v>
      </c>
    </row>
    <row r="42" spans="1:9" x14ac:dyDescent="0.25">
      <c r="B42" s="20">
        <v>21549</v>
      </c>
      <c r="C42" s="20" t="s">
        <v>370</v>
      </c>
      <c r="D42" s="20" t="s">
        <v>359</v>
      </c>
      <c r="E42" s="20" t="s">
        <v>364</v>
      </c>
      <c r="F42" s="83">
        <v>143.22</v>
      </c>
      <c r="G42" s="20" t="s">
        <v>361</v>
      </c>
      <c r="I42" s="17">
        <f t="shared" si="2"/>
        <v>22.127489999999998</v>
      </c>
    </row>
    <row r="43" spans="1:9" x14ac:dyDescent="0.25">
      <c r="B43" s="20">
        <v>21576</v>
      </c>
      <c r="C43" s="20" t="s">
        <v>371</v>
      </c>
      <c r="D43" s="20" t="s">
        <v>359</v>
      </c>
      <c r="E43" s="20" t="s">
        <v>364</v>
      </c>
      <c r="F43" s="83">
        <v>0</v>
      </c>
      <c r="G43" s="20" t="s">
        <v>361</v>
      </c>
      <c r="I43" s="17">
        <f t="shared" si="2"/>
        <v>0</v>
      </c>
    </row>
    <row r="44" spans="1:9" x14ac:dyDescent="0.25">
      <c r="B44" s="20">
        <v>21579</v>
      </c>
      <c r="C44" s="20" t="s">
        <v>372</v>
      </c>
      <c r="D44" s="20" t="s">
        <v>359</v>
      </c>
      <c r="E44" s="20" t="s">
        <v>364</v>
      </c>
      <c r="F44" s="83">
        <v>40.729999999999997</v>
      </c>
      <c r="G44" s="20" t="s">
        <v>361</v>
      </c>
      <c r="I44" s="17">
        <f t="shared" si="2"/>
        <v>6.2927849999999994</v>
      </c>
    </row>
    <row r="45" spans="1:9" x14ac:dyDescent="0.25">
      <c r="B45" s="20">
        <v>21601</v>
      </c>
      <c r="C45" s="20" t="s">
        <v>373</v>
      </c>
      <c r="D45" s="20" t="s">
        <v>359</v>
      </c>
      <c r="E45" s="20" t="s">
        <v>364</v>
      </c>
      <c r="F45" s="83">
        <v>27.52</v>
      </c>
      <c r="G45" s="20" t="s">
        <v>361</v>
      </c>
      <c r="I45" s="17">
        <f t="shared" si="2"/>
        <v>4.2518399999999996</v>
      </c>
    </row>
    <row r="46" spans="1:9" x14ac:dyDescent="0.25">
      <c r="B46" s="20">
        <v>21621</v>
      </c>
      <c r="C46" s="20" t="s">
        <v>374</v>
      </c>
      <c r="D46" s="20" t="s">
        <v>359</v>
      </c>
      <c r="E46" s="20" t="s">
        <v>366</v>
      </c>
      <c r="F46" s="83">
        <v>16.670000000000002</v>
      </c>
      <c r="G46" s="20" t="s">
        <v>361</v>
      </c>
      <c r="I46" s="17">
        <f t="shared" si="2"/>
        <v>2.5755150000000002</v>
      </c>
    </row>
    <row r="47" spans="1:9" x14ac:dyDescent="0.25">
      <c r="B47" s="20">
        <v>21645</v>
      </c>
      <c r="C47" s="20" t="s">
        <v>375</v>
      </c>
      <c r="D47" s="20" t="s">
        <v>359</v>
      </c>
      <c r="E47" s="20" t="s">
        <v>364</v>
      </c>
      <c r="F47" s="83">
        <v>92.77</v>
      </c>
      <c r="G47" s="20" t="s">
        <v>361</v>
      </c>
      <c r="I47" s="17">
        <f t="shared" si="2"/>
        <v>14.332965</v>
      </c>
    </row>
    <row r="48" spans="1:9" x14ac:dyDescent="0.25">
      <c r="F48" s="83"/>
      <c r="H48" s="20" t="s">
        <v>326</v>
      </c>
      <c r="I48" s="17">
        <f>SUM(I35:I47)</f>
        <v>195.09950999999998</v>
      </c>
    </row>
    <row r="49" spans="1:9" ht="45" x14ac:dyDescent="0.25">
      <c r="A49" s="11" t="s">
        <v>376</v>
      </c>
    </row>
    <row r="50" spans="1:9" x14ac:dyDescent="0.25">
      <c r="B50" s="20">
        <v>21507</v>
      </c>
      <c r="C50" s="20" t="s">
        <v>377</v>
      </c>
      <c r="D50" s="20" t="s">
        <v>378</v>
      </c>
      <c r="E50" s="20" t="s">
        <v>379</v>
      </c>
      <c r="F50" s="83">
        <v>2250</v>
      </c>
      <c r="G50" s="20" t="s">
        <v>361</v>
      </c>
      <c r="I50" s="17">
        <f>F50*0.1545</f>
        <v>347.625</v>
      </c>
    </row>
    <row r="51" spans="1:9" x14ac:dyDescent="0.25">
      <c r="B51" s="20">
        <v>21556</v>
      </c>
      <c r="C51" s="20" t="s">
        <v>380</v>
      </c>
      <c r="D51" s="20" t="s">
        <v>378</v>
      </c>
      <c r="E51" s="20" t="s">
        <v>381</v>
      </c>
      <c r="F51" s="83">
        <v>2450</v>
      </c>
      <c r="G51" s="20" t="s">
        <v>361</v>
      </c>
      <c r="I51" s="17">
        <f t="shared" ref="I51:I56" si="3">F51*0.1545</f>
        <v>378.52499999999998</v>
      </c>
    </row>
    <row r="52" spans="1:9" x14ac:dyDescent="0.25">
      <c r="B52" s="20">
        <v>21582</v>
      </c>
      <c r="C52" s="20" t="s">
        <v>382</v>
      </c>
      <c r="D52" s="20" t="s">
        <v>378</v>
      </c>
      <c r="E52" s="20" t="s">
        <v>383</v>
      </c>
      <c r="F52" s="83">
        <v>2350</v>
      </c>
      <c r="G52" s="20" t="s">
        <v>361</v>
      </c>
      <c r="I52" s="17">
        <f t="shared" si="3"/>
        <v>363.07499999999999</v>
      </c>
    </row>
    <row r="53" spans="1:9" x14ac:dyDescent="0.25">
      <c r="B53" s="20">
        <v>21608</v>
      </c>
      <c r="C53" s="20" t="s">
        <v>384</v>
      </c>
      <c r="D53" s="20" t="s">
        <v>378</v>
      </c>
      <c r="E53" s="20" t="s">
        <v>385</v>
      </c>
      <c r="F53" s="83">
        <v>2350</v>
      </c>
      <c r="G53" s="20" t="s">
        <v>361</v>
      </c>
      <c r="I53" s="17">
        <f t="shared" si="3"/>
        <v>363.07499999999999</v>
      </c>
    </row>
    <row r="54" spans="1:9" x14ac:dyDescent="0.25">
      <c r="B54" s="20">
        <v>21612</v>
      </c>
      <c r="C54" s="20" t="s">
        <v>386</v>
      </c>
      <c r="D54" s="20" t="s">
        <v>378</v>
      </c>
      <c r="E54" s="20" t="s">
        <v>387</v>
      </c>
      <c r="F54" s="83">
        <v>2350</v>
      </c>
      <c r="G54" s="20" t="s">
        <v>361</v>
      </c>
      <c r="I54" s="17">
        <f t="shared" si="3"/>
        <v>363.07499999999999</v>
      </c>
    </row>
    <row r="55" spans="1:9" x14ac:dyDescent="0.25">
      <c r="B55" s="20">
        <v>21625</v>
      </c>
      <c r="C55" s="20" t="s">
        <v>388</v>
      </c>
      <c r="D55" s="20" t="s">
        <v>378</v>
      </c>
      <c r="E55" s="20" t="s">
        <v>389</v>
      </c>
      <c r="F55" s="83">
        <v>2350</v>
      </c>
      <c r="G55" s="20" t="s">
        <v>361</v>
      </c>
      <c r="I55" s="17">
        <f t="shared" si="3"/>
        <v>363.07499999999999</v>
      </c>
    </row>
    <row r="56" spans="1:9" x14ac:dyDescent="0.25">
      <c r="B56" s="20">
        <v>21639</v>
      </c>
      <c r="C56" s="20" t="s">
        <v>390</v>
      </c>
      <c r="D56" s="20" t="s">
        <v>378</v>
      </c>
      <c r="E56" s="20" t="s">
        <v>391</v>
      </c>
      <c r="F56" s="83">
        <v>2350</v>
      </c>
      <c r="G56" s="20" t="s">
        <v>361</v>
      </c>
      <c r="I56" s="17">
        <f t="shared" si="3"/>
        <v>363.07499999999999</v>
      </c>
    </row>
    <row r="57" spans="1:9" x14ac:dyDescent="0.25">
      <c r="F57" s="83"/>
      <c r="H57" s="20" t="s">
        <v>326</v>
      </c>
      <c r="I57" s="17">
        <f>SUM(I50:I56)</f>
        <v>2541.5249999999996</v>
      </c>
    </row>
    <row r="58" spans="1:9" x14ac:dyDescent="0.25">
      <c r="F58" s="83"/>
      <c r="I58" s="17"/>
    </row>
    <row r="59" spans="1:9" ht="30" x14ac:dyDescent="0.25">
      <c r="A59" s="11" t="s">
        <v>392</v>
      </c>
      <c r="F59" s="83"/>
      <c r="I59" s="17"/>
    </row>
    <row r="60" spans="1:9" x14ac:dyDescent="0.25">
      <c r="B60" s="20">
        <v>21401</v>
      </c>
      <c r="C60" s="128" t="s">
        <v>393</v>
      </c>
      <c r="D60" s="128" t="s">
        <v>394</v>
      </c>
      <c r="E60" s="20" t="s">
        <v>395</v>
      </c>
      <c r="F60" s="83">
        <v>3039.92</v>
      </c>
      <c r="G60" s="20" t="s">
        <v>361</v>
      </c>
      <c r="I60" s="17">
        <f>F60*0.1545</f>
        <v>469.66764000000001</v>
      </c>
    </row>
    <row r="61" spans="1:9" x14ac:dyDescent="0.25">
      <c r="B61" s="20">
        <v>21415</v>
      </c>
      <c r="C61" s="128" t="s">
        <v>396</v>
      </c>
      <c r="D61" s="128" t="s">
        <v>394</v>
      </c>
      <c r="E61" s="20" t="s">
        <v>397</v>
      </c>
      <c r="F61" s="83">
        <v>3082.9</v>
      </c>
      <c r="G61" s="20" t="s">
        <v>361</v>
      </c>
      <c r="I61" s="17">
        <f t="shared" ref="I61:I72" si="4">F61*0.1545</f>
        <v>476.30805000000004</v>
      </c>
    </row>
    <row r="62" spans="1:9" x14ac:dyDescent="0.25">
      <c r="B62" s="20">
        <v>21431</v>
      </c>
      <c r="C62" s="128" t="s">
        <v>398</v>
      </c>
      <c r="D62" s="128" t="s">
        <v>394</v>
      </c>
      <c r="E62" s="20" t="s">
        <v>399</v>
      </c>
      <c r="F62" s="83">
        <v>3058.9</v>
      </c>
      <c r="G62" s="20" t="s">
        <v>361</v>
      </c>
      <c r="I62" s="17">
        <f t="shared" si="4"/>
        <v>472.60005000000001</v>
      </c>
    </row>
    <row r="63" spans="1:9" x14ac:dyDescent="0.25">
      <c r="B63" s="20">
        <v>21456</v>
      </c>
      <c r="C63" s="128" t="s">
        <v>400</v>
      </c>
      <c r="D63" s="128" t="s">
        <v>394</v>
      </c>
      <c r="E63" s="20" t="s">
        <v>401</v>
      </c>
      <c r="F63" s="83">
        <v>3062.63</v>
      </c>
      <c r="G63" s="20" t="s">
        <v>361</v>
      </c>
      <c r="I63" s="17">
        <f t="shared" si="4"/>
        <v>473.17633499999999</v>
      </c>
    </row>
    <row r="64" spans="1:9" x14ac:dyDescent="0.25">
      <c r="B64" s="20">
        <v>21473</v>
      </c>
      <c r="C64" s="128" t="s">
        <v>402</v>
      </c>
      <c r="D64" s="128" t="s">
        <v>394</v>
      </c>
      <c r="E64" s="20" t="s">
        <v>403</v>
      </c>
      <c r="F64" s="83">
        <v>3090.56</v>
      </c>
      <c r="G64" s="20" t="s">
        <v>361</v>
      </c>
      <c r="I64" s="17">
        <f t="shared" si="4"/>
        <v>477.49151999999998</v>
      </c>
    </row>
    <row r="65" spans="1:9" x14ac:dyDescent="0.25">
      <c r="B65" s="20">
        <v>21485</v>
      </c>
      <c r="C65" s="128" t="s">
        <v>404</v>
      </c>
      <c r="D65" s="128" t="s">
        <v>394</v>
      </c>
      <c r="E65" s="20" t="s">
        <v>405</v>
      </c>
      <c r="F65" s="83">
        <v>3053.61</v>
      </c>
      <c r="G65" s="20" t="s">
        <v>361</v>
      </c>
      <c r="I65" s="17">
        <f t="shared" si="4"/>
        <v>471.78274500000003</v>
      </c>
    </row>
    <row r="66" spans="1:9" x14ac:dyDescent="0.25">
      <c r="B66" s="20">
        <v>21506</v>
      </c>
      <c r="C66" s="128" t="s">
        <v>406</v>
      </c>
      <c r="D66" s="128" t="s">
        <v>394</v>
      </c>
      <c r="E66" s="20" t="s">
        <v>407</v>
      </c>
      <c r="F66" s="83">
        <v>3068.31</v>
      </c>
      <c r="G66" s="20" t="s">
        <v>361</v>
      </c>
      <c r="I66" s="17">
        <f t="shared" si="4"/>
        <v>474.05389500000001</v>
      </c>
    </row>
    <row r="67" spans="1:9" x14ac:dyDescent="0.25">
      <c r="B67" s="20">
        <v>21539</v>
      </c>
      <c r="C67" s="128" t="s">
        <v>408</v>
      </c>
      <c r="D67" s="128" t="s">
        <v>394</v>
      </c>
      <c r="E67" s="20" t="s">
        <v>409</v>
      </c>
      <c r="F67" s="83">
        <v>3096.6</v>
      </c>
      <c r="G67" s="20" t="s">
        <v>361</v>
      </c>
      <c r="I67" s="17">
        <f t="shared" si="4"/>
        <v>478.42469999999997</v>
      </c>
    </row>
    <row r="68" spans="1:9" x14ac:dyDescent="0.25">
      <c r="B68" s="20">
        <v>21571</v>
      </c>
      <c r="C68" s="128" t="s">
        <v>410</v>
      </c>
      <c r="D68" s="128" t="s">
        <v>394</v>
      </c>
      <c r="E68" s="20" t="s">
        <v>411</v>
      </c>
      <c r="F68" s="83">
        <v>3075.24</v>
      </c>
      <c r="G68" s="20" t="s">
        <v>361</v>
      </c>
      <c r="I68" s="17">
        <f t="shared" si="4"/>
        <v>475.12457999999998</v>
      </c>
    </row>
    <row r="69" spans="1:9" x14ac:dyDescent="0.25">
      <c r="B69" s="20">
        <v>21598</v>
      </c>
      <c r="C69" s="128" t="s">
        <v>412</v>
      </c>
      <c r="D69" s="128" t="s">
        <v>394</v>
      </c>
      <c r="E69" s="20" t="s">
        <v>413</v>
      </c>
      <c r="F69" s="83">
        <v>3087.92</v>
      </c>
      <c r="G69" s="20" t="s">
        <v>361</v>
      </c>
      <c r="I69" s="17">
        <f t="shared" si="4"/>
        <v>477.08364</v>
      </c>
    </row>
    <row r="70" spans="1:9" x14ac:dyDescent="0.25">
      <c r="B70" s="20">
        <v>21611</v>
      </c>
      <c r="C70" s="128" t="s">
        <v>414</v>
      </c>
      <c r="D70" s="128" t="s">
        <v>394</v>
      </c>
      <c r="E70" s="20" t="s">
        <v>415</v>
      </c>
      <c r="F70" s="83">
        <v>3102.58</v>
      </c>
      <c r="G70" s="20" t="s">
        <v>361</v>
      </c>
      <c r="I70" s="17">
        <f t="shared" si="4"/>
        <v>479.34861000000001</v>
      </c>
    </row>
    <row r="71" spans="1:9" x14ac:dyDescent="0.25">
      <c r="B71" s="20">
        <v>21620</v>
      </c>
      <c r="C71" s="128" t="s">
        <v>416</v>
      </c>
      <c r="D71" s="128" t="s">
        <v>394</v>
      </c>
      <c r="E71" s="20" t="s">
        <v>417</v>
      </c>
      <c r="F71" s="20">
        <v>360</v>
      </c>
      <c r="G71" s="20" t="s">
        <v>361</v>
      </c>
      <c r="I71" s="17">
        <f t="shared" si="4"/>
        <v>55.62</v>
      </c>
    </row>
    <row r="72" spans="1:9" x14ac:dyDescent="0.25">
      <c r="B72" s="20">
        <v>21630</v>
      </c>
      <c r="C72" s="128" t="s">
        <v>418</v>
      </c>
      <c r="D72" s="128" t="s">
        <v>394</v>
      </c>
      <c r="E72" s="20" t="s">
        <v>419</v>
      </c>
      <c r="F72" s="20">
        <v>3098.47</v>
      </c>
      <c r="G72" s="20" t="s">
        <v>361</v>
      </c>
      <c r="I72" s="17">
        <f t="shared" si="4"/>
        <v>478.71361499999995</v>
      </c>
    </row>
    <row r="73" spans="1:9" x14ac:dyDescent="0.25">
      <c r="C73" s="128"/>
      <c r="D73" s="128"/>
      <c r="H73" s="20" t="s">
        <v>326</v>
      </c>
      <c r="I73" s="17">
        <f>SUM(I60:I72)</f>
        <v>5759.395379999999</v>
      </c>
    </row>
    <row r="74" spans="1:9" ht="60" x14ac:dyDescent="0.25">
      <c r="A74" s="11" t="s">
        <v>420</v>
      </c>
      <c r="C74" s="129"/>
      <c r="D74" s="129"/>
    </row>
    <row r="75" spans="1:9" x14ac:dyDescent="0.25">
      <c r="B75" s="20">
        <v>21398</v>
      </c>
      <c r="C75" s="20" t="s">
        <v>421</v>
      </c>
      <c r="D75" s="20" t="s">
        <v>422</v>
      </c>
      <c r="E75" s="20" t="s">
        <v>423</v>
      </c>
      <c r="F75" s="17">
        <v>1782.5</v>
      </c>
      <c r="G75" s="20" t="s">
        <v>424</v>
      </c>
      <c r="I75" s="17">
        <v>1782.5</v>
      </c>
    </row>
    <row r="76" spans="1:9" x14ac:dyDescent="0.25">
      <c r="B76" s="20">
        <v>21399</v>
      </c>
      <c r="C76" s="20" t="s">
        <v>425</v>
      </c>
      <c r="D76" s="20" t="s">
        <v>422</v>
      </c>
      <c r="E76" s="20" t="s">
        <v>426</v>
      </c>
      <c r="F76" s="17">
        <v>4063</v>
      </c>
      <c r="G76" s="20" t="s">
        <v>424</v>
      </c>
      <c r="I76" s="17">
        <v>4063</v>
      </c>
    </row>
    <row r="77" spans="1:9" x14ac:dyDescent="0.25">
      <c r="B77" s="20">
        <v>21428</v>
      </c>
      <c r="C77" s="20" t="s">
        <v>427</v>
      </c>
      <c r="D77" s="20" t="s">
        <v>422</v>
      </c>
      <c r="E77" s="20" t="s">
        <v>381</v>
      </c>
      <c r="F77" s="17">
        <v>1864</v>
      </c>
      <c r="G77" s="20" t="s">
        <v>424</v>
      </c>
      <c r="I77" s="17">
        <v>1864</v>
      </c>
    </row>
    <row r="78" spans="1:9" x14ac:dyDescent="0.25">
      <c r="B78" s="20">
        <v>21459</v>
      </c>
      <c r="C78" s="20" t="s">
        <v>428</v>
      </c>
      <c r="D78" s="20" t="s">
        <v>422</v>
      </c>
      <c r="E78" s="20" t="s">
        <v>381</v>
      </c>
      <c r="F78" s="17">
        <v>1884</v>
      </c>
      <c r="G78" s="20" t="s">
        <v>424</v>
      </c>
      <c r="I78" s="17">
        <v>1884</v>
      </c>
    </row>
    <row r="79" spans="1:9" x14ac:dyDescent="0.25">
      <c r="B79" s="20">
        <v>21474</v>
      </c>
      <c r="C79" s="20" t="s">
        <v>429</v>
      </c>
      <c r="D79" s="20" t="s">
        <v>422</v>
      </c>
      <c r="E79" s="20" t="s">
        <v>381</v>
      </c>
      <c r="F79" s="17">
        <v>1910</v>
      </c>
      <c r="G79" s="20" t="s">
        <v>424</v>
      </c>
      <c r="I79" s="17">
        <v>1910</v>
      </c>
    </row>
    <row r="80" spans="1:9" x14ac:dyDescent="0.25">
      <c r="B80" s="20">
        <v>21490</v>
      </c>
      <c r="C80" s="20" t="s">
        <v>430</v>
      </c>
      <c r="D80" s="20" t="s">
        <v>422</v>
      </c>
      <c r="E80" s="20" t="s">
        <v>381</v>
      </c>
      <c r="F80" s="17">
        <v>4020</v>
      </c>
      <c r="G80" s="20" t="s">
        <v>424</v>
      </c>
      <c r="I80" s="17">
        <v>4020</v>
      </c>
    </row>
    <row r="81" spans="1:9" x14ac:dyDescent="0.25">
      <c r="B81" s="20">
        <v>21511</v>
      </c>
      <c r="C81" s="20" t="s">
        <v>431</v>
      </c>
      <c r="D81" s="20" t="s">
        <v>422</v>
      </c>
      <c r="E81" s="20" t="s">
        <v>381</v>
      </c>
      <c r="F81" s="17">
        <v>6600</v>
      </c>
      <c r="G81" s="20" t="s">
        <v>424</v>
      </c>
      <c r="I81" s="17">
        <v>6600</v>
      </c>
    </row>
    <row r="82" spans="1:9" x14ac:dyDescent="0.25">
      <c r="B82" s="20">
        <v>21540</v>
      </c>
      <c r="C82" s="20" t="s">
        <v>432</v>
      </c>
      <c r="D82" s="20" t="s">
        <v>422</v>
      </c>
      <c r="E82" s="20" t="s">
        <v>381</v>
      </c>
      <c r="F82" s="17">
        <v>3317</v>
      </c>
      <c r="G82" s="20" t="s">
        <v>424</v>
      </c>
      <c r="I82" s="17">
        <v>3317</v>
      </c>
    </row>
    <row r="83" spans="1:9" x14ac:dyDescent="0.25">
      <c r="B83" s="20">
        <v>21550</v>
      </c>
      <c r="C83" s="20" t="s">
        <v>433</v>
      </c>
      <c r="D83" s="20" t="s">
        <v>422</v>
      </c>
      <c r="E83" s="20" t="s">
        <v>381</v>
      </c>
      <c r="F83" s="17">
        <v>2977</v>
      </c>
      <c r="G83" s="20" t="s">
        <v>424</v>
      </c>
      <c r="I83" s="17">
        <v>2977</v>
      </c>
    </row>
    <row r="84" spans="1:9" x14ac:dyDescent="0.25">
      <c r="B84" s="20">
        <v>21566</v>
      </c>
      <c r="C84" s="20" t="s">
        <v>434</v>
      </c>
      <c r="D84" s="20" t="s">
        <v>422</v>
      </c>
      <c r="E84" s="20" t="s">
        <v>435</v>
      </c>
      <c r="F84" s="17">
        <v>1442.5</v>
      </c>
      <c r="G84" s="20" t="s">
        <v>424</v>
      </c>
      <c r="I84" s="17">
        <v>1442.5</v>
      </c>
    </row>
    <row r="85" spans="1:9" x14ac:dyDescent="0.25">
      <c r="B85" s="20">
        <v>21599</v>
      </c>
      <c r="C85" s="20" t="s">
        <v>436</v>
      </c>
      <c r="D85" s="20" t="s">
        <v>422</v>
      </c>
      <c r="E85" s="20" t="s">
        <v>437</v>
      </c>
      <c r="F85" s="17">
        <v>1539</v>
      </c>
      <c r="G85" s="20" t="s">
        <v>424</v>
      </c>
      <c r="I85" s="17">
        <v>1539</v>
      </c>
    </row>
    <row r="86" spans="1:9" s="78" customFormat="1" x14ac:dyDescent="0.25">
      <c r="A86" s="125"/>
      <c r="B86" s="78">
        <v>21615</v>
      </c>
      <c r="C86" s="78" t="s">
        <v>438</v>
      </c>
      <c r="D86" s="78" t="s">
        <v>422</v>
      </c>
      <c r="E86" s="78" t="s">
        <v>381</v>
      </c>
      <c r="F86" s="101">
        <v>1366.5</v>
      </c>
      <c r="G86" s="78" t="s">
        <v>424</v>
      </c>
      <c r="I86" s="130">
        <v>1366.5</v>
      </c>
    </row>
    <row r="87" spans="1:9" x14ac:dyDescent="0.25">
      <c r="B87" s="20">
        <v>21633</v>
      </c>
      <c r="C87" s="20" t="s">
        <v>439</v>
      </c>
      <c r="D87" s="20" t="s">
        <v>422</v>
      </c>
      <c r="E87" s="20" t="s">
        <v>440</v>
      </c>
      <c r="F87" s="17">
        <v>4686.5</v>
      </c>
      <c r="G87" s="20" t="s">
        <v>424</v>
      </c>
      <c r="I87" s="17">
        <v>4686.5</v>
      </c>
    </row>
    <row r="88" spans="1:9" x14ac:dyDescent="0.25">
      <c r="B88" s="78"/>
      <c r="H88" s="20" t="s">
        <v>326</v>
      </c>
      <c r="I88" s="48">
        <f>SUM(I75:I87)</f>
        <v>37452</v>
      </c>
    </row>
    <row r="89" spans="1:9" x14ac:dyDescent="0.25">
      <c r="B89" s="78"/>
    </row>
    <row r="90" spans="1:9" x14ac:dyDescent="0.25">
      <c r="B90" s="78"/>
      <c r="F90" s="121"/>
      <c r="I90" s="17"/>
    </row>
    <row r="91" spans="1:9" ht="30" x14ac:dyDescent="0.25">
      <c r="A91" s="11" t="s">
        <v>441</v>
      </c>
      <c r="B91" s="78"/>
      <c r="F91" s="121"/>
      <c r="H91" s="20" t="s">
        <v>442</v>
      </c>
      <c r="I91" s="17">
        <f>I17+I33+I48+I57+I73+I88</f>
        <v>49974.876225</v>
      </c>
    </row>
    <row r="92" spans="1:9" x14ac:dyDescent="0.25">
      <c r="B92" s="78"/>
      <c r="F92" s="121"/>
      <c r="I92" s="17"/>
    </row>
    <row r="93" spans="1:9" x14ac:dyDescent="0.25">
      <c r="A93" s="11" t="s">
        <v>443</v>
      </c>
      <c r="B93" s="78"/>
      <c r="F93" s="121">
        <v>6096.66</v>
      </c>
      <c r="G93" s="20" t="s">
        <v>361</v>
      </c>
      <c r="I93" s="17">
        <f>F93*0.1545</f>
        <v>941.93396999999993</v>
      </c>
    </row>
    <row r="94" spans="1:9" x14ac:dyDescent="0.25">
      <c r="F94" s="121"/>
    </row>
    <row r="95" spans="1:9" ht="30" x14ac:dyDescent="0.25">
      <c r="A95" s="11" t="s">
        <v>444</v>
      </c>
      <c r="F95" s="20">
        <v>710.43</v>
      </c>
      <c r="G95" s="20" t="s">
        <v>331</v>
      </c>
      <c r="I95" s="17">
        <f>F95*0.1545</f>
        <v>109.76143499999999</v>
      </c>
    </row>
    <row r="97" spans="1:9" ht="30" x14ac:dyDescent="0.25">
      <c r="A97" s="11" t="s">
        <v>445</v>
      </c>
    </row>
    <row r="98" spans="1:9" x14ac:dyDescent="0.25">
      <c r="C98" s="20" t="s">
        <v>446</v>
      </c>
      <c r="D98" s="20" t="s">
        <v>447</v>
      </c>
      <c r="E98" s="20" t="s">
        <v>448</v>
      </c>
      <c r="F98" s="83">
        <v>660</v>
      </c>
      <c r="G98" s="20" t="s">
        <v>449</v>
      </c>
      <c r="I98" s="17">
        <v>193.2</v>
      </c>
    </row>
    <row r="99" spans="1:9" x14ac:dyDescent="0.25">
      <c r="C99" s="20" t="s">
        <v>450</v>
      </c>
      <c r="D99" s="20" t="s">
        <v>447</v>
      </c>
      <c r="E99" s="20" t="s">
        <v>451</v>
      </c>
      <c r="F99" s="83">
        <v>30</v>
      </c>
      <c r="I99" s="17"/>
    </row>
    <row r="100" spans="1:9" x14ac:dyDescent="0.25">
      <c r="C100" s="20" t="s">
        <v>452</v>
      </c>
      <c r="D100" s="20" t="s">
        <v>447</v>
      </c>
      <c r="E100" s="20" t="s">
        <v>453</v>
      </c>
      <c r="F100" s="83">
        <v>30</v>
      </c>
      <c r="I100" s="17"/>
    </row>
    <row r="101" spans="1:9" x14ac:dyDescent="0.25">
      <c r="C101" s="20" t="s">
        <v>454</v>
      </c>
      <c r="D101" s="20" t="s">
        <v>447</v>
      </c>
      <c r="E101" s="20" t="s">
        <v>455</v>
      </c>
      <c r="F101" s="83">
        <v>30</v>
      </c>
      <c r="I101" s="17"/>
    </row>
    <row r="102" spans="1:9" x14ac:dyDescent="0.25">
      <c r="C102" s="20" t="s">
        <v>456</v>
      </c>
      <c r="D102" s="20" t="s">
        <v>457</v>
      </c>
      <c r="E102" s="20" t="s">
        <v>458</v>
      </c>
      <c r="F102" s="83">
        <v>2820</v>
      </c>
      <c r="G102" s="83" t="s">
        <v>361</v>
      </c>
      <c r="H102" s="83"/>
      <c r="I102" s="17">
        <f>F102*0.1545</f>
        <v>435.69</v>
      </c>
    </row>
    <row r="103" spans="1:9" x14ac:dyDescent="0.25">
      <c r="C103" s="20" t="s">
        <v>459</v>
      </c>
      <c r="D103" s="20" t="s">
        <v>457</v>
      </c>
      <c r="E103" s="20" t="s">
        <v>460</v>
      </c>
      <c r="F103" s="83">
        <v>500</v>
      </c>
      <c r="G103" s="83" t="s">
        <v>361</v>
      </c>
      <c r="H103" s="83"/>
      <c r="I103" s="17">
        <f t="shared" ref="I103:I105" si="5">F103*0.1545</f>
        <v>77.25</v>
      </c>
    </row>
    <row r="104" spans="1:9" x14ac:dyDescent="0.25">
      <c r="C104" s="20" t="s">
        <v>461</v>
      </c>
      <c r="D104" s="20" t="s">
        <v>457</v>
      </c>
      <c r="E104" s="20" t="s">
        <v>462</v>
      </c>
      <c r="F104" s="83">
        <v>250</v>
      </c>
      <c r="G104" s="83" t="s">
        <v>361</v>
      </c>
      <c r="H104" s="83"/>
      <c r="I104" s="17">
        <f t="shared" si="5"/>
        <v>38.625</v>
      </c>
    </row>
    <row r="105" spans="1:9" x14ac:dyDescent="0.25">
      <c r="C105" s="20" t="s">
        <v>463</v>
      </c>
      <c r="D105" s="20" t="s">
        <v>457</v>
      </c>
      <c r="E105" s="20" t="s">
        <v>381</v>
      </c>
      <c r="F105" s="83">
        <v>1850</v>
      </c>
      <c r="G105" s="83" t="s">
        <v>361</v>
      </c>
      <c r="H105" s="83"/>
      <c r="I105" s="17">
        <f t="shared" si="5"/>
        <v>285.82499999999999</v>
      </c>
    </row>
    <row r="106" spans="1:9" x14ac:dyDescent="0.25">
      <c r="H106" s="20" t="s">
        <v>464</v>
      </c>
      <c r="I106" s="17">
        <f>SUM(I93:I105)</f>
        <v>2082.2854050000001</v>
      </c>
    </row>
    <row r="109" spans="1:9" x14ac:dyDescent="0.25">
      <c r="F109" s="48"/>
      <c r="I109" s="4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B8388-4181-40FD-A11D-42A1A7A7EE65}">
  <dimension ref="A1:V34"/>
  <sheetViews>
    <sheetView topLeftCell="A4" workbookViewId="0">
      <selection activeCell="E28" sqref="E28"/>
    </sheetView>
  </sheetViews>
  <sheetFormatPr defaultRowHeight="15" x14ac:dyDescent="0.25"/>
  <cols>
    <col min="1" max="1" width="14.85546875" style="108" customWidth="1"/>
    <col min="2" max="2" width="22.42578125" style="106" customWidth="1"/>
    <col min="3" max="3" width="10.7109375" style="115" bestFit="1" customWidth="1"/>
    <col min="5" max="5" width="61.140625" customWidth="1"/>
    <col min="8" max="8" width="36.28515625" customWidth="1"/>
  </cols>
  <sheetData>
    <row r="1" spans="1:9" s="20" customFormat="1" x14ac:dyDescent="0.25">
      <c r="A1" s="108" t="s">
        <v>277</v>
      </c>
      <c r="B1" s="106"/>
      <c r="C1" s="115"/>
    </row>
    <row r="2" spans="1:9" x14ac:dyDescent="0.25">
      <c r="A2" s="108">
        <v>30</v>
      </c>
      <c r="B2" s="106" t="s">
        <v>265</v>
      </c>
      <c r="C2" s="115">
        <v>43903</v>
      </c>
      <c r="E2" t="s">
        <v>267</v>
      </c>
      <c r="G2" t="s">
        <v>266</v>
      </c>
      <c r="I2">
        <v>22700</v>
      </c>
    </row>
    <row r="3" spans="1:9" x14ac:dyDescent="0.25">
      <c r="A3" s="108">
        <v>32</v>
      </c>
      <c r="B3" s="106" t="s">
        <v>265</v>
      </c>
      <c r="C3" s="115">
        <v>43914</v>
      </c>
      <c r="E3" t="s">
        <v>268</v>
      </c>
      <c r="G3" t="s">
        <v>266</v>
      </c>
      <c r="I3">
        <v>3600</v>
      </c>
    </row>
    <row r="4" spans="1:9" x14ac:dyDescent="0.25">
      <c r="A4" s="108">
        <v>38</v>
      </c>
      <c r="B4" s="106" t="s">
        <v>265</v>
      </c>
      <c r="C4" s="115">
        <v>43951</v>
      </c>
      <c r="E4" t="s">
        <v>269</v>
      </c>
      <c r="G4" t="s">
        <v>266</v>
      </c>
      <c r="I4">
        <v>10800</v>
      </c>
    </row>
    <row r="5" spans="1:9" x14ac:dyDescent="0.25">
      <c r="A5" s="108">
        <v>43</v>
      </c>
      <c r="B5" s="106" t="s">
        <v>265</v>
      </c>
      <c r="C5" s="115">
        <v>43987</v>
      </c>
      <c r="E5" t="s">
        <v>270</v>
      </c>
      <c r="G5" t="s">
        <v>266</v>
      </c>
      <c r="I5">
        <v>3750</v>
      </c>
    </row>
    <row r="6" spans="1:9" x14ac:dyDescent="0.25">
      <c r="A6" s="108">
        <v>45</v>
      </c>
      <c r="B6" s="106" t="s">
        <v>265</v>
      </c>
      <c r="C6" s="115">
        <v>44006</v>
      </c>
      <c r="E6" t="s">
        <v>271</v>
      </c>
      <c r="G6" t="s">
        <v>266</v>
      </c>
      <c r="I6">
        <v>3600</v>
      </c>
    </row>
    <row r="7" spans="1:9" x14ac:dyDescent="0.25">
      <c r="A7" s="108">
        <v>50</v>
      </c>
      <c r="B7" s="106" t="s">
        <v>265</v>
      </c>
      <c r="C7" s="115">
        <v>44039</v>
      </c>
      <c r="E7" t="s">
        <v>272</v>
      </c>
      <c r="G7" t="s">
        <v>266</v>
      </c>
      <c r="I7">
        <v>11350</v>
      </c>
    </row>
    <row r="8" spans="1:9" x14ac:dyDescent="0.25">
      <c r="A8" s="108">
        <v>56</v>
      </c>
      <c r="B8" s="106" t="s">
        <v>265</v>
      </c>
      <c r="C8" s="115">
        <v>44074</v>
      </c>
      <c r="E8" t="s">
        <v>273</v>
      </c>
      <c r="G8" t="s">
        <v>266</v>
      </c>
      <c r="I8">
        <v>3600</v>
      </c>
    </row>
    <row r="9" spans="1:9" x14ac:dyDescent="0.25">
      <c r="A9" s="108">
        <v>64</v>
      </c>
      <c r="B9" s="106" t="s">
        <v>265</v>
      </c>
      <c r="C9" s="115">
        <v>44135</v>
      </c>
      <c r="E9" t="s">
        <v>274</v>
      </c>
      <c r="G9" t="s">
        <v>266</v>
      </c>
      <c r="I9">
        <v>3600</v>
      </c>
    </row>
    <row r="10" spans="1:9" x14ac:dyDescent="0.25">
      <c r="A10" s="108">
        <v>66</v>
      </c>
      <c r="B10" s="106" t="s">
        <v>265</v>
      </c>
      <c r="C10" s="115">
        <v>44165</v>
      </c>
      <c r="E10" t="s">
        <v>275</v>
      </c>
      <c r="G10" t="s">
        <v>266</v>
      </c>
      <c r="I10">
        <v>11350</v>
      </c>
    </row>
    <row r="11" spans="1:9" x14ac:dyDescent="0.25">
      <c r="A11" s="108">
        <v>70</v>
      </c>
      <c r="B11" s="106" t="s">
        <v>265</v>
      </c>
      <c r="C11" s="115">
        <v>44196</v>
      </c>
      <c r="E11" t="s">
        <v>276</v>
      </c>
      <c r="G11" t="s">
        <v>266</v>
      </c>
      <c r="I11">
        <v>850</v>
      </c>
    </row>
    <row r="12" spans="1:9" x14ac:dyDescent="0.25">
      <c r="I12">
        <f>SUM(I2:I11)</f>
        <v>75200</v>
      </c>
    </row>
    <row r="15" spans="1:9" x14ac:dyDescent="0.25">
      <c r="A15" s="100"/>
      <c r="B15" s="153"/>
      <c r="C15" s="78"/>
      <c r="D15" s="78"/>
      <c r="E15" s="78"/>
      <c r="F15" s="78"/>
      <c r="G15" s="78"/>
      <c r="H15" s="78"/>
      <c r="I15" s="78"/>
    </row>
    <row r="16" spans="1:9" x14ac:dyDescent="0.25">
      <c r="A16" s="154"/>
      <c r="B16" s="78"/>
      <c r="C16" s="153"/>
      <c r="D16" s="78"/>
      <c r="E16" s="78"/>
      <c r="F16" s="78"/>
      <c r="G16" s="78"/>
      <c r="H16" s="78"/>
      <c r="I16" s="78"/>
    </row>
    <row r="17" spans="1:9" x14ac:dyDescent="0.25">
      <c r="A17" s="154"/>
      <c r="B17" s="78"/>
      <c r="C17" s="153"/>
      <c r="D17" s="78"/>
      <c r="E17" s="78"/>
      <c r="F17" s="78"/>
      <c r="G17" s="78"/>
      <c r="H17" s="78"/>
      <c r="I17" s="78"/>
    </row>
    <row r="18" spans="1:9" x14ac:dyDescent="0.25">
      <c r="A18" s="154"/>
      <c r="B18" s="78"/>
      <c r="C18" s="153"/>
      <c r="D18" s="78"/>
      <c r="E18" s="78"/>
      <c r="F18" s="78"/>
      <c r="G18" s="78"/>
      <c r="H18" s="78"/>
      <c r="I18" s="78"/>
    </row>
    <row r="19" spans="1:9" x14ac:dyDescent="0.25">
      <c r="A19" s="154"/>
      <c r="B19" s="78"/>
      <c r="C19" s="153"/>
      <c r="D19" s="78"/>
      <c r="E19" s="78"/>
      <c r="F19" s="78"/>
      <c r="G19" s="78"/>
      <c r="H19" s="78"/>
      <c r="I19" s="78"/>
    </row>
    <row r="20" spans="1:9" x14ac:dyDescent="0.25">
      <c r="A20" s="154"/>
      <c r="B20" s="78"/>
      <c r="C20" s="153"/>
      <c r="D20" s="78"/>
      <c r="E20" s="78"/>
      <c r="F20" s="78"/>
      <c r="G20" s="78"/>
      <c r="H20" s="78"/>
      <c r="I20" s="78"/>
    </row>
    <row r="21" spans="1:9" x14ac:dyDescent="0.25">
      <c r="A21" s="154"/>
      <c r="B21" s="78"/>
      <c r="C21" s="153"/>
      <c r="D21" s="78"/>
      <c r="E21" s="78"/>
      <c r="F21" s="78"/>
      <c r="G21" s="78"/>
      <c r="H21" s="78"/>
      <c r="I21" s="78"/>
    </row>
    <row r="22" spans="1:9" x14ac:dyDescent="0.25">
      <c r="A22" s="154"/>
      <c r="B22" s="78"/>
      <c r="C22" s="153"/>
      <c r="D22" s="78"/>
      <c r="E22" s="78"/>
      <c r="F22" s="78"/>
      <c r="G22" s="78"/>
      <c r="H22" s="78"/>
      <c r="I22" s="78"/>
    </row>
    <row r="23" spans="1:9" x14ac:dyDescent="0.25">
      <c r="A23" s="154"/>
      <c r="B23" s="78"/>
      <c r="C23" s="153"/>
      <c r="D23" s="78"/>
      <c r="E23" s="78"/>
      <c r="F23" s="78"/>
      <c r="G23" s="78"/>
      <c r="H23" s="78"/>
      <c r="I23" s="78"/>
    </row>
    <row r="24" spans="1:9" x14ac:dyDescent="0.25">
      <c r="A24" s="154"/>
      <c r="B24" s="78"/>
      <c r="C24" s="153"/>
      <c r="D24" s="78"/>
      <c r="E24" s="78"/>
      <c r="F24" s="78"/>
      <c r="G24" s="78"/>
      <c r="H24" s="78"/>
      <c r="I24" s="78"/>
    </row>
    <row r="25" spans="1:9" x14ac:dyDescent="0.25">
      <c r="A25" s="154"/>
      <c r="B25" s="78"/>
      <c r="C25" s="153"/>
      <c r="D25" s="78"/>
      <c r="E25" s="78"/>
      <c r="F25" s="78"/>
      <c r="G25" s="78"/>
      <c r="H25" s="78"/>
      <c r="I25" s="78"/>
    </row>
    <row r="26" spans="1:9" x14ac:dyDescent="0.25">
      <c r="A26" s="154"/>
      <c r="B26" s="78"/>
      <c r="C26" s="153"/>
      <c r="D26" s="78"/>
      <c r="E26" s="78"/>
      <c r="F26" s="78"/>
      <c r="G26" s="78"/>
      <c r="H26" s="78"/>
      <c r="I26" s="78"/>
    </row>
    <row r="27" spans="1:9" x14ac:dyDescent="0.25">
      <c r="A27" s="154"/>
      <c r="B27" s="78"/>
      <c r="C27" s="153"/>
      <c r="D27" s="78"/>
      <c r="E27" s="78"/>
      <c r="F27" s="78"/>
      <c r="G27" s="78"/>
      <c r="H27" s="78"/>
      <c r="I27" s="78"/>
    </row>
    <row r="28" spans="1:9" x14ac:dyDescent="0.25">
      <c r="A28" s="154"/>
      <c r="B28" s="78"/>
      <c r="C28" s="153"/>
      <c r="D28" s="78"/>
      <c r="E28" s="78"/>
      <c r="F28" s="78"/>
      <c r="G28" s="78"/>
      <c r="H28" s="78"/>
      <c r="I28" s="78"/>
    </row>
    <row r="29" spans="1:9" x14ac:dyDescent="0.25">
      <c r="A29" s="154"/>
      <c r="B29" s="78"/>
      <c r="C29" s="153"/>
      <c r="D29" s="78"/>
      <c r="E29" s="78"/>
      <c r="F29" s="78"/>
      <c r="G29" s="78"/>
      <c r="H29" s="78"/>
      <c r="I29" s="78"/>
    </row>
    <row r="30" spans="1:9" x14ac:dyDescent="0.25">
      <c r="A30" s="154"/>
      <c r="B30" s="78"/>
      <c r="C30" s="153"/>
      <c r="D30" s="78"/>
      <c r="E30" s="78"/>
      <c r="F30" s="78"/>
      <c r="G30" s="78"/>
      <c r="H30" s="78"/>
      <c r="I30" s="78"/>
    </row>
    <row r="31" spans="1:9" x14ac:dyDescent="0.25">
      <c r="A31" s="154"/>
      <c r="B31" s="78"/>
      <c r="C31" s="153"/>
      <c r="D31" s="78"/>
      <c r="E31" s="78"/>
      <c r="F31" s="78"/>
      <c r="G31" s="78"/>
      <c r="H31" s="78"/>
      <c r="I31" s="78"/>
    </row>
    <row r="32" spans="1:9" x14ac:dyDescent="0.25">
      <c r="A32" s="154"/>
      <c r="B32" s="78"/>
      <c r="C32" s="153"/>
      <c r="D32" s="78"/>
      <c r="E32" s="78"/>
      <c r="F32" s="78"/>
      <c r="G32" s="78"/>
      <c r="H32" s="78"/>
      <c r="I32" s="78"/>
    </row>
    <row r="33" spans="1:22" x14ac:dyDescent="0.25">
      <c r="A33" s="154"/>
      <c r="B33" s="78"/>
      <c r="C33" s="153"/>
      <c r="D33" s="78"/>
      <c r="E33" s="78"/>
      <c r="F33" s="78"/>
      <c r="G33" s="78"/>
      <c r="H33" s="78"/>
      <c r="I33" s="78"/>
    </row>
    <row r="34" spans="1:22" x14ac:dyDescent="0.25">
      <c r="A34" s="100"/>
      <c r="B34" s="153"/>
      <c r="C34" s="78"/>
      <c r="D34" s="78"/>
      <c r="E34" s="78"/>
      <c r="F34" s="78"/>
      <c r="G34" s="78"/>
      <c r="H34" s="78"/>
      <c r="I34" s="78"/>
      <c r="T34">
        <v>0</v>
      </c>
      <c r="V34">
        <v>94967.83</v>
      </c>
    </row>
  </sheetData>
  <pageMargins left="0.7" right="0.7" top="0.75" bottom="0.75" header="0.3" footer="0.3"/>
  <pageSetup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35B0C-916C-4A19-83BA-CC9E4462B625}">
  <dimension ref="A1:C14"/>
  <sheetViews>
    <sheetView workbookViewId="0">
      <selection activeCell="N32" sqref="N32"/>
    </sheetView>
  </sheetViews>
  <sheetFormatPr defaultRowHeight="15" x14ac:dyDescent="0.25"/>
  <cols>
    <col min="1" max="1" width="9.140625" style="96"/>
    <col min="2" max="2" width="11.85546875" style="44" customWidth="1"/>
    <col min="3" max="3" width="12.5703125" style="17" customWidth="1"/>
  </cols>
  <sheetData>
    <row r="1" spans="1:3" x14ac:dyDescent="0.25">
      <c r="A1" s="97" t="s">
        <v>159</v>
      </c>
      <c r="B1" s="112" t="s">
        <v>160</v>
      </c>
      <c r="C1" s="63" t="s">
        <v>253</v>
      </c>
    </row>
    <row r="2" spans="1:3" x14ac:dyDescent="0.25">
      <c r="A2" s="96" t="s">
        <v>254</v>
      </c>
      <c r="B2" s="44">
        <v>126300</v>
      </c>
      <c r="C2" s="17">
        <v>1031.42</v>
      </c>
    </row>
    <row r="3" spans="1:3" x14ac:dyDescent="0.25">
      <c r="A3" s="96" t="s">
        <v>255</v>
      </c>
      <c r="B3" s="44">
        <v>112200</v>
      </c>
      <c r="C3" s="17">
        <v>991.63</v>
      </c>
    </row>
    <row r="4" spans="1:3" x14ac:dyDescent="0.25">
      <c r="A4" s="96" t="s">
        <v>256</v>
      </c>
      <c r="B4" s="44">
        <v>54500</v>
      </c>
      <c r="C4" s="17">
        <v>456.73</v>
      </c>
    </row>
    <row r="5" spans="1:3" x14ac:dyDescent="0.25">
      <c r="A5" s="96" t="s">
        <v>257</v>
      </c>
      <c r="B5" s="44">
        <v>97600</v>
      </c>
      <c r="C5" s="17">
        <v>534.41999999999996</v>
      </c>
    </row>
    <row r="6" spans="1:3" x14ac:dyDescent="0.25">
      <c r="A6" s="96" t="s">
        <v>148</v>
      </c>
      <c r="B6" s="44">
        <v>54200</v>
      </c>
      <c r="C6" s="17">
        <v>402.83</v>
      </c>
    </row>
    <row r="7" spans="1:3" x14ac:dyDescent="0.25">
      <c r="A7" s="96" t="s">
        <v>258</v>
      </c>
      <c r="B7" s="44">
        <v>147000</v>
      </c>
      <c r="C7" s="17">
        <v>1169.42</v>
      </c>
    </row>
    <row r="8" spans="1:3" x14ac:dyDescent="0.25">
      <c r="A8" s="96" t="s">
        <v>150</v>
      </c>
      <c r="B8" s="44">
        <v>193100</v>
      </c>
      <c r="C8" s="17">
        <v>1250.6300000000001</v>
      </c>
    </row>
    <row r="9" spans="1:3" x14ac:dyDescent="0.25">
      <c r="A9" s="96" t="s">
        <v>259</v>
      </c>
      <c r="B9" s="44">
        <v>312600</v>
      </c>
      <c r="C9" s="17">
        <v>1946.34</v>
      </c>
    </row>
    <row r="10" spans="1:3" x14ac:dyDescent="0.25">
      <c r="A10" s="96" t="s">
        <v>260</v>
      </c>
      <c r="B10" s="44">
        <v>326300</v>
      </c>
      <c r="C10" s="17">
        <v>2471.09</v>
      </c>
    </row>
    <row r="11" spans="1:3" x14ac:dyDescent="0.25">
      <c r="A11" s="96" t="s">
        <v>261</v>
      </c>
      <c r="B11" s="44">
        <v>135500</v>
      </c>
      <c r="C11" s="17">
        <v>1082.3800000000001</v>
      </c>
    </row>
    <row r="12" spans="1:3" x14ac:dyDescent="0.25">
      <c r="A12" s="96" t="s">
        <v>262</v>
      </c>
      <c r="B12" s="44">
        <v>415600</v>
      </c>
      <c r="C12" s="17">
        <v>2506.39</v>
      </c>
    </row>
    <row r="13" spans="1:3" x14ac:dyDescent="0.25">
      <c r="A13" s="96" t="s">
        <v>263</v>
      </c>
      <c r="B13" s="44">
        <v>191300</v>
      </c>
      <c r="C13" s="17">
        <v>1493.57</v>
      </c>
    </row>
    <row r="14" spans="1:3" x14ac:dyDescent="0.25">
      <c r="B14" s="44">
        <f>SUM(B2:B13)</f>
        <v>2166200</v>
      </c>
      <c r="C14" s="17">
        <f>SUM(C2:C13)</f>
        <v>15336.850000000002</v>
      </c>
    </row>
  </sheetData>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8EE1F-A3C8-4497-90D0-F03F690D5A31}">
  <dimension ref="A1:F23"/>
  <sheetViews>
    <sheetView tabSelected="1" workbookViewId="0">
      <selection activeCell="J12" sqref="J12"/>
    </sheetView>
  </sheetViews>
  <sheetFormatPr defaultRowHeight="15" x14ac:dyDescent="0.25"/>
  <cols>
    <col min="1" max="1" width="12.7109375" style="147" customWidth="1"/>
    <col min="2" max="2" width="31" style="147" customWidth="1"/>
    <col min="3" max="3" width="13.5703125" style="156" customWidth="1"/>
    <col min="4" max="4" width="11.28515625" style="20" customWidth="1"/>
    <col min="5" max="5" width="9.140625" style="20"/>
    <col min="6" max="6" width="24" style="20" customWidth="1"/>
    <col min="7" max="16384" width="9.140625" style="20"/>
  </cols>
  <sheetData>
    <row r="1" spans="1:6" x14ac:dyDescent="0.25">
      <c r="A1" s="148" t="s">
        <v>118</v>
      </c>
      <c r="B1" s="148" t="s">
        <v>497</v>
      </c>
      <c r="C1" s="155" t="s">
        <v>498</v>
      </c>
      <c r="D1" s="148" t="s">
        <v>253</v>
      </c>
      <c r="E1" s="148" t="s">
        <v>499</v>
      </c>
      <c r="F1" s="148" t="s">
        <v>500</v>
      </c>
    </row>
    <row r="2" spans="1:6" x14ac:dyDescent="0.25">
      <c r="A2" s="147" t="s">
        <v>501</v>
      </c>
      <c r="B2" s="147" t="s">
        <v>502</v>
      </c>
      <c r="C2" s="156">
        <v>44001</v>
      </c>
      <c r="D2" s="80">
        <v>2175</v>
      </c>
      <c r="E2" s="20">
        <v>11183</v>
      </c>
      <c r="F2" s="147" t="s">
        <v>503</v>
      </c>
    </row>
    <row r="3" spans="1:6" x14ac:dyDescent="0.25">
      <c r="A3" s="147" t="s">
        <v>501</v>
      </c>
      <c r="B3" s="147" t="s">
        <v>502</v>
      </c>
      <c r="C3" s="156">
        <v>44001</v>
      </c>
      <c r="D3" s="80">
        <v>1000</v>
      </c>
      <c r="E3" s="20">
        <v>11185</v>
      </c>
      <c r="F3" s="147" t="s">
        <v>503</v>
      </c>
    </row>
    <row r="4" spans="1:6" x14ac:dyDescent="0.25">
      <c r="A4" s="147" t="s">
        <v>501</v>
      </c>
      <c r="B4" s="147" t="s">
        <v>502</v>
      </c>
      <c r="C4" s="156">
        <v>44155</v>
      </c>
      <c r="D4" s="80">
        <v>2175</v>
      </c>
      <c r="E4" s="20">
        <v>11556</v>
      </c>
      <c r="F4" s="147" t="s">
        <v>503</v>
      </c>
    </row>
    <row r="5" spans="1:6" x14ac:dyDescent="0.25">
      <c r="A5" s="147" t="s">
        <v>501</v>
      </c>
      <c r="B5" s="147" t="s">
        <v>502</v>
      </c>
      <c r="C5" s="156">
        <v>43518</v>
      </c>
      <c r="D5" s="80">
        <v>3645</v>
      </c>
      <c r="E5" s="20">
        <v>10116</v>
      </c>
      <c r="F5" s="147" t="s">
        <v>503</v>
      </c>
    </row>
    <row r="6" spans="1:6" x14ac:dyDescent="0.25">
      <c r="A6" s="147" t="s">
        <v>501</v>
      </c>
      <c r="B6" s="147" t="s">
        <v>502</v>
      </c>
      <c r="C6" s="156">
        <v>43630</v>
      </c>
      <c r="D6" s="80">
        <v>1425</v>
      </c>
      <c r="E6" s="20">
        <v>10346</v>
      </c>
      <c r="F6" s="147" t="s">
        <v>503</v>
      </c>
    </row>
    <row r="7" spans="1:6" x14ac:dyDescent="0.25">
      <c r="A7" s="147" t="s">
        <v>501</v>
      </c>
      <c r="B7" s="147" t="s">
        <v>502</v>
      </c>
      <c r="C7" s="156">
        <v>43819</v>
      </c>
      <c r="D7" s="80">
        <v>2700</v>
      </c>
      <c r="E7" s="20">
        <v>10812</v>
      </c>
      <c r="F7" s="147" t="s">
        <v>503</v>
      </c>
    </row>
    <row r="8" spans="1:6" x14ac:dyDescent="0.25">
      <c r="A8" s="147" t="s">
        <v>504</v>
      </c>
      <c r="B8" s="147" t="s">
        <v>502</v>
      </c>
      <c r="C8" s="156">
        <v>44001</v>
      </c>
      <c r="D8" s="80">
        <v>500</v>
      </c>
      <c r="E8" s="20">
        <v>36603</v>
      </c>
      <c r="F8" s="147" t="s">
        <v>503</v>
      </c>
    </row>
    <row r="9" spans="1:6" x14ac:dyDescent="0.25">
      <c r="A9" s="147" t="s">
        <v>504</v>
      </c>
      <c r="B9" s="147" t="s">
        <v>502</v>
      </c>
      <c r="C9" s="156">
        <v>43819</v>
      </c>
      <c r="D9" s="80">
        <v>1250</v>
      </c>
      <c r="E9" s="20">
        <v>35532</v>
      </c>
      <c r="F9" s="147" t="s">
        <v>503</v>
      </c>
    </row>
    <row r="10" spans="1:6" x14ac:dyDescent="0.25">
      <c r="A10" s="147" t="s">
        <v>501</v>
      </c>
      <c r="B10" s="147" t="s">
        <v>505</v>
      </c>
      <c r="C10" s="156">
        <v>44112</v>
      </c>
      <c r="D10" s="80">
        <v>400</v>
      </c>
      <c r="E10" s="20">
        <v>11449</v>
      </c>
      <c r="F10" s="147" t="s">
        <v>506</v>
      </c>
    </row>
    <row r="11" spans="1:6" x14ac:dyDescent="0.25">
      <c r="A11" s="147" t="s">
        <v>501</v>
      </c>
      <c r="B11" s="147" t="s">
        <v>505</v>
      </c>
      <c r="C11" s="156">
        <v>44120</v>
      </c>
      <c r="D11" s="80">
        <v>100</v>
      </c>
      <c r="E11" s="20">
        <v>11471</v>
      </c>
      <c r="F11" s="147" t="s">
        <v>506</v>
      </c>
    </row>
    <row r="12" spans="1:6" x14ac:dyDescent="0.25">
      <c r="A12" s="147" t="s">
        <v>501</v>
      </c>
      <c r="B12" s="147" t="s">
        <v>505</v>
      </c>
      <c r="C12" s="156">
        <v>43580</v>
      </c>
      <c r="D12" s="80">
        <v>400</v>
      </c>
      <c r="E12" s="20">
        <v>10241</v>
      </c>
      <c r="F12" s="147" t="s">
        <v>506</v>
      </c>
    </row>
    <row r="13" spans="1:6" x14ac:dyDescent="0.25">
      <c r="A13" s="147" t="s">
        <v>501</v>
      </c>
      <c r="B13" s="147" t="s">
        <v>505</v>
      </c>
      <c r="C13" s="156">
        <v>43616</v>
      </c>
      <c r="D13" s="80">
        <v>1425</v>
      </c>
      <c r="E13" s="20">
        <v>10346</v>
      </c>
      <c r="F13" s="147" t="s">
        <v>506</v>
      </c>
    </row>
    <row r="14" spans="1:6" x14ac:dyDescent="0.25">
      <c r="A14" s="147" t="s">
        <v>501</v>
      </c>
      <c r="B14" s="147" t="s">
        <v>505</v>
      </c>
      <c r="C14" s="156">
        <v>43714</v>
      </c>
      <c r="D14" s="80">
        <v>700</v>
      </c>
      <c r="E14" s="20">
        <v>10584</v>
      </c>
      <c r="F14" s="147" t="s">
        <v>506</v>
      </c>
    </row>
    <row r="15" spans="1:6" x14ac:dyDescent="0.25">
      <c r="A15" s="147" t="s">
        <v>501</v>
      </c>
      <c r="B15" s="147" t="s">
        <v>505</v>
      </c>
      <c r="C15" s="156">
        <v>43791</v>
      </c>
      <c r="D15" s="80">
        <v>400</v>
      </c>
      <c r="E15" s="20">
        <v>10736</v>
      </c>
      <c r="F15" s="147" t="s">
        <v>506</v>
      </c>
    </row>
    <row r="16" spans="1:6" x14ac:dyDescent="0.25">
      <c r="A16" s="147" t="s">
        <v>501</v>
      </c>
      <c r="B16" s="147" t="s">
        <v>507</v>
      </c>
      <c r="C16" s="156">
        <v>44274</v>
      </c>
      <c r="D16" s="80">
        <v>600</v>
      </c>
      <c r="E16" s="20">
        <v>11859</v>
      </c>
      <c r="F16" s="147" t="s">
        <v>506</v>
      </c>
    </row>
    <row r="17" spans="1:6" x14ac:dyDescent="0.25">
      <c r="A17" s="147" t="s">
        <v>501</v>
      </c>
      <c r="B17" s="147" t="s">
        <v>507</v>
      </c>
      <c r="C17" s="156">
        <v>44372</v>
      </c>
      <c r="D17" s="80">
        <v>250</v>
      </c>
      <c r="E17" s="20">
        <v>12112</v>
      </c>
      <c r="F17" s="147" t="s">
        <v>506</v>
      </c>
    </row>
    <row r="18" spans="1:6" x14ac:dyDescent="0.25">
      <c r="A18" s="147" t="s">
        <v>501</v>
      </c>
      <c r="B18" s="147" t="s">
        <v>507</v>
      </c>
      <c r="C18" s="156">
        <v>44386</v>
      </c>
      <c r="D18" s="80">
        <v>480</v>
      </c>
      <c r="E18" s="20">
        <v>12279</v>
      </c>
      <c r="F18" s="147" t="s">
        <v>506</v>
      </c>
    </row>
    <row r="19" spans="1:6" x14ac:dyDescent="0.25">
      <c r="A19" s="147" t="s">
        <v>501</v>
      </c>
      <c r="B19" s="147" t="s">
        <v>507</v>
      </c>
      <c r="C19" s="156">
        <v>44435</v>
      </c>
      <c r="D19" s="80">
        <v>1125</v>
      </c>
      <c r="E19" s="20">
        <v>12279</v>
      </c>
      <c r="F19" s="147" t="s">
        <v>506</v>
      </c>
    </row>
    <row r="20" spans="1:6" x14ac:dyDescent="0.25">
      <c r="A20" s="147" t="s">
        <v>501</v>
      </c>
      <c r="B20" s="147" t="s">
        <v>507</v>
      </c>
      <c r="C20" s="156">
        <v>44449</v>
      </c>
      <c r="D20" s="80">
        <v>375</v>
      </c>
      <c r="E20" s="20">
        <v>12315</v>
      </c>
      <c r="F20" s="147" t="s">
        <v>506</v>
      </c>
    </row>
    <row r="21" spans="1:6" x14ac:dyDescent="0.25">
      <c r="A21" s="147" t="s">
        <v>504</v>
      </c>
      <c r="B21" s="147" t="s">
        <v>502</v>
      </c>
      <c r="C21" s="156">
        <v>44316</v>
      </c>
      <c r="D21" s="80">
        <v>800</v>
      </c>
      <c r="E21" s="20">
        <v>38803</v>
      </c>
      <c r="F21" s="147" t="s">
        <v>503</v>
      </c>
    </row>
    <row r="22" spans="1:6" x14ac:dyDescent="0.25">
      <c r="A22" s="147" t="s">
        <v>501</v>
      </c>
      <c r="B22" s="147" t="s">
        <v>502</v>
      </c>
      <c r="C22" s="156">
        <v>44316</v>
      </c>
      <c r="D22" s="80">
        <v>4200</v>
      </c>
      <c r="E22" s="20">
        <v>11986</v>
      </c>
      <c r="F22" s="147" t="s">
        <v>503</v>
      </c>
    </row>
    <row r="23" spans="1:6" x14ac:dyDescent="0.25">
      <c r="A23" s="147" t="s">
        <v>501</v>
      </c>
      <c r="B23" s="147" t="s">
        <v>502</v>
      </c>
      <c r="C23" s="156">
        <v>44316</v>
      </c>
      <c r="D23" s="80">
        <v>400</v>
      </c>
      <c r="E23" s="20">
        <v>11986</v>
      </c>
      <c r="F23" s="147" t="s">
        <v>503</v>
      </c>
    </row>
  </sheetData>
  <autoFilter ref="A1:F23" xr:uid="{4DEC7A67-106D-4515-8329-0CB3276D9609}"/>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01A42-460B-4CA6-A196-D4F35FE1C4BA}">
  <dimension ref="A1:B30"/>
  <sheetViews>
    <sheetView workbookViewId="0">
      <selection activeCell="B12" sqref="B12"/>
    </sheetView>
  </sheetViews>
  <sheetFormatPr defaultRowHeight="15" x14ac:dyDescent="0.25"/>
  <cols>
    <col min="1" max="1" width="12.5703125" style="55" customWidth="1"/>
    <col min="2" max="2" width="73.28515625" style="20" customWidth="1"/>
    <col min="3" max="16384" width="9.140625" style="20"/>
  </cols>
  <sheetData>
    <row r="1" spans="1:2" x14ac:dyDescent="0.25">
      <c r="A1" s="54" t="s">
        <v>48</v>
      </c>
      <c r="B1" s="54" t="s">
        <v>49</v>
      </c>
    </row>
    <row r="2" spans="1:2" x14ac:dyDescent="0.25">
      <c r="A2" s="88" t="s">
        <v>18</v>
      </c>
      <c r="B2" s="140" t="s">
        <v>478</v>
      </c>
    </row>
    <row r="3" spans="1:2" x14ac:dyDescent="0.25">
      <c r="A3" s="107"/>
      <c r="B3" s="145"/>
    </row>
    <row r="4" spans="1:2" ht="135" x14ac:dyDescent="0.25">
      <c r="A4" s="55" t="s">
        <v>19</v>
      </c>
      <c r="B4" s="95" t="s">
        <v>471</v>
      </c>
    </row>
    <row r="5" spans="1:2" x14ac:dyDescent="0.25">
      <c r="B5" s="95"/>
    </row>
    <row r="6" spans="1:2" ht="120" x14ac:dyDescent="0.25">
      <c r="A6" s="55" t="s">
        <v>30</v>
      </c>
      <c r="B6" s="105" t="s">
        <v>470</v>
      </c>
    </row>
    <row r="8" spans="1:2" x14ac:dyDescent="0.25">
      <c r="A8" s="55" t="s">
        <v>31</v>
      </c>
      <c r="B8" s="20" t="s">
        <v>479</v>
      </c>
    </row>
    <row r="10" spans="1:2" ht="180" x14ac:dyDescent="0.25">
      <c r="A10" s="55" t="s">
        <v>32</v>
      </c>
      <c r="B10" s="11" t="s">
        <v>473</v>
      </c>
    </row>
    <row r="12" spans="1:2" ht="30" x14ac:dyDescent="0.25">
      <c r="A12" s="55" t="s">
        <v>33</v>
      </c>
      <c r="B12" s="95" t="s">
        <v>480</v>
      </c>
    </row>
    <row r="14" spans="1:2" x14ac:dyDescent="0.25">
      <c r="B14" s="11"/>
    </row>
    <row r="16" spans="1:2" x14ac:dyDescent="0.25">
      <c r="B16" s="11"/>
    </row>
    <row r="18" spans="2:2" x14ac:dyDescent="0.25">
      <c r="B18" s="11"/>
    </row>
    <row r="22" spans="2:2" x14ac:dyDescent="0.25">
      <c r="B22" s="11"/>
    </row>
    <row r="28" spans="2:2" x14ac:dyDescent="0.25">
      <c r="B28" s="11"/>
    </row>
    <row r="30" spans="2:2" x14ac:dyDescent="0.25">
      <c r="B30" s="11"/>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3"/>
  <sheetViews>
    <sheetView topLeftCell="A37" zoomScale="80" zoomScaleNormal="80" workbookViewId="0">
      <selection activeCell="C50" sqref="C50"/>
    </sheetView>
  </sheetViews>
  <sheetFormatPr defaultRowHeight="15" x14ac:dyDescent="0.25"/>
  <cols>
    <col min="1" max="1" width="56.42578125" customWidth="1"/>
    <col min="2" max="2" width="15.42578125" style="8" customWidth="1"/>
    <col min="3" max="3" width="19.28515625" style="8" customWidth="1"/>
    <col min="4" max="4" width="9.140625" style="7"/>
    <col min="5" max="5" width="16.140625" style="8" customWidth="1"/>
    <col min="6" max="6" width="36.7109375" customWidth="1"/>
  </cols>
  <sheetData>
    <row r="1" spans="1:5" x14ac:dyDescent="0.25">
      <c r="A1" s="157" t="s">
        <v>62</v>
      </c>
      <c r="B1" s="158"/>
      <c r="C1" s="158"/>
      <c r="D1" s="158"/>
      <c r="E1" s="158"/>
    </row>
    <row r="2" spans="1:5" x14ac:dyDescent="0.25">
      <c r="A2" s="158" t="s">
        <v>35</v>
      </c>
      <c r="B2" s="158"/>
      <c r="C2" s="158"/>
      <c r="D2" s="158"/>
      <c r="E2" s="158"/>
    </row>
    <row r="3" spans="1:5" x14ac:dyDescent="0.25">
      <c r="A3" s="1"/>
      <c r="B3" s="12"/>
      <c r="C3" s="12"/>
      <c r="E3" s="12"/>
    </row>
    <row r="4" spans="1:5" x14ac:dyDescent="0.25">
      <c r="B4" s="13" t="s">
        <v>0</v>
      </c>
      <c r="C4" s="13" t="s">
        <v>1</v>
      </c>
      <c r="D4" s="6" t="s">
        <v>2</v>
      </c>
      <c r="E4" s="13" t="s">
        <v>3</v>
      </c>
    </row>
    <row r="5" spans="1:5" x14ac:dyDescent="0.25">
      <c r="A5" s="2" t="s">
        <v>63</v>
      </c>
      <c r="B5" s="15"/>
    </row>
    <row r="6" spans="1:5" x14ac:dyDescent="0.25">
      <c r="A6" s="3" t="s">
        <v>64</v>
      </c>
      <c r="B6" s="15"/>
      <c r="C6" s="14"/>
    </row>
    <row r="7" spans="1:5" x14ac:dyDescent="0.25">
      <c r="A7" s="5" t="s">
        <v>65</v>
      </c>
      <c r="B7" s="15"/>
      <c r="C7" s="110">
        <f>4264.2</f>
        <v>4264.2</v>
      </c>
      <c r="D7" s="7" t="s">
        <v>18</v>
      </c>
      <c r="E7" s="83">
        <f t="shared" ref="E7:E59" si="0">B7+C7</f>
        <v>4264.2</v>
      </c>
    </row>
    <row r="8" spans="1:5" x14ac:dyDescent="0.25">
      <c r="A8" s="5" t="s">
        <v>66</v>
      </c>
      <c r="B8" s="15"/>
      <c r="C8" s="14"/>
      <c r="E8" s="8">
        <f t="shared" si="0"/>
        <v>0</v>
      </c>
    </row>
    <row r="9" spans="1:5" x14ac:dyDescent="0.25">
      <c r="A9" s="3" t="s">
        <v>67</v>
      </c>
      <c r="B9" s="15"/>
      <c r="C9" s="14"/>
    </row>
    <row r="10" spans="1:5" x14ac:dyDescent="0.25">
      <c r="A10" s="5" t="s">
        <v>68</v>
      </c>
      <c r="B10" s="137">
        <v>47786.38</v>
      </c>
      <c r="C10" s="110">
        <f>-'Wage-Benefits'!AD5+('Wage-Benefits'!AD16/2)+('Wage-Benefits'!AD10/2)+('Wage-Benefits'!AD22/2)-75000</f>
        <v>-18226.304000000004</v>
      </c>
      <c r="D10" s="7" t="s">
        <v>19</v>
      </c>
      <c r="E10" s="83">
        <f t="shared" si="0"/>
        <v>29560.075999999994</v>
      </c>
    </row>
    <row r="11" spans="1:5" x14ac:dyDescent="0.25">
      <c r="A11" s="5" t="s">
        <v>69</v>
      </c>
      <c r="B11" s="15"/>
      <c r="C11" s="14"/>
      <c r="E11" s="8">
        <f t="shared" si="0"/>
        <v>0</v>
      </c>
    </row>
    <row r="12" spans="1:5" x14ac:dyDescent="0.25">
      <c r="A12" s="3" t="s">
        <v>70</v>
      </c>
      <c r="B12" s="15"/>
      <c r="C12" s="14"/>
      <c r="E12" s="8">
        <f t="shared" si="0"/>
        <v>0</v>
      </c>
    </row>
    <row r="13" spans="1:5" x14ac:dyDescent="0.25">
      <c r="A13" s="5" t="s">
        <v>71</v>
      </c>
      <c r="B13" s="15"/>
      <c r="C13" s="14"/>
      <c r="E13" s="8">
        <f t="shared" si="0"/>
        <v>0</v>
      </c>
    </row>
    <row r="14" spans="1:5" s="5" customFormat="1" x14ac:dyDescent="0.25">
      <c r="A14" s="5" t="s">
        <v>72</v>
      </c>
      <c r="B14" s="15"/>
      <c r="C14" s="110">
        <f>(22.5*12)+((1200000-24000)*0.00925)</f>
        <v>11148</v>
      </c>
      <c r="D14" s="7" t="s">
        <v>30</v>
      </c>
      <c r="E14" s="83">
        <f t="shared" si="0"/>
        <v>11148</v>
      </c>
    </row>
    <row r="15" spans="1:5" s="5" customFormat="1" x14ac:dyDescent="0.25">
      <c r="A15" s="5" t="s">
        <v>73</v>
      </c>
      <c r="B15" s="15"/>
      <c r="C15" s="110">
        <f>('Wage-Benefits'!AD16/2)+('Wage-Benefits'!AD10/2)+('Wage-Benefits'!AD22/2)+'Wage-Benefits'!AD11+'Wage-Benefits'!AD21</f>
        <v>144980.83000000002</v>
      </c>
      <c r="D15" s="7" t="s">
        <v>31</v>
      </c>
      <c r="E15" s="8">
        <f t="shared" si="0"/>
        <v>144980.83000000002</v>
      </c>
    </row>
    <row r="16" spans="1:5" s="5" customFormat="1" x14ac:dyDescent="0.25">
      <c r="A16" s="3" t="s">
        <v>10</v>
      </c>
      <c r="B16" s="15"/>
      <c r="C16" s="14"/>
      <c r="D16" s="7"/>
      <c r="E16" s="8">
        <f t="shared" si="0"/>
        <v>0</v>
      </c>
    </row>
    <row r="17" spans="1:5" x14ac:dyDescent="0.25">
      <c r="A17" s="3" t="s">
        <v>74</v>
      </c>
      <c r="B17" s="137">
        <v>140049.31</v>
      </c>
      <c r="C17" s="14"/>
      <c r="E17" s="8">
        <f t="shared" si="0"/>
        <v>140049.31</v>
      </c>
    </row>
    <row r="18" spans="1:5" x14ac:dyDescent="0.25">
      <c r="A18" s="3" t="s">
        <v>9</v>
      </c>
      <c r="B18" s="137">
        <v>124890.87</v>
      </c>
      <c r="C18" s="14"/>
      <c r="E18" s="8">
        <f t="shared" si="0"/>
        <v>124890.87</v>
      </c>
    </row>
    <row r="19" spans="1:5" x14ac:dyDescent="0.25">
      <c r="A19" s="3" t="s">
        <v>75</v>
      </c>
      <c r="B19" s="15"/>
      <c r="C19" s="14"/>
      <c r="E19" s="8">
        <f t="shared" si="0"/>
        <v>0</v>
      </c>
    </row>
    <row r="20" spans="1:5" x14ac:dyDescent="0.25">
      <c r="A20" s="5" t="s">
        <v>76</v>
      </c>
      <c r="B20" s="15"/>
      <c r="C20" s="14"/>
      <c r="E20" s="8">
        <f t="shared" si="0"/>
        <v>0</v>
      </c>
    </row>
    <row r="21" spans="1:5" x14ac:dyDescent="0.25">
      <c r="A21" s="5" t="s">
        <v>77</v>
      </c>
      <c r="B21" s="15"/>
      <c r="C21" s="14"/>
      <c r="E21" s="8">
        <f t="shared" si="0"/>
        <v>0</v>
      </c>
    </row>
    <row r="22" spans="1:5" x14ac:dyDescent="0.25">
      <c r="A22" s="3" t="s">
        <v>78</v>
      </c>
      <c r="B22" s="15"/>
      <c r="C22" s="14"/>
      <c r="E22" s="8">
        <f>B22+C22</f>
        <v>0</v>
      </c>
    </row>
    <row r="23" spans="1:5" s="20" customFormat="1" x14ac:dyDescent="0.25">
      <c r="A23" s="3" t="s">
        <v>105</v>
      </c>
      <c r="B23" s="15">
        <f>SUM(B7:B22)</f>
        <v>312726.56</v>
      </c>
      <c r="C23" s="110">
        <f>SUM(C7:C22)</f>
        <v>142166.72600000002</v>
      </c>
      <c r="D23" s="7"/>
      <c r="E23" s="8">
        <f>SUM(E7:E22)</f>
        <v>454893.28599999996</v>
      </c>
    </row>
    <row r="24" spans="1:5" s="20" customFormat="1" x14ac:dyDescent="0.25">
      <c r="A24" s="3"/>
      <c r="B24" s="15"/>
      <c r="C24" s="14"/>
      <c r="D24" s="7"/>
      <c r="E24" s="8"/>
    </row>
    <row r="25" spans="1:5" s="20" customFormat="1" x14ac:dyDescent="0.25">
      <c r="A25" s="40" t="s">
        <v>79</v>
      </c>
      <c r="B25" s="15"/>
      <c r="C25" s="14"/>
      <c r="D25" s="7"/>
      <c r="E25" s="8"/>
    </row>
    <row r="26" spans="1:5" x14ac:dyDescent="0.25">
      <c r="A26" s="3" t="s">
        <v>80</v>
      </c>
    </row>
    <row r="27" spans="1:5" s="20" customFormat="1" x14ac:dyDescent="0.25">
      <c r="A27" s="10" t="s">
        <v>81</v>
      </c>
      <c r="B27" s="8"/>
      <c r="C27" s="8"/>
      <c r="D27" s="7"/>
      <c r="E27" s="8">
        <f t="shared" ref="E27:E56" si="1">B27+C27</f>
        <v>0</v>
      </c>
    </row>
    <row r="28" spans="1:5" s="20" customFormat="1" x14ac:dyDescent="0.25">
      <c r="A28" s="10" t="s">
        <v>82</v>
      </c>
      <c r="B28" s="8"/>
      <c r="C28" s="8"/>
      <c r="D28" s="7"/>
      <c r="E28" s="8">
        <f t="shared" si="1"/>
        <v>0</v>
      </c>
    </row>
    <row r="29" spans="1:5" s="20" customFormat="1" x14ac:dyDescent="0.25">
      <c r="A29" s="3" t="s">
        <v>83</v>
      </c>
      <c r="B29" s="8"/>
      <c r="C29" s="8"/>
      <c r="D29" s="7"/>
      <c r="E29" s="8">
        <f t="shared" si="1"/>
        <v>0</v>
      </c>
    </row>
    <row r="30" spans="1:5" s="20" customFormat="1" x14ac:dyDescent="0.25">
      <c r="A30" s="3" t="s">
        <v>84</v>
      </c>
      <c r="C30" s="8"/>
      <c r="D30" s="7"/>
      <c r="E30" s="8">
        <f t="shared" si="1"/>
        <v>0</v>
      </c>
    </row>
    <row r="31" spans="1:5" s="20" customFormat="1" x14ac:dyDescent="0.25">
      <c r="A31" s="3" t="s">
        <v>85</v>
      </c>
      <c r="B31" s="83">
        <v>218358.54</v>
      </c>
      <c r="C31" s="8"/>
      <c r="D31" s="7"/>
      <c r="E31" s="83">
        <f t="shared" si="1"/>
        <v>218358.54</v>
      </c>
    </row>
    <row r="32" spans="1:5" s="20" customFormat="1" x14ac:dyDescent="0.25">
      <c r="A32" s="3" t="s">
        <v>86</v>
      </c>
      <c r="B32" s="8"/>
      <c r="C32" s="8"/>
      <c r="D32" s="7"/>
      <c r="E32" s="8">
        <f t="shared" si="1"/>
        <v>0</v>
      </c>
    </row>
    <row r="33" spans="1:5" s="20" customFormat="1" x14ac:dyDescent="0.25">
      <c r="A33" s="3" t="s">
        <v>87</v>
      </c>
      <c r="B33" s="83">
        <v>33267.83</v>
      </c>
      <c r="C33" s="8"/>
      <c r="D33" s="7"/>
      <c r="E33" s="83">
        <f t="shared" si="1"/>
        <v>33267.83</v>
      </c>
    </row>
    <row r="34" spans="1:5" s="20" customFormat="1" x14ac:dyDescent="0.25">
      <c r="A34" s="3" t="s">
        <v>106</v>
      </c>
      <c r="B34" s="83">
        <f>SUM(B27:B33)</f>
        <v>251626.37</v>
      </c>
      <c r="C34" s="8">
        <f>SUM(C27:C33)</f>
        <v>0</v>
      </c>
      <c r="D34" s="7"/>
      <c r="E34" s="83">
        <f t="shared" si="1"/>
        <v>251626.37</v>
      </c>
    </row>
    <row r="35" spans="1:5" s="20" customFormat="1" x14ac:dyDescent="0.25">
      <c r="A35" s="3"/>
      <c r="B35" s="8"/>
      <c r="C35" s="8"/>
      <c r="D35" s="7"/>
      <c r="E35" s="8"/>
    </row>
    <row r="36" spans="1:5" s="20" customFormat="1" x14ac:dyDescent="0.25">
      <c r="A36" s="2" t="s">
        <v>88</v>
      </c>
      <c r="B36" s="8"/>
      <c r="C36" s="8"/>
      <c r="D36" s="7"/>
      <c r="E36" s="8"/>
    </row>
    <row r="37" spans="1:5" s="20" customFormat="1" x14ac:dyDescent="0.25">
      <c r="A37" s="42" t="s">
        <v>89</v>
      </c>
      <c r="B37" s="8"/>
      <c r="C37" s="8"/>
      <c r="D37" s="7"/>
      <c r="E37" s="83">
        <f t="shared" si="1"/>
        <v>0</v>
      </c>
    </row>
    <row r="38" spans="1:5" s="20" customFormat="1" x14ac:dyDescent="0.25">
      <c r="A38" s="42" t="s">
        <v>90</v>
      </c>
      <c r="B38" s="8"/>
      <c r="C38" s="83">
        <f>'Wage-Benefits'!AD13+'Wage-Benefits'!AD26</f>
        <v>1260.8185599999999</v>
      </c>
      <c r="D38" s="7" t="s">
        <v>32</v>
      </c>
      <c r="E38" s="83">
        <f t="shared" si="1"/>
        <v>1260.8185599999999</v>
      </c>
    </row>
    <row r="39" spans="1:5" s="20" customFormat="1" x14ac:dyDescent="0.25">
      <c r="A39" s="42" t="s">
        <v>91</v>
      </c>
      <c r="B39" s="8"/>
      <c r="C39" s="8"/>
      <c r="D39" s="7"/>
      <c r="E39" s="83">
        <f t="shared" si="1"/>
        <v>0</v>
      </c>
    </row>
    <row r="40" spans="1:5" s="20" customFormat="1" x14ac:dyDescent="0.25">
      <c r="A40" s="43" t="s">
        <v>92</v>
      </c>
      <c r="B40" s="8"/>
      <c r="C40" s="83">
        <v>195.1</v>
      </c>
      <c r="D40" s="7" t="s">
        <v>33</v>
      </c>
      <c r="E40" s="83">
        <f t="shared" si="1"/>
        <v>195.1</v>
      </c>
    </row>
    <row r="41" spans="1:5" s="20" customFormat="1" x14ac:dyDescent="0.25">
      <c r="A41" s="43" t="s">
        <v>93</v>
      </c>
      <c r="B41" s="8"/>
      <c r="C41" s="83">
        <f>'Wage-Benefits'!AD27+'Wage-Benefits'!AD28+'Wage-Benefits'!AD7+'Wage-Benefits'!AD8+5759.4</f>
        <v>20442.761729999998</v>
      </c>
      <c r="D41" s="7" t="s">
        <v>29</v>
      </c>
      <c r="E41" s="83">
        <f t="shared" si="1"/>
        <v>20442.761729999998</v>
      </c>
    </row>
    <row r="42" spans="1:5" s="20" customFormat="1" x14ac:dyDescent="0.25">
      <c r="A42" s="42" t="s">
        <v>94</v>
      </c>
      <c r="B42" s="83">
        <v>12720</v>
      </c>
      <c r="C42" s="8"/>
      <c r="D42" s="7"/>
      <c r="E42" s="83">
        <f t="shared" si="1"/>
        <v>12720</v>
      </c>
    </row>
    <row r="43" spans="1:5" s="20" customFormat="1" x14ac:dyDescent="0.25">
      <c r="A43" s="42" t="s">
        <v>95</v>
      </c>
      <c r="B43" s="8"/>
      <c r="C43" s="8"/>
      <c r="D43" s="7"/>
      <c r="E43" s="83">
        <f t="shared" si="1"/>
        <v>0</v>
      </c>
    </row>
    <row r="44" spans="1:5" s="20" customFormat="1" x14ac:dyDescent="0.25">
      <c r="A44" s="42" t="s">
        <v>107</v>
      </c>
      <c r="B44" s="83">
        <f>B37+B38+B40+B41+B42+B43</f>
        <v>12720</v>
      </c>
      <c r="C44" s="8">
        <f>SUM(C37:C43)</f>
        <v>21898.680289999997</v>
      </c>
      <c r="D44" s="7"/>
      <c r="E44" s="83">
        <f>E37+E38+E40+E41+E42+E43</f>
        <v>34618.680289999997</v>
      </c>
    </row>
    <row r="45" spans="1:5" s="20" customFormat="1" x14ac:dyDescent="0.25">
      <c r="A45" s="41"/>
      <c r="B45" s="8"/>
      <c r="C45" s="8"/>
      <c r="D45" s="7"/>
      <c r="E45" s="8"/>
    </row>
    <row r="46" spans="1:5" s="20" customFormat="1" x14ac:dyDescent="0.25">
      <c r="A46" s="2" t="s">
        <v>96</v>
      </c>
      <c r="B46" s="8"/>
      <c r="C46" s="8"/>
      <c r="D46" s="7"/>
      <c r="E46" s="8"/>
    </row>
    <row r="47" spans="1:5" s="20" customFormat="1" x14ac:dyDescent="0.25">
      <c r="A47" s="42" t="s">
        <v>97</v>
      </c>
      <c r="B47" s="83">
        <v>203962.33</v>
      </c>
      <c r="C47" s="83">
        <f>('Wage-Benefits'!AD3+'Wage-Benefits'!AD4+'Wage-Benefits'!AD6)-B47</f>
        <v>-159304.35914384224</v>
      </c>
      <c r="D47" s="7" t="s">
        <v>27</v>
      </c>
      <c r="E47" s="83">
        <f t="shared" si="1"/>
        <v>44657.970856157743</v>
      </c>
    </row>
    <row r="48" spans="1:5" s="20" customFormat="1" x14ac:dyDescent="0.25">
      <c r="A48" s="42" t="s">
        <v>98</v>
      </c>
      <c r="B48" s="83">
        <v>65510.7</v>
      </c>
      <c r="C48" s="83">
        <f>(12*-21.98)+(1176000*-0.00729)</f>
        <v>-8836.7999999999993</v>
      </c>
      <c r="D48" s="7" t="s">
        <v>28</v>
      </c>
      <c r="E48" s="83">
        <f t="shared" si="1"/>
        <v>56673.899999999994</v>
      </c>
    </row>
    <row r="49" spans="1:5" s="20" customFormat="1" x14ac:dyDescent="0.25">
      <c r="A49" s="42" t="s">
        <v>104</v>
      </c>
      <c r="B49" s="83">
        <v>113232.24</v>
      </c>
      <c r="C49" s="83">
        <f>3875.45+151.41+2541.53+37452</f>
        <v>44020.39</v>
      </c>
      <c r="D49" s="7" t="s">
        <v>50</v>
      </c>
      <c r="E49" s="83">
        <f t="shared" si="1"/>
        <v>157252.63</v>
      </c>
    </row>
    <row r="50" spans="1:5" s="20" customFormat="1" x14ac:dyDescent="0.25">
      <c r="A50" s="42" t="s">
        <v>99</v>
      </c>
      <c r="B50" s="83">
        <v>66947.87</v>
      </c>
      <c r="C50" s="121">
        <f>((0.2303*12986.64)+(0.2474*35943.58))-B50</f>
        <v>-55064.605115999992</v>
      </c>
      <c r="D50" s="7" t="s">
        <v>34</v>
      </c>
      <c r="E50" s="83">
        <f t="shared" si="1"/>
        <v>11883.264884000004</v>
      </c>
    </row>
    <row r="51" spans="1:5" s="20" customFormat="1" x14ac:dyDescent="0.25">
      <c r="A51" s="42" t="s">
        <v>8</v>
      </c>
      <c r="B51" s="83">
        <v>109733.66</v>
      </c>
      <c r="C51" s="83">
        <f>('Wage-Benefits'!AK32+2113.85)-B51</f>
        <v>8708.1023220987554</v>
      </c>
      <c r="D51" s="7" t="s">
        <v>281</v>
      </c>
      <c r="E51" s="83">
        <f t="shared" si="1"/>
        <v>118441.76232209876</v>
      </c>
    </row>
    <row r="52" spans="1:5" s="20" customFormat="1" x14ac:dyDescent="0.25">
      <c r="A52" s="42" t="s">
        <v>100</v>
      </c>
      <c r="B52" s="8"/>
      <c r="C52" s="83">
        <f>ScheduleOfAdjustedOperations!E18*0.002</f>
        <v>2693.4089600000002</v>
      </c>
      <c r="D52" s="7" t="s">
        <v>282</v>
      </c>
      <c r="E52" s="83">
        <f t="shared" si="1"/>
        <v>2693.4089600000002</v>
      </c>
    </row>
    <row r="53" spans="1:5" s="20" customFormat="1" x14ac:dyDescent="0.25">
      <c r="A53" s="42" t="s">
        <v>101</v>
      </c>
      <c r="B53" s="83">
        <v>24111.81</v>
      </c>
      <c r="C53" s="8"/>
      <c r="D53" s="7"/>
      <c r="E53" s="83">
        <f t="shared" si="1"/>
        <v>24111.81</v>
      </c>
    </row>
    <row r="54" spans="1:5" s="20" customFormat="1" x14ac:dyDescent="0.25">
      <c r="A54" s="42" t="s">
        <v>102</v>
      </c>
      <c r="B54" s="83">
        <v>16934.189999999999</v>
      </c>
      <c r="C54" s="83">
        <f>(2082.29+1836.45)-(3600+5900)</f>
        <v>-5581.26</v>
      </c>
      <c r="D54" s="7" t="s">
        <v>465</v>
      </c>
      <c r="E54" s="83">
        <f t="shared" si="1"/>
        <v>11352.929999999998</v>
      </c>
    </row>
    <row r="55" spans="1:5" s="20" customFormat="1" x14ac:dyDescent="0.25">
      <c r="A55" s="42" t="s">
        <v>10</v>
      </c>
      <c r="B55" s="83"/>
      <c r="C55" s="8"/>
      <c r="D55" s="7"/>
      <c r="E55" s="83">
        <f t="shared" si="1"/>
        <v>0</v>
      </c>
    </row>
    <row r="56" spans="1:5" s="20" customFormat="1" x14ac:dyDescent="0.25">
      <c r="A56" s="42" t="s">
        <v>103</v>
      </c>
      <c r="B56" s="83"/>
      <c r="C56" s="8"/>
      <c r="D56" s="7"/>
      <c r="E56" s="83">
        <f t="shared" si="1"/>
        <v>0</v>
      </c>
    </row>
    <row r="57" spans="1:5" s="20" customFormat="1" x14ac:dyDescent="0.25">
      <c r="A57" s="42" t="s">
        <v>108</v>
      </c>
      <c r="B57" s="83">
        <f>SUM(B47:B56)</f>
        <v>600432.79999999993</v>
      </c>
      <c r="C57" s="8">
        <f>SUM(C47:C56)</f>
        <v>-173365.12297774348</v>
      </c>
      <c r="D57" s="7"/>
      <c r="E57" s="83">
        <f>B57+C57</f>
        <v>427067.67702225642</v>
      </c>
    </row>
    <row r="58" spans="1:5" s="20" customFormat="1" x14ac:dyDescent="0.25">
      <c r="A58"/>
      <c r="B58" s="137"/>
      <c r="C58" s="8"/>
      <c r="D58" s="7"/>
      <c r="E58" s="83"/>
    </row>
    <row r="59" spans="1:5" s="5" customFormat="1" x14ac:dyDescent="0.25">
      <c r="A59" s="2" t="s">
        <v>16</v>
      </c>
      <c r="B59" s="137">
        <f>SUM(B23,B34,B44,B57)</f>
        <v>1177505.73</v>
      </c>
      <c r="C59" s="83">
        <f>C23+C34+C44+C57</f>
        <v>-9299.7166877434647</v>
      </c>
      <c r="D59" s="7"/>
      <c r="E59" s="83">
        <f t="shared" si="0"/>
        <v>1168206.0133122564</v>
      </c>
    </row>
    <row r="60" spans="1:5" s="5" customFormat="1" x14ac:dyDescent="0.25"/>
    <row r="61" spans="1:5" s="5" customFormat="1" x14ac:dyDescent="0.25"/>
    <row r="62" spans="1:5" s="5" customFormat="1" x14ac:dyDescent="0.25">
      <c r="A62"/>
      <c r="B62" s="8"/>
      <c r="C62" s="8"/>
      <c r="D62" s="7"/>
      <c r="E62" s="8"/>
    </row>
    <row r="63" spans="1:5" s="5" customFormat="1" x14ac:dyDescent="0.25">
      <c r="A63"/>
      <c r="B63" s="8"/>
      <c r="C63" s="8"/>
      <c r="D63" s="7"/>
      <c r="E63" s="8"/>
    </row>
    <row r="64" spans="1:5" s="5" customFormat="1" x14ac:dyDescent="0.25">
      <c r="A64"/>
      <c r="B64" s="8"/>
      <c r="C64" s="8"/>
      <c r="D64" s="7"/>
      <c r="E64" s="8"/>
    </row>
    <row r="65" spans="1:5" s="5" customFormat="1" x14ac:dyDescent="0.25">
      <c r="A65"/>
      <c r="B65" s="8"/>
      <c r="C65" s="8"/>
      <c r="D65" s="7"/>
      <c r="E65" s="8"/>
    </row>
    <row r="66" spans="1:5" s="5" customFormat="1" x14ac:dyDescent="0.25">
      <c r="A66"/>
      <c r="B66" s="8"/>
      <c r="C66" s="8"/>
      <c r="D66" s="7"/>
      <c r="E66" s="8"/>
    </row>
    <row r="67" spans="1:5" s="5" customFormat="1" x14ac:dyDescent="0.25">
      <c r="A67"/>
      <c r="B67" s="8"/>
      <c r="C67" s="8"/>
      <c r="D67" s="7"/>
      <c r="E67" s="8"/>
    </row>
    <row r="68" spans="1:5" s="5" customFormat="1" x14ac:dyDescent="0.25">
      <c r="A68"/>
      <c r="B68" s="8"/>
      <c r="C68" s="8"/>
      <c r="D68" s="7"/>
      <c r="E68" s="8"/>
    </row>
    <row r="69" spans="1:5" s="5" customFormat="1" x14ac:dyDescent="0.25">
      <c r="A69"/>
      <c r="B69" s="8"/>
      <c r="C69" s="8"/>
      <c r="D69" s="7"/>
      <c r="E69" s="8"/>
    </row>
    <row r="70" spans="1:5" s="5" customFormat="1" x14ac:dyDescent="0.25">
      <c r="A70"/>
      <c r="B70" s="8"/>
      <c r="C70" s="8"/>
      <c r="D70" s="7"/>
      <c r="E70" s="8"/>
    </row>
    <row r="71" spans="1:5" s="5" customFormat="1" x14ac:dyDescent="0.25">
      <c r="A71"/>
      <c r="B71" s="8"/>
      <c r="C71" s="8"/>
      <c r="D71" s="7"/>
      <c r="E71" s="8"/>
    </row>
    <row r="72" spans="1:5" s="5" customFormat="1" x14ac:dyDescent="0.25">
      <c r="A72"/>
      <c r="B72" s="8"/>
      <c r="C72" s="8"/>
      <c r="D72" s="7"/>
      <c r="E72" s="8"/>
    </row>
    <row r="73" spans="1:5" s="5" customFormat="1" x14ac:dyDescent="0.25">
      <c r="A73"/>
      <c r="B73" s="8"/>
      <c r="C73" s="8"/>
      <c r="D73" s="7"/>
      <c r="E73" s="8"/>
    </row>
  </sheetData>
  <mergeCells count="2">
    <mergeCell ref="A1:E1"/>
    <mergeCell ref="A2:E2"/>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9655-384B-4FAD-B82C-88A570E3C9BB}">
  <dimension ref="A1:C38"/>
  <sheetViews>
    <sheetView topLeftCell="A25" workbookViewId="0">
      <selection activeCell="B28" sqref="B28"/>
    </sheetView>
  </sheetViews>
  <sheetFormatPr defaultRowHeight="15" x14ac:dyDescent="0.25"/>
  <cols>
    <col min="1" max="1" width="12.5703125" style="7" customWidth="1"/>
    <col min="2" max="2" width="73.28515625" customWidth="1"/>
  </cols>
  <sheetData>
    <row r="1" spans="1:2" x14ac:dyDescent="0.25">
      <c r="A1" s="6" t="s">
        <v>48</v>
      </c>
      <c r="B1" s="6" t="s">
        <v>49</v>
      </c>
    </row>
    <row r="2" spans="1:2" ht="60" x14ac:dyDescent="0.25">
      <c r="A2" s="7" t="s">
        <v>18</v>
      </c>
      <c r="B2" s="105" t="s">
        <v>250</v>
      </c>
    </row>
    <row r="4" spans="1:2" ht="210" x14ac:dyDescent="0.25">
      <c r="A4" s="7" t="s">
        <v>19</v>
      </c>
      <c r="B4" s="111" t="s">
        <v>469</v>
      </c>
    </row>
    <row r="5" spans="1:2" x14ac:dyDescent="0.25">
      <c r="B5" s="20"/>
    </row>
    <row r="6" spans="1:2" ht="135" x14ac:dyDescent="0.25">
      <c r="A6" s="7" t="s">
        <v>30</v>
      </c>
      <c r="B6" s="109" t="s">
        <v>283</v>
      </c>
    </row>
    <row r="8" spans="1:2" ht="150" x14ac:dyDescent="0.25">
      <c r="A8" s="7" t="s">
        <v>31</v>
      </c>
      <c r="B8" s="11" t="s">
        <v>481</v>
      </c>
    </row>
    <row r="9" spans="1:2" s="20" customFormat="1" x14ac:dyDescent="0.25">
      <c r="A9" s="98"/>
      <c r="B9" s="11"/>
    </row>
    <row r="10" spans="1:2" s="20" customFormat="1" ht="135" x14ac:dyDescent="0.25">
      <c r="A10" s="81" t="s">
        <v>32</v>
      </c>
      <c r="B10" s="11" t="s">
        <v>482</v>
      </c>
    </row>
    <row r="11" spans="1:2" s="20" customFormat="1" x14ac:dyDescent="0.25">
      <c r="A11" s="98"/>
      <c r="B11" s="11"/>
    </row>
    <row r="12" spans="1:2" s="20" customFormat="1" ht="30" x14ac:dyDescent="0.25">
      <c r="A12" s="98" t="s">
        <v>33</v>
      </c>
      <c r="B12" s="11" t="s">
        <v>252</v>
      </c>
    </row>
    <row r="13" spans="1:2" s="20" customFormat="1" x14ac:dyDescent="0.25">
      <c r="A13" s="98"/>
      <c r="B13" s="11"/>
    </row>
    <row r="14" spans="1:2" s="20" customFormat="1" ht="135" x14ac:dyDescent="0.25">
      <c r="A14" s="98" t="s">
        <v>29</v>
      </c>
      <c r="B14" s="11" t="s">
        <v>483</v>
      </c>
    </row>
    <row r="15" spans="1:2" x14ac:dyDescent="0.25">
      <c r="B15" s="11"/>
    </row>
    <row r="16" spans="1:2" s="20" customFormat="1" ht="105" x14ac:dyDescent="0.25">
      <c r="A16" s="98" t="s">
        <v>27</v>
      </c>
      <c r="B16" s="111" t="s">
        <v>484</v>
      </c>
    </row>
    <row r="17" spans="1:3" s="20" customFormat="1" x14ac:dyDescent="0.25">
      <c r="A17" s="98"/>
      <c r="B17" s="111"/>
    </row>
    <row r="18" spans="1:3" s="20" customFormat="1" ht="75" x14ac:dyDescent="0.25">
      <c r="A18" s="89" t="s">
        <v>28</v>
      </c>
      <c r="B18" s="120" t="s">
        <v>279</v>
      </c>
    </row>
    <row r="19" spans="1:3" s="20" customFormat="1" x14ac:dyDescent="0.25">
      <c r="A19" s="98"/>
      <c r="B19" s="82"/>
    </row>
    <row r="20" spans="1:3" s="20" customFormat="1" ht="75" x14ac:dyDescent="0.25">
      <c r="A20" s="89" t="s">
        <v>50</v>
      </c>
      <c r="B20" s="120" t="s">
        <v>280</v>
      </c>
    </row>
    <row r="21" spans="1:3" s="20" customFormat="1" x14ac:dyDescent="0.25">
      <c r="A21" s="89"/>
      <c r="B21" s="82"/>
    </row>
    <row r="22" spans="1:3" s="20" customFormat="1" ht="225" x14ac:dyDescent="0.25">
      <c r="A22" s="114" t="s">
        <v>34</v>
      </c>
      <c r="B22" s="120" t="s">
        <v>474</v>
      </c>
    </row>
    <row r="23" spans="1:3" s="20" customFormat="1" x14ac:dyDescent="0.25">
      <c r="A23" s="114"/>
      <c r="B23" s="120"/>
    </row>
    <row r="24" spans="1:3" s="20" customFormat="1" ht="330" x14ac:dyDescent="0.25">
      <c r="A24" s="89" t="s">
        <v>281</v>
      </c>
      <c r="B24" s="120" t="s">
        <v>485</v>
      </c>
      <c r="C24" s="103"/>
    </row>
    <row r="25" spans="1:3" s="20" customFormat="1" x14ac:dyDescent="0.25">
      <c r="A25" s="89"/>
      <c r="B25" s="11"/>
    </row>
    <row r="26" spans="1:3" ht="45" x14ac:dyDescent="0.25">
      <c r="A26" s="7" t="s">
        <v>282</v>
      </c>
      <c r="B26" s="11" t="s">
        <v>466</v>
      </c>
    </row>
    <row r="27" spans="1:3" x14ac:dyDescent="0.25">
      <c r="B27" s="11"/>
    </row>
    <row r="28" spans="1:3" ht="120" x14ac:dyDescent="0.25">
      <c r="A28" s="7" t="s">
        <v>465</v>
      </c>
      <c r="B28" s="111" t="s">
        <v>486</v>
      </c>
    </row>
    <row r="30" spans="1:3" x14ac:dyDescent="0.25">
      <c r="B30" s="11"/>
    </row>
    <row r="36" spans="2:2" x14ac:dyDescent="0.25">
      <c r="B36" s="11"/>
    </row>
    <row r="38" spans="2:2" x14ac:dyDescent="0.25">
      <c r="B38" s="11"/>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E110D-1EBC-46EC-99D5-72DC258E935D}">
  <dimension ref="A2:AY84"/>
  <sheetViews>
    <sheetView topLeftCell="R1" zoomScale="75" zoomScaleNormal="75" workbookViewId="0">
      <selection activeCell="AW23" sqref="AW23"/>
    </sheetView>
  </sheetViews>
  <sheetFormatPr defaultRowHeight="15" x14ac:dyDescent="0.25"/>
  <cols>
    <col min="1" max="1" width="6.42578125" style="20" bestFit="1" customWidth="1"/>
    <col min="2" max="2" width="6" style="20" bestFit="1" customWidth="1"/>
    <col min="3" max="3" width="2.7109375" style="20" customWidth="1"/>
    <col min="4" max="4" width="12.140625" style="20" bestFit="1" customWidth="1"/>
    <col min="5" max="5" width="10.5703125" style="20" customWidth="1"/>
    <col min="6" max="6" width="2.5703125" style="20" customWidth="1"/>
    <col min="7" max="8" width="10.5703125" style="20" customWidth="1"/>
    <col min="9" max="9" width="3.28515625" style="20" customWidth="1"/>
    <col min="10" max="11" width="10.5703125" style="20" customWidth="1"/>
    <col min="12" max="12" width="4.28515625" style="20" customWidth="1"/>
    <col min="13" max="13" width="7" style="20" customWidth="1"/>
    <col min="14" max="14" width="6.42578125" style="20" customWidth="1"/>
    <col min="15" max="15" width="2.7109375" style="20" customWidth="1"/>
    <col min="16" max="17" width="9.28515625" style="20" bestFit="1" customWidth="1"/>
    <col min="18" max="18" width="2.7109375" style="20" customWidth="1"/>
    <col min="19" max="20" width="10.42578125" style="20" bestFit="1" customWidth="1"/>
    <col min="21" max="21" width="2.5703125" style="20" customWidth="1"/>
    <col min="22" max="23" width="10.42578125" style="20" customWidth="1"/>
    <col min="24" max="24" width="4.140625" style="20" customWidth="1"/>
    <col min="25" max="26" width="10.42578125" style="20" customWidth="1"/>
    <col min="27" max="27" width="3.7109375" style="20" customWidth="1"/>
    <col min="28" max="28" width="10.42578125" style="20" customWidth="1"/>
    <col min="29" max="29" width="11.42578125" style="20" customWidth="1"/>
    <col min="30" max="30" width="4.5703125" style="20" customWidth="1"/>
    <col min="31" max="32" width="10.42578125" style="20" customWidth="1"/>
    <col min="33" max="33" width="3.5703125" style="20" customWidth="1"/>
    <col min="34" max="34" width="12.85546875" style="20" customWidth="1"/>
    <col min="35" max="35" width="13.28515625" style="20" customWidth="1"/>
    <col min="36" max="36" width="2.7109375" style="20" customWidth="1"/>
    <col min="37" max="37" width="6.42578125" style="20" bestFit="1" customWidth="1"/>
    <col min="38" max="38" width="5.85546875" style="20" bestFit="1" customWidth="1"/>
    <col min="39" max="39" width="11.5703125" style="20" bestFit="1" customWidth="1"/>
    <col min="40" max="40" width="10.42578125" style="20" bestFit="1" customWidth="1"/>
    <col min="41" max="41" width="2.7109375" style="20" customWidth="1"/>
    <col min="42" max="42" width="5.85546875" style="20" bestFit="1" customWidth="1"/>
    <col min="43" max="43" width="12.7109375" style="20" bestFit="1" customWidth="1"/>
    <col min="44" max="44" width="11.5703125" style="20" bestFit="1" customWidth="1"/>
    <col min="45" max="45" width="2.7109375" style="20" customWidth="1"/>
    <col min="46" max="46" width="12.7109375" style="20" bestFit="1" customWidth="1"/>
    <col min="47" max="47" width="16" style="20" customWidth="1"/>
    <col min="48" max="48" width="21.7109375" style="20" bestFit="1" customWidth="1"/>
    <col min="49" max="49" width="11" style="20" customWidth="1"/>
    <col min="50" max="50" width="18.28515625" style="20" customWidth="1"/>
    <col min="51" max="51" width="10" style="20" bestFit="1" customWidth="1"/>
    <col min="52" max="260" width="9.140625" style="20"/>
    <col min="261" max="261" width="6.42578125" style="20" bestFit="1" customWidth="1"/>
    <col min="262" max="262" width="6" style="20" bestFit="1" customWidth="1"/>
    <col min="263" max="263" width="2.7109375" style="20" customWidth="1"/>
    <col min="264" max="265" width="10.42578125" style="20" customWidth="1"/>
    <col min="266" max="266" width="2.5703125" style="20" customWidth="1"/>
    <col min="267" max="268" width="10.5703125" style="20" customWidth="1"/>
    <col min="269" max="269" width="2.5703125" style="20" customWidth="1"/>
    <col min="270" max="271" width="10.5703125" style="20" customWidth="1"/>
    <col min="272" max="272" width="2.5703125" style="20" customWidth="1"/>
    <col min="273" max="273" width="12.140625" style="20" bestFit="1" customWidth="1"/>
    <col min="274" max="274" width="10.5703125" style="20" customWidth="1"/>
    <col min="275" max="275" width="2.5703125" style="20" customWidth="1"/>
    <col min="276" max="277" width="10.5703125" style="20" customWidth="1"/>
    <col min="278" max="278" width="2.7109375" style="20" customWidth="1"/>
    <col min="279" max="280" width="9.28515625" style="20" bestFit="1" customWidth="1"/>
    <col min="281" max="281" width="2.7109375" style="20" customWidth="1"/>
    <col min="282" max="283" width="10.42578125" style="20" bestFit="1" customWidth="1"/>
    <col min="284" max="284" width="2.5703125" style="20" customWidth="1"/>
    <col min="285" max="286" width="10.42578125" style="20" customWidth="1"/>
    <col min="287" max="287" width="2.5703125" style="20" customWidth="1"/>
    <col min="288" max="289" width="10.42578125" style="20" customWidth="1"/>
    <col min="290" max="290" width="2.7109375" style="20" customWidth="1"/>
    <col min="291" max="291" width="11.5703125" style="20" bestFit="1" customWidth="1"/>
    <col min="292" max="292" width="10.42578125" style="20" bestFit="1" customWidth="1"/>
    <col min="293" max="293" width="6.42578125" style="20" bestFit="1" customWidth="1"/>
    <col min="294" max="294" width="5.85546875" style="20" bestFit="1" customWidth="1"/>
    <col min="295" max="295" width="10.42578125" style="20" bestFit="1" customWidth="1"/>
    <col min="296" max="296" width="8.7109375" style="20" bestFit="1" customWidth="1"/>
    <col min="297" max="297" width="2.7109375" style="20" customWidth="1"/>
    <col min="298" max="298" width="5.85546875" style="20" bestFit="1" customWidth="1"/>
    <col min="299" max="299" width="12.7109375" style="20" bestFit="1" customWidth="1"/>
    <col min="300" max="300" width="11.5703125" style="20" bestFit="1" customWidth="1"/>
    <col min="301" max="301" width="2.7109375" style="20" customWidth="1"/>
    <col min="302" max="302" width="12.7109375" style="20" bestFit="1" customWidth="1"/>
    <col min="303" max="303" width="9.140625" style="20"/>
    <col min="304" max="304" width="21.7109375" style="20" bestFit="1" customWidth="1"/>
    <col min="305" max="305" width="9.140625" style="20"/>
    <col min="306" max="306" width="10.7109375" style="20" customWidth="1"/>
    <col min="307" max="307" width="10" style="20" bestFit="1" customWidth="1"/>
    <col min="308" max="516" width="9.140625" style="20"/>
    <col min="517" max="517" width="6.42578125" style="20" bestFit="1" customWidth="1"/>
    <col min="518" max="518" width="6" style="20" bestFit="1" customWidth="1"/>
    <col min="519" max="519" width="2.7109375" style="20" customWidth="1"/>
    <col min="520" max="521" width="10.42578125" style="20" customWidth="1"/>
    <col min="522" max="522" width="2.5703125" style="20" customWidth="1"/>
    <col min="523" max="524" width="10.5703125" style="20" customWidth="1"/>
    <col min="525" max="525" width="2.5703125" style="20" customWidth="1"/>
    <col min="526" max="527" width="10.5703125" style="20" customWidth="1"/>
    <col min="528" max="528" width="2.5703125" style="20" customWidth="1"/>
    <col min="529" max="529" width="12.140625" style="20" bestFit="1" customWidth="1"/>
    <col min="530" max="530" width="10.5703125" style="20" customWidth="1"/>
    <col min="531" max="531" width="2.5703125" style="20" customWidth="1"/>
    <col min="532" max="533" width="10.5703125" style="20" customWidth="1"/>
    <col min="534" max="534" width="2.7109375" style="20" customWidth="1"/>
    <col min="535" max="536" width="9.28515625" style="20" bestFit="1" customWidth="1"/>
    <col min="537" max="537" width="2.7109375" style="20" customWidth="1"/>
    <col min="538" max="539" width="10.42578125" style="20" bestFit="1" customWidth="1"/>
    <col min="540" max="540" width="2.5703125" style="20" customWidth="1"/>
    <col min="541" max="542" width="10.42578125" style="20" customWidth="1"/>
    <col min="543" max="543" width="2.5703125" style="20" customWidth="1"/>
    <col min="544" max="545" width="10.42578125" style="20" customWidth="1"/>
    <col min="546" max="546" width="2.7109375" style="20" customWidth="1"/>
    <col min="547" max="547" width="11.5703125" style="20" bestFit="1" customWidth="1"/>
    <col min="548" max="548" width="10.42578125" style="20" bestFit="1" customWidth="1"/>
    <col min="549" max="549" width="6.42578125" style="20" bestFit="1" customWidth="1"/>
    <col min="550" max="550" width="5.85546875" style="20" bestFit="1" customWidth="1"/>
    <col min="551" max="551" width="10.42578125" style="20" bestFit="1" customWidth="1"/>
    <col min="552" max="552" width="8.7109375" style="20" bestFit="1" customWidth="1"/>
    <col min="553" max="553" width="2.7109375" style="20" customWidth="1"/>
    <col min="554" max="554" width="5.85546875" style="20" bestFit="1" customWidth="1"/>
    <col min="555" max="555" width="12.7109375" style="20" bestFit="1" customWidth="1"/>
    <col min="556" max="556" width="11.5703125" style="20" bestFit="1" customWidth="1"/>
    <col min="557" max="557" width="2.7109375" style="20" customWidth="1"/>
    <col min="558" max="558" width="12.7109375" style="20" bestFit="1" customWidth="1"/>
    <col min="559" max="559" width="9.140625" style="20"/>
    <col min="560" max="560" width="21.7109375" style="20" bestFit="1" customWidth="1"/>
    <col min="561" max="561" width="9.140625" style="20"/>
    <col min="562" max="562" width="10.7109375" style="20" customWidth="1"/>
    <col min="563" max="563" width="10" style="20" bestFit="1" customWidth="1"/>
    <col min="564" max="772" width="9.140625" style="20"/>
    <col min="773" max="773" width="6.42578125" style="20" bestFit="1" customWidth="1"/>
    <col min="774" max="774" width="6" style="20" bestFit="1" customWidth="1"/>
    <col min="775" max="775" width="2.7109375" style="20" customWidth="1"/>
    <col min="776" max="777" width="10.42578125" style="20" customWidth="1"/>
    <col min="778" max="778" width="2.5703125" style="20" customWidth="1"/>
    <col min="779" max="780" width="10.5703125" style="20" customWidth="1"/>
    <col min="781" max="781" width="2.5703125" style="20" customWidth="1"/>
    <col min="782" max="783" width="10.5703125" style="20" customWidth="1"/>
    <col min="784" max="784" width="2.5703125" style="20" customWidth="1"/>
    <col min="785" max="785" width="12.140625" style="20" bestFit="1" customWidth="1"/>
    <col min="786" max="786" width="10.5703125" style="20" customWidth="1"/>
    <col min="787" max="787" width="2.5703125" style="20" customWidth="1"/>
    <col min="788" max="789" width="10.5703125" style="20" customWidth="1"/>
    <col min="790" max="790" width="2.7109375" style="20" customWidth="1"/>
    <col min="791" max="792" width="9.28515625" style="20" bestFit="1" customWidth="1"/>
    <col min="793" max="793" width="2.7109375" style="20" customWidth="1"/>
    <col min="794" max="795" width="10.42578125" style="20" bestFit="1" customWidth="1"/>
    <col min="796" max="796" width="2.5703125" style="20" customWidth="1"/>
    <col min="797" max="798" width="10.42578125" style="20" customWidth="1"/>
    <col min="799" max="799" width="2.5703125" style="20" customWidth="1"/>
    <col min="800" max="801" width="10.42578125" style="20" customWidth="1"/>
    <col min="802" max="802" width="2.7109375" style="20" customWidth="1"/>
    <col min="803" max="803" width="11.5703125" style="20" bestFit="1" customWidth="1"/>
    <col min="804" max="804" width="10.42578125" style="20" bestFit="1" customWidth="1"/>
    <col min="805" max="805" width="6.42578125" style="20" bestFit="1" customWidth="1"/>
    <col min="806" max="806" width="5.85546875" style="20" bestFit="1" customWidth="1"/>
    <col min="807" max="807" width="10.42578125" style="20" bestFit="1" customWidth="1"/>
    <col min="808" max="808" width="8.7109375" style="20" bestFit="1" customWidth="1"/>
    <col min="809" max="809" width="2.7109375" style="20" customWidth="1"/>
    <col min="810" max="810" width="5.85546875" style="20" bestFit="1" customWidth="1"/>
    <col min="811" max="811" width="12.7109375" style="20" bestFit="1" customWidth="1"/>
    <col min="812" max="812" width="11.5703125" style="20" bestFit="1" customWidth="1"/>
    <col min="813" max="813" width="2.7109375" style="20" customWidth="1"/>
    <col min="814" max="814" width="12.7109375" style="20" bestFit="1" customWidth="1"/>
    <col min="815" max="815" width="9.140625" style="20"/>
    <col min="816" max="816" width="21.7109375" style="20" bestFit="1" customWidth="1"/>
    <col min="817" max="817" width="9.140625" style="20"/>
    <col min="818" max="818" width="10.7109375" style="20" customWidth="1"/>
    <col min="819" max="819" width="10" style="20" bestFit="1" customWidth="1"/>
    <col min="820" max="1028" width="9.140625" style="20"/>
    <col min="1029" max="1029" width="6.42578125" style="20" bestFit="1" customWidth="1"/>
    <col min="1030" max="1030" width="6" style="20" bestFit="1" customWidth="1"/>
    <col min="1031" max="1031" width="2.7109375" style="20" customWidth="1"/>
    <col min="1032" max="1033" width="10.42578125" style="20" customWidth="1"/>
    <col min="1034" max="1034" width="2.5703125" style="20" customWidth="1"/>
    <col min="1035" max="1036" width="10.5703125" style="20" customWidth="1"/>
    <col min="1037" max="1037" width="2.5703125" style="20" customWidth="1"/>
    <col min="1038" max="1039" width="10.5703125" style="20" customWidth="1"/>
    <col min="1040" max="1040" width="2.5703125" style="20" customWidth="1"/>
    <col min="1041" max="1041" width="12.140625" style="20" bestFit="1" customWidth="1"/>
    <col min="1042" max="1042" width="10.5703125" style="20" customWidth="1"/>
    <col min="1043" max="1043" width="2.5703125" style="20" customWidth="1"/>
    <col min="1044" max="1045" width="10.5703125" style="20" customWidth="1"/>
    <col min="1046" max="1046" width="2.7109375" style="20" customWidth="1"/>
    <col min="1047" max="1048" width="9.28515625" style="20" bestFit="1" customWidth="1"/>
    <col min="1049" max="1049" width="2.7109375" style="20" customWidth="1"/>
    <col min="1050" max="1051" width="10.42578125" style="20" bestFit="1" customWidth="1"/>
    <col min="1052" max="1052" width="2.5703125" style="20" customWidth="1"/>
    <col min="1053" max="1054" width="10.42578125" style="20" customWidth="1"/>
    <col min="1055" max="1055" width="2.5703125" style="20" customWidth="1"/>
    <col min="1056" max="1057" width="10.42578125" style="20" customWidth="1"/>
    <col min="1058" max="1058" width="2.7109375" style="20" customWidth="1"/>
    <col min="1059" max="1059" width="11.5703125" style="20" bestFit="1" customWidth="1"/>
    <col min="1060" max="1060" width="10.42578125" style="20" bestFit="1" customWidth="1"/>
    <col min="1061" max="1061" width="6.42578125" style="20" bestFit="1" customWidth="1"/>
    <col min="1062" max="1062" width="5.85546875" style="20" bestFit="1" customWidth="1"/>
    <col min="1063" max="1063" width="10.42578125" style="20" bestFit="1" customWidth="1"/>
    <col min="1064" max="1064" width="8.7109375" style="20" bestFit="1" customWidth="1"/>
    <col min="1065" max="1065" width="2.7109375" style="20" customWidth="1"/>
    <col min="1066" max="1066" width="5.85546875" style="20" bestFit="1" customWidth="1"/>
    <col min="1067" max="1067" width="12.7109375" style="20" bestFit="1" customWidth="1"/>
    <col min="1068" max="1068" width="11.5703125" style="20" bestFit="1" customWidth="1"/>
    <col min="1069" max="1069" width="2.7109375" style="20" customWidth="1"/>
    <col min="1070" max="1070" width="12.7109375" style="20" bestFit="1" customWidth="1"/>
    <col min="1071" max="1071" width="9.140625" style="20"/>
    <col min="1072" max="1072" width="21.7109375" style="20" bestFit="1" customWidth="1"/>
    <col min="1073" max="1073" width="9.140625" style="20"/>
    <col min="1074" max="1074" width="10.7109375" style="20" customWidth="1"/>
    <col min="1075" max="1075" width="10" style="20" bestFit="1" customWidth="1"/>
    <col min="1076" max="1284" width="9.140625" style="20"/>
    <col min="1285" max="1285" width="6.42578125" style="20" bestFit="1" customWidth="1"/>
    <col min="1286" max="1286" width="6" style="20" bestFit="1" customWidth="1"/>
    <col min="1287" max="1287" width="2.7109375" style="20" customWidth="1"/>
    <col min="1288" max="1289" width="10.42578125" style="20" customWidth="1"/>
    <col min="1290" max="1290" width="2.5703125" style="20" customWidth="1"/>
    <col min="1291" max="1292" width="10.5703125" style="20" customWidth="1"/>
    <col min="1293" max="1293" width="2.5703125" style="20" customWidth="1"/>
    <col min="1294" max="1295" width="10.5703125" style="20" customWidth="1"/>
    <col min="1296" max="1296" width="2.5703125" style="20" customWidth="1"/>
    <col min="1297" max="1297" width="12.140625" style="20" bestFit="1" customWidth="1"/>
    <col min="1298" max="1298" width="10.5703125" style="20" customWidth="1"/>
    <col min="1299" max="1299" width="2.5703125" style="20" customWidth="1"/>
    <col min="1300" max="1301" width="10.5703125" style="20" customWidth="1"/>
    <col min="1302" max="1302" width="2.7109375" style="20" customWidth="1"/>
    <col min="1303" max="1304" width="9.28515625" style="20" bestFit="1" customWidth="1"/>
    <col min="1305" max="1305" width="2.7109375" style="20" customWidth="1"/>
    <col min="1306" max="1307" width="10.42578125" style="20" bestFit="1" customWidth="1"/>
    <col min="1308" max="1308" width="2.5703125" style="20" customWidth="1"/>
    <col min="1309" max="1310" width="10.42578125" style="20" customWidth="1"/>
    <col min="1311" max="1311" width="2.5703125" style="20" customWidth="1"/>
    <col min="1312" max="1313" width="10.42578125" style="20" customWidth="1"/>
    <col min="1314" max="1314" width="2.7109375" style="20" customWidth="1"/>
    <col min="1315" max="1315" width="11.5703125" style="20" bestFit="1" customWidth="1"/>
    <col min="1316" max="1316" width="10.42578125" style="20" bestFit="1" customWidth="1"/>
    <col min="1317" max="1317" width="6.42578125" style="20" bestFit="1" customWidth="1"/>
    <col min="1318" max="1318" width="5.85546875" style="20" bestFit="1" customWidth="1"/>
    <col min="1319" max="1319" width="10.42578125" style="20" bestFit="1" customWidth="1"/>
    <col min="1320" max="1320" width="8.7109375" style="20" bestFit="1" customWidth="1"/>
    <col min="1321" max="1321" width="2.7109375" style="20" customWidth="1"/>
    <col min="1322" max="1322" width="5.85546875" style="20" bestFit="1" customWidth="1"/>
    <col min="1323" max="1323" width="12.7109375" style="20" bestFit="1" customWidth="1"/>
    <col min="1324" max="1324" width="11.5703125" style="20" bestFit="1" customWidth="1"/>
    <col min="1325" max="1325" width="2.7109375" style="20" customWidth="1"/>
    <col min="1326" max="1326" width="12.7109375" style="20" bestFit="1" customWidth="1"/>
    <col min="1327" max="1327" width="9.140625" style="20"/>
    <col min="1328" max="1328" width="21.7109375" style="20" bestFit="1" customWidth="1"/>
    <col min="1329" max="1329" width="9.140625" style="20"/>
    <col min="1330" max="1330" width="10.7109375" style="20" customWidth="1"/>
    <col min="1331" max="1331" width="10" style="20" bestFit="1" customWidth="1"/>
    <col min="1332" max="1540" width="9.140625" style="20"/>
    <col min="1541" max="1541" width="6.42578125" style="20" bestFit="1" customWidth="1"/>
    <col min="1542" max="1542" width="6" style="20" bestFit="1" customWidth="1"/>
    <col min="1543" max="1543" width="2.7109375" style="20" customWidth="1"/>
    <col min="1544" max="1545" width="10.42578125" style="20" customWidth="1"/>
    <col min="1546" max="1546" width="2.5703125" style="20" customWidth="1"/>
    <col min="1547" max="1548" width="10.5703125" style="20" customWidth="1"/>
    <col min="1549" max="1549" width="2.5703125" style="20" customWidth="1"/>
    <col min="1550" max="1551" width="10.5703125" style="20" customWidth="1"/>
    <col min="1552" max="1552" width="2.5703125" style="20" customWidth="1"/>
    <col min="1553" max="1553" width="12.140625" style="20" bestFit="1" customWidth="1"/>
    <col min="1554" max="1554" width="10.5703125" style="20" customWidth="1"/>
    <col min="1555" max="1555" width="2.5703125" style="20" customWidth="1"/>
    <col min="1556" max="1557" width="10.5703125" style="20" customWidth="1"/>
    <col min="1558" max="1558" width="2.7109375" style="20" customWidth="1"/>
    <col min="1559" max="1560" width="9.28515625" style="20" bestFit="1" customWidth="1"/>
    <col min="1561" max="1561" width="2.7109375" style="20" customWidth="1"/>
    <col min="1562" max="1563" width="10.42578125" style="20" bestFit="1" customWidth="1"/>
    <col min="1564" max="1564" width="2.5703125" style="20" customWidth="1"/>
    <col min="1565" max="1566" width="10.42578125" style="20" customWidth="1"/>
    <col min="1567" max="1567" width="2.5703125" style="20" customWidth="1"/>
    <col min="1568" max="1569" width="10.42578125" style="20" customWidth="1"/>
    <col min="1570" max="1570" width="2.7109375" style="20" customWidth="1"/>
    <col min="1571" max="1571" width="11.5703125" style="20" bestFit="1" customWidth="1"/>
    <col min="1572" max="1572" width="10.42578125" style="20" bestFit="1" customWidth="1"/>
    <col min="1573" max="1573" width="6.42578125" style="20" bestFit="1" customWidth="1"/>
    <col min="1574" max="1574" width="5.85546875" style="20" bestFit="1" customWidth="1"/>
    <col min="1575" max="1575" width="10.42578125" style="20" bestFit="1" customWidth="1"/>
    <col min="1576" max="1576" width="8.7109375" style="20" bestFit="1" customWidth="1"/>
    <col min="1577" max="1577" width="2.7109375" style="20" customWidth="1"/>
    <col min="1578" max="1578" width="5.85546875" style="20" bestFit="1" customWidth="1"/>
    <col min="1579" max="1579" width="12.7109375" style="20" bestFit="1" customWidth="1"/>
    <col min="1580" max="1580" width="11.5703125" style="20" bestFit="1" customWidth="1"/>
    <col min="1581" max="1581" width="2.7109375" style="20" customWidth="1"/>
    <col min="1582" max="1582" width="12.7109375" style="20" bestFit="1" customWidth="1"/>
    <col min="1583" max="1583" width="9.140625" style="20"/>
    <col min="1584" max="1584" width="21.7109375" style="20" bestFit="1" customWidth="1"/>
    <col min="1585" max="1585" width="9.140625" style="20"/>
    <col min="1586" max="1586" width="10.7109375" style="20" customWidth="1"/>
    <col min="1587" max="1587" width="10" style="20" bestFit="1" customWidth="1"/>
    <col min="1588" max="1796" width="9.140625" style="20"/>
    <col min="1797" max="1797" width="6.42578125" style="20" bestFit="1" customWidth="1"/>
    <col min="1798" max="1798" width="6" style="20" bestFit="1" customWidth="1"/>
    <col min="1799" max="1799" width="2.7109375" style="20" customWidth="1"/>
    <col min="1800" max="1801" width="10.42578125" style="20" customWidth="1"/>
    <col min="1802" max="1802" width="2.5703125" style="20" customWidth="1"/>
    <col min="1803" max="1804" width="10.5703125" style="20" customWidth="1"/>
    <col min="1805" max="1805" width="2.5703125" style="20" customWidth="1"/>
    <col min="1806" max="1807" width="10.5703125" style="20" customWidth="1"/>
    <col min="1808" max="1808" width="2.5703125" style="20" customWidth="1"/>
    <col min="1809" max="1809" width="12.140625" style="20" bestFit="1" customWidth="1"/>
    <col min="1810" max="1810" width="10.5703125" style="20" customWidth="1"/>
    <col min="1811" max="1811" width="2.5703125" style="20" customWidth="1"/>
    <col min="1812" max="1813" width="10.5703125" style="20" customWidth="1"/>
    <col min="1814" max="1814" width="2.7109375" style="20" customWidth="1"/>
    <col min="1815" max="1816" width="9.28515625" style="20" bestFit="1" customWidth="1"/>
    <col min="1817" max="1817" width="2.7109375" style="20" customWidth="1"/>
    <col min="1818" max="1819" width="10.42578125" style="20" bestFit="1" customWidth="1"/>
    <col min="1820" max="1820" width="2.5703125" style="20" customWidth="1"/>
    <col min="1821" max="1822" width="10.42578125" style="20" customWidth="1"/>
    <col min="1823" max="1823" width="2.5703125" style="20" customWidth="1"/>
    <col min="1824" max="1825" width="10.42578125" style="20" customWidth="1"/>
    <col min="1826" max="1826" width="2.7109375" style="20" customWidth="1"/>
    <col min="1827" max="1827" width="11.5703125" style="20" bestFit="1" customWidth="1"/>
    <col min="1828" max="1828" width="10.42578125" style="20" bestFit="1" customWidth="1"/>
    <col min="1829" max="1829" width="6.42578125" style="20" bestFit="1" customWidth="1"/>
    <col min="1830" max="1830" width="5.85546875" style="20" bestFit="1" customWidth="1"/>
    <col min="1831" max="1831" width="10.42578125" style="20" bestFit="1" customWidth="1"/>
    <col min="1832" max="1832" width="8.7109375" style="20" bestFit="1" customWidth="1"/>
    <col min="1833" max="1833" width="2.7109375" style="20" customWidth="1"/>
    <col min="1834" max="1834" width="5.85546875" style="20" bestFit="1" customWidth="1"/>
    <col min="1835" max="1835" width="12.7109375" style="20" bestFit="1" customWidth="1"/>
    <col min="1836" max="1836" width="11.5703125" style="20" bestFit="1" customWidth="1"/>
    <col min="1837" max="1837" width="2.7109375" style="20" customWidth="1"/>
    <col min="1838" max="1838" width="12.7109375" style="20" bestFit="1" customWidth="1"/>
    <col min="1839" max="1839" width="9.140625" style="20"/>
    <col min="1840" max="1840" width="21.7109375" style="20" bestFit="1" customWidth="1"/>
    <col min="1841" max="1841" width="9.140625" style="20"/>
    <col min="1842" max="1842" width="10.7109375" style="20" customWidth="1"/>
    <col min="1843" max="1843" width="10" style="20" bestFit="1" customWidth="1"/>
    <col min="1844" max="2052" width="9.140625" style="20"/>
    <col min="2053" max="2053" width="6.42578125" style="20" bestFit="1" customWidth="1"/>
    <col min="2054" max="2054" width="6" style="20" bestFit="1" customWidth="1"/>
    <col min="2055" max="2055" width="2.7109375" style="20" customWidth="1"/>
    <col min="2056" max="2057" width="10.42578125" style="20" customWidth="1"/>
    <col min="2058" max="2058" width="2.5703125" style="20" customWidth="1"/>
    <col min="2059" max="2060" width="10.5703125" style="20" customWidth="1"/>
    <col min="2061" max="2061" width="2.5703125" style="20" customWidth="1"/>
    <col min="2062" max="2063" width="10.5703125" style="20" customWidth="1"/>
    <col min="2064" max="2064" width="2.5703125" style="20" customWidth="1"/>
    <col min="2065" max="2065" width="12.140625" style="20" bestFit="1" customWidth="1"/>
    <col min="2066" max="2066" width="10.5703125" style="20" customWidth="1"/>
    <col min="2067" max="2067" width="2.5703125" style="20" customWidth="1"/>
    <col min="2068" max="2069" width="10.5703125" style="20" customWidth="1"/>
    <col min="2070" max="2070" width="2.7109375" style="20" customWidth="1"/>
    <col min="2071" max="2072" width="9.28515625" style="20" bestFit="1" customWidth="1"/>
    <col min="2073" max="2073" width="2.7109375" style="20" customWidth="1"/>
    <col min="2074" max="2075" width="10.42578125" style="20" bestFit="1" customWidth="1"/>
    <col min="2076" max="2076" width="2.5703125" style="20" customWidth="1"/>
    <col min="2077" max="2078" width="10.42578125" style="20" customWidth="1"/>
    <col min="2079" max="2079" width="2.5703125" style="20" customWidth="1"/>
    <col min="2080" max="2081" width="10.42578125" style="20" customWidth="1"/>
    <col min="2082" max="2082" width="2.7109375" style="20" customWidth="1"/>
    <col min="2083" max="2083" width="11.5703125" style="20" bestFit="1" customWidth="1"/>
    <col min="2084" max="2084" width="10.42578125" style="20" bestFit="1" customWidth="1"/>
    <col min="2085" max="2085" width="6.42578125" style="20" bestFit="1" customWidth="1"/>
    <col min="2086" max="2086" width="5.85546875" style="20" bestFit="1" customWidth="1"/>
    <col min="2087" max="2087" width="10.42578125" style="20" bestFit="1" customWidth="1"/>
    <col min="2088" max="2088" width="8.7109375" style="20" bestFit="1" customWidth="1"/>
    <col min="2089" max="2089" width="2.7109375" style="20" customWidth="1"/>
    <col min="2090" max="2090" width="5.85546875" style="20" bestFit="1" customWidth="1"/>
    <col min="2091" max="2091" width="12.7109375" style="20" bestFit="1" customWidth="1"/>
    <col min="2092" max="2092" width="11.5703125" style="20" bestFit="1" customWidth="1"/>
    <col min="2093" max="2093" width="2.7109375" style="20" customWidth="1"/>
    <col min="2094" max="2094" width="12.7109375" style="20" bestFit="1" customWidth="1"/>
    <col min="2095" max="2095" width="9.140625" style="20"/>
    <col min="2096" max="2096" width="21.7109375" style="20" bestFit="1" customWidth="1"/>
    <col min="2097" max="2097" width="9.140625" style="20"/>
    <col min="2098" max="2098" width="10.7109375" style="20" customWidth="1"/>
    <col min="2099" max="2099" width="10" style="20" bestFit="1" customWidth="1"/>
    <col min="2100" max="2308" width="9.140625" style="20"/>
    <col min="2309" max="2309" width="6.42578125" style="20" bestFit="1" customWidth="1"/>
    <col min="2310" max="2310" width="6" style="20" bestFit="1" customWidth="1"/>
    <col min="2311" max="2311" width="2.7109375" style="20" customWidth="1"/>
    <col min="2312" max="2313" width="10.42578125" style="20" customWidth="1"/>
    <col min="2314" max="2314" width="2.5703125" style="20" customWidth="1"/>
    <col min="2315" max="2316" width="10.5703125" style="20" customWidth="1"/>
    <col min="2317" max="2317" width="2.5703125" style="20" customWidth="1"/>
    <col min="2318" max="2319" width="10.5703125" style="20" customWidth="1"/>
    <col min="2320" max="2320" width="2.5703125" style="20" customWidth="1"/>
    <col min="2321" max="2321" width="12.140625" style="20" bestFit="1" customWidth="1"/>
    <col min="2322" max="2322" width="10.5703125" style="20" customWidth="1"/>
    <col min="2323" max="2323" width="2.5703125" style="20" customWidth="1"/>
    <col min="2324" max="2325" width="10.5703125" style="20" customWidth="1"/>
    <col min="2326" max="2326" width="2.7109375" style="20" customWidth="1"/>
    <col min="2327" max="2328" width="9.28515625" style="20" bestFit="1" customWidth="1"/>
    <col min="2329" max="2329" width="2.7109375" style="20" customWidth="1"/>
    <col min="2330" max="2331" width="10.42578125" style="20" bestFit="1" customWidth="1"/>
    <col min="2332" max="2332" width="2.5703125" style="20" customWidth="1"/>
    <col min="2333" max="2334" width="10.42578125" style="20" customWidth="1"/>
    <col min="2335" max="2335" width="2.5703125" style="20" customWidth="1"/>
    <col min="2336" max="2337" width="10.42578125" style="20" customWidth="1"/>
    <col min="2338" max="2338" width="2.7109375" style="20" customWidth="1"/>
    <col min="2339" max="2339" width="11.5703125" style="20" bestFit="1" customWidth="1"/>
    <col min="2340" max="2340" width="10.42578125" style="20" bestFit="1" customWidth="1"/>
    <col min="2341" max="2341" width="6.42578125" style="20" bestFit="1" customWidth="1"/>
    <col min="2342" max="2342" width="5.85546875" style="20" bestFit="1" customWidth="1"/>
    <col min="2343" max="2343" width="10.42578125" style="20" bestFit="1" customWidth="1"/>
    <col min="2344" max="2344" width="8.7109375" style="20" bestFit="1" customWidth="1"/>
    <col min="2345" max="2345" width="2.7109375" style="20" customWidth="1"/>
    <col min="2346" max="2346" width="5.85546875" style="20" bestFit="1" customWidth="1"/>
    <col min="2347" max="2347" width="12.7109375" style="20" bestFit="1" customWidth="1"/>
    <col min="2348" max="2348" width="11.5703125" style="20" bestFit="1" customWidth="1"/>
    <col min="2349" max="2349" width="2.7109375" style="20" customWidth="1"/>
    <col min="2350" max="2350" width="12.7109375" style="20" bestFit="1" customWidth="1"/>
    <col min="2351" max="2351" width="9.140625" style="20"/>
    <col min="2352" max="2352" width="21.7109375" style="20" bestFit="1" customWidth="1"/>
    <col min="2353" max="2353" width="9.140625" style="20"/>
    <col min="2354" max="2354" width="10.7109375" style="20" customWidth="1"/>
    <col min="2355" max="2355" width="10" style="20" bestFit="1" customWidth="1"/>
    <col min="2356" max="2564" width="9.140625" style="20"/>
    <col min="2565" max="2565" width="6.42578125" style="20" bestFit="1" customWidth="1"/>
    <col min="2566" max="2566" width="6" style="20" bestFit="1" customWidth="1"/>
    <col min="2567" max="2567" width="2.7109375" style="20" customWidth="1"/>
    <col min="2568" max="2569" width="10.42578125" style="20" customWidth="1"/>
    <col min="2570" max="2570" width="2.5703125" style="20" customWidth="1"/>
    <col min="2571" max="2572" width="10.5703125" style="20" customWidth="1"/>
    <col min="2573" max="2573" width="2.5703125" style="20" customWidth="1"/>
    <col min="2574" max="2575" width="10.5703125" style="20" customWidth="1"/>
    <col min="2576" max="2576" width="2.5703125" style="20" customWidth="1"/>
    <col min="2577" max="2577" width="12.140625" style="20" bestFit="1" customWidth="1"/>
    <col min="2578" max="2578" width="10.5703125" style="20" customWidth="1"/>
    <col min="2579" max="2579" width="2.5703125" style="20" customWidth="1"/>
    <col min="2580" max="2581" width="10.5703125" style="20" customWidth="1"/>
    <col min="2582" max="2582" width="2.7109375" style="20" customWidth="1"/>
    <col min="2583" max="2584" width="9.28515625" style="20" bestFit="1" customWidth="1"/>
    <col min="2585" max="2585" width="2.7109375" style="20" customWidth="1"/>
    <col min="2586" max="2587" width="10.42578125" style="20" bestFit="1" customWidth="1"/>
    <col min="2588" max="2588" width="2.5703125" style="20" customWidth="1"/>
    <col min="2589" max="2590" width="10.42578125" style="20" customWidth="1"/>
    <col min="2591" max="2591" width="2.5703125" style="20" customWidth="1"/>
    <col min="2592" max="2593" width="10.42578125" style="20" customWidth="1"/>
    <col min="2594" max="2594" width="2.7109375" style="20" customWidth="1"/>
    <col min="2595" max="2595" width="11.5703125" style="20" bestFit="1" customWidth="1"/>
    <col min="2596" max="2596" width="10.42578125" style="20" bestFit="1" customWidth="1"/>
    <col min="2597" max="2597" width="6.42578125" style="20" bestFit="1" customWidth="1"/>
    <col min="2598" max="2598" width="5.85546875" style="20" bestFit="1" customWidth="1"/>
    <col min="2599" max="2599" width="10.42578125" style="20" bestFit="1" customWidth="1"/>
    <col min="2600" max="2600" width="8.7109375" style="20" bestFit="1" customWidth="1"/>
    <col min="2601" max="2601" width="2.7109375" style="20" customWidth="1"/>
    <col min="2602" max="2602" width="5.85546875" style="20" bestFit="1" customWidth="1"/>
    <col min="2603" max="2603" width="12.7109375" style="20" bestFit="1" customWidth="1"/>
    <col min="2604" max="2604" width="11.5703125" style="20" bestFit="1" customWidth="1"/>
    <col min="2605" max="2605" width="2.7109375" style="20" customWidth="1"/>
    <col min="2606" max="2606" width="12.7109375" style="20" bestFit="1" customWidth="1"/>
    <col min="2607" max="2607" width="9.140625" style="20"/>
    <col min="2608" max="2608" width="21.7109375" style="20" bestFit="1" customWidth="1"/>
    <col min="2609" max="2609" width="9.140625" style="20"/>
    <col min="2610" max="2610" width="10.7109375" style="20" customWidth="1"/>
    <col min="2611" max="2611" width="10" style="20" bestFit="1" customWidth="1"/>
    <col min="2612" max="2820" width="9.140625" style="20"/>
    <col min="2821" max="2821" width="6.42578125" style="20" bestFit="1" customWidth="1"/>
    <col min="2822" max="2822" width="6" style="20" bestFit="1" customWidth="1"/>
    <col min="2823" max="2823" width="2.7109375" style="20" customWidth="1"/>
    <col min="2824" max="2825" width="10.42578125" style="20" customWidth="1"/>
    <col min="2826" max="2826" width="2.5703125" style="20" customWidth="1"/>
    <col min="2827" max="2828" width="10.5703125" style="20" customWidth="1"/>
    <col min="2829" max="2829" width="2.5703125" style="20" customWidth="1"/>
    <col min="2830" max="2831" width="10.5703125" style="20" customWidth="1"/>
    <col min="2832" max="2832" width="2.5703125" style="20" customWidth="1"/>
    <col min="2833" max="2833" width="12.140625" style="20" bestFit="1" customWidth="1"/>
    <col min="2834" max="2834" width="10.5703125" style="20" customWidth="1"/>
    <col min="2835" max="2835" width="2.5703125" style="20" customWidth="1"/>
    <col min="2836" max="2837" width="10.5703125" style="20" customWidth="1"/>
    <col min="2838" max="2838" width="2.7109375" style="20" customWidth="1"/>
    <col min="2839" max="2840" width="9.28515625" style="20" bestFit="1" customWidth="1"/>
    <col min="2841" max="2841" width="2.7109375" style="20" customWidth="1"/>
    <col min="2842" max="2843" width="10.42578125" style="20" bestFit="1" customWidth="1"/>
    <col min="2844" max="2844" width="2.5703125" style="20" customWidth="1"/>
    <col min="2845" max="2846" width="10.42578125" style="20" customWidth="1"/>
    <col min="2847" max="2847" width="2.5703125" style="20" customWidth="1"/>
    <col min="2848" max="2849" width="10.42578125" style="20" customWidth="1"/>
    <col min="2850" max="2850" width="2.7109375" style="20" customWidth="1"/>
    <col min="2851" max="2851" width="11.5703125" style="20" bestFit="1" customWidth="1"/>
    <col min="2852" max="2852" width="10.42578125" style="20" bestFit="1" customWidth="1"/>
    <col min="2853" max="2853" width="6.42578125" style="20" bestFit="1" customWidth="1"/>
    <col min="2854" max="2854" width="5.85546875" style="20" bestFit="1" customWidth="1"/>
    <col min="2855" max="2855" width="10.42578125" style="20" bestFit="1" customWidth="1"/>
    <col min="2856" max="2856" width="8.7109375" style="20" bestFit="1" customWidth="1"/>
    <col min="2857" max="2857" width="2.7109375" style="20" customWidth="1"/>
    <col min="2858" max="2858" width="5.85546875" style="20" bestFit="1" customWidth="1"/>
    <col min="2859" max="2859" width="12.7109375" style="20" bestFit="1" customWidth="1"/>
    <col min="2860" max="2860" width="11.5703125" style="20" bestFit="1" customWidth="1"/>
    <col min="2861" max="2861" width="2.7109375" style="20" customWidth="1"/>
    <col min="2862" max="2862" width="12.7109375" style="20" bestFit="1" customWidth="1"/>
    <col min="2863" max="2863" width="9.140625" style="20"/>
    <col min="2864" max="2864" width="21.7109375" style="20" bestFit="1" customWidth="1"/>
    <col min="2865" max="2865" width="9.140625" style="20"/>
    <col min="2866" max="2866" width="10.7109375" style="20" customWidth="1"/>
    <col min="2867" max="2867" width="10" style="20" bestFit="1" customWidth="1"/>
    <col min="2868" max="3076" width="9.140625" style="20"/>
    <col min="3077" max="3077" width="6.42578125" style="20" bestFit="1" customWidth="1"/>
    <col min="3078" max="3078" width="6" style="20" bestFit="1" customWidth="1"/>
    <col min="3079" max="3079" width="2.7109375" style="20" customWidth="1"/>
    <col min="3080" max="3081" width="10.42578125" style="20" customWidth="1"/>
    <col min="3082" max="3082" width="2.5703125" style="20" customWidth="1"/>
    <col min="3083" max="3084" width="10.5703125" style="20" customWidth="1"/>
    <col min="3085" max="3085" width="2.5703125" style="20" customWidth="1"/>
    <col min="3086" max="3087" width="10.5703125" style="20" customWidth="1"/>
    <col min="3088" max="3088" width="2.5703125" style="20" customWidth="1"/>
    <col min="3089" max="3089" width="12.140625" style="20" bestFit="1" customWidth="1"/>
    <col min="3090" max="3090" width="10.5703125" style="20" customWidth="1"/>
    <col min="3091" max="3091" width="2.5703125" style="20" customWidth="1"/>
    <col min="3092" max="3093" width="10.5703125" style="20" customWidth="1"/>
    <col min="3094" max="3094" width="2.7109375" style="20" customWidth="1"/>
    <col min="3095" max="3096" width="9.28515625" style="20" bestFit="1" customWidth="1"/>
    <col min="3097" max="3097" width="2.7109375" style="20" customWidth="1"/>
    <col min="3098" max="3099" width="10.42578125" style="20" bestFit="1" customWidth="1"/>
    <col min="3100" max="3100" width="2.5703125" style="20" customWidth="1"/>
    <col min="3101" max="3102" width="10.42578125" style="20" customWidth="1"/>
    <col min="3103" max="3103" width="2.5703125" style="20" customWidth="1"/>
    <col min="3104" max="3105" width="10.42578125" style="20" customWidth="1"/>
    <col min="3106" max="3106" width="2.7109375" style="20" customWidth="1"/>
    <col min="3107" max="3107" width="11.5703125" style="20" bestFit="1" customWidth="1"/>
    <col min="3108" max="3108" width="10.42578125" style="20" bestFit="1" customWidth="1"/>
    <col min="3109" max="3109" width="6.42578125" style="20" bestFit="1" customWidth="1"/>
    <col min="3110" max="3110" width="5.85546875" style="20" bestFit="1" customWidth="1"/>
    <col min="3111" max="3111" width="10.42578125" style="20" bestFit="1" customWidth="1"/>
    <col min="3112" max="3112" width="8.7109375" style="20" bestFit="1" customWidth="1"/>
    <col min="3113" max="3113" width="2.7109375" style="20" customWidth="1"/>
    <col min="3114" max="3114" width="5.85546875" style="20" bestFit="1" customWidth="1"/>
    <col min="3115" max="3115" width="12.7109375" style="20" bestFit="1" customWidth="1"/>
    <col min="3116" max="3116" width="11.5703125" style="20" bestFit="1" customWidth="1"/>
    <col min="3117" max="3117" width="2.7109375" style="20" customWidth="1"/>
    <col min="3118" max="3118" width="12.7109375" style="20" bestFit="1" customWidth="1"/>
    <col min="3119" max="3119" width="9.140625" style="20"/>
    <col min="3120" max="3120" width="21.7109375" style="20" bestFit="1" customWidth="1"/>
    <col min="3121" max="3121" width="9.140625" style="20"/>
    <col min="3122" max="3122" width="10.7109375" style="20" customWidth="1"/>
    <col min="3123" max="3123" width="10" style="20" bestFit="1" customWidth="1"/>
    <col min="3124" max="3332" width="9.140625" style="20"/>
    <col min="3333" max="3333" width="6.42578125" style="20" bestFit="1" customWidth="1"/>
    <col min="3334" max="3334" width="6" style="20" bestFit="1" customWidth="1"/>
    <col min="3335" max="3335" width="2.7109375" style="20" customWidth="1"/>
    <col min="3336" max="3337" width="10.42578125" style="20" customWidth="1"/>
    <col min="3338" max="3338" width="2.5703125" style="20" customWidth="1"/>
    <col min="3339" max="3340" width="10.5703125" style="20" customWidth="1"/>
    <col min="3341" max="3341" width="2.5703125" style="20" customWidth="1"/>
    <col min="3342" max="3343" width="10.5703125" style="20" customWidth="1"/>
    <col min="3344" max="3344" width="2.5703125" style="20" customWidth="1"/>
    <col min="3345" max="3345" width="12.140625" style="20" bestFit="1" customWidth="1"/>
    <col min="3346" max="3346" width="10.5703125" style="20" customWidth="1"/>
    <col min="3347" max="3347" width="2.5703125" style="20" customWidth="1"/>
    <col min="3348" max="3349" width="10.5703125" style="20" customWidth="1"/>
    <col min="3350" max="3350" width="2.7109375" style="20" customWidth="1"/>
    <col min="3351" max="3352" width="9.28515625" style="20" bestFit="1" customWidth="1"/>
    <col min="3353" max="3353" width="2.7109375" style="20" customWidth="1"/>
    <col min="3354" max="3355" width="10.42578125" style="20" bestFit="1" customWidth="1"/>
    <col min="3356" max="3356" width="2.5703125" style="20" customWidth="1"/>
    <col min="3357" max="3358" width="10.42578125" style="20" customWidth="1"/>
    <col min="3359" max="3359" width="2.5703125" style="20" customWidth="1"/>
    <col min="3360" max="3361" width="10.42578125" style="20" customWidth="1"/>
    <col min="3362" max="3362" width="2.7109375" style="20" customWidth="1"/>
    <col min="3363" max="3363" width="11.5703125" style="20" bestFit="1" customWidth="1"/>
    <col min="3364" max="3364" width="10.42578125" style="20" bestFit="1" customWidth="1"/>
    <col min="3365" max="3365" width="6.42578125" style="20" bestFit="1" customWidth="1"/>
    <col min="3366" max="3366" width="5.85546875" style="20" bestFit="1" customWidth="1"/>
    <col min="3367" max="3367" width="10.42578125" style="20" bestFit="1" customWidth="1"/>
    <col min="3368" max="3368" width="8.7109375" style="20" bestFit="1" customWidth="1"/>
    <col min="3369" max="3369" width="2.7109375" style="20" customWidth="1"/>
    <col min="3370" max="3370" width="5.85546875" style="20" bestFit="1" customWidth="1"/>
    <col min="3371" max="3371" width="12.7109375" style="20" bestFit="1" customWidth="1"/>
    <col min="3372" max="3372" width="11.5703125" style="20" bestFit="1" customWidth="1"/>
    <col min="3373" max="3373" width="2.7109375" style="20" customWidth="1"/>
    <col min="3374" max="3374" width="12.7109375" style="20" bestFit="1" customWidth="1"/>
    <col min="3375" max="3375" width="9.140625" style="20"/>
    <col min="3376" max="3376" width="21.7109375" style="20" bestFit="1" customWidth="1"/>
    <col min="3377" max="3377" width="9.140625" style="20"/>
    <col min="3378" max="3378" width="10.7109375" style="20" customWidth="1"/>
    <col min="3379" max="3379" width="10" style="20" bestFit="1" customWidth="1"/>
    <col min="3380" max="3588" width="9.140625" style="20"/>
    <col min="3589" max="3589" width="6.42578125" style="20" bestFit="1" customWidth="1"/>
    <col min="3590" max="3590" width="6" style="20" bestFit="1" customWidth="1"/>
    <col min="3591" max="3591" width="2.7109375" style="20" customWidth="1"/>
    <col min="3592" max="3593" width="10.42578125" style="20" customWidth="1"/>
    <col min="3594" max="3594" width="2.5703125" style="20" customWidth="1"/>
    <col min="3595" max="3596" width="10.5703125" style="20" customWidth="1"/>
    <col min="3597" max="3597" width="2.5703125" style="20" customWidth="1"/>
    <col min="3598" max="3599" width="10.5703125" style="20" customWidth="1"/>
    <col min="3600" max="3600" width="2.5703125" style="20" customWidth="1"/>
    <col min="3601" max="3601" width="12.140625" style="20" bestFit="1" customWidth="1"/>
    <col min="3602" max="3602" width="10.5703125" style="20" customWidth="1"/>
    <col min="3603" max="3603" width="2.5703125" style="20" customWidth="1"/>
    <col min="3604" max="3605" width="10.5703125" style="20" customWidth="1"/>
    <col min="3606" max="3606" width="2.7109375" style="20" customWidth="1"/>
    <col min="3607" max="3608" width="9.28515625" style="20" bestFit="1" customWidth="1"/>
    <col min="3609" max="3609" width="2.7109375" style="20" customWidth="1"/>
    <col min="3610" max="3611" width="10.42578125" style="20" bestFit="1" customWidth="1"/>
    <col min="3612" max="3612" width="2.5703125" style="20" customWidth="1"/>
    <col min="3613" max="3614" width="10.42578125" style="20" customWidth="1"/>
    <col min="3615" max="3615" width="2.5703125" style="20" customWidth="1"/>
    <col min="3616" max="3617" width="10.42578125" style="20" customWidth="1"/>
    <col min="3618" max="3618" width="2.7109375" style="20" customWidth="1"/>
    <col min="3619" max="3619" width="11.5703125" style="20" bestFit="1" customWidth="1"/>
    <col min="3620" max="3620" width="10.42578125" style="20" bestFit="1" customWidth="1"/>
    <col min="3621" max="3621" width="6.42578125" style="20" bestFit="1" customWidth="1"/>
    <col min="3622" max="3622" width="5.85546875" style="20" bestFit="1" customWidth="1"/>
    <col min="3623" max="3623" width="10.42578125" style="20" bestFit="1" customWidth="1"/>
    <col min="3624" max="3624" width="8.7109375" style="20" bestFit="1" customWidth="1"/>
    <col min="3625" max="3625" width="2.7109375" style="20" customWidth="1"/>
    <col min="3626" max="3626" width="5.85546875" style="20" bestFit="1" customWidth="1"/>
    <col min="3627" max="3627" width="12.7109375" style="20" bestFit="1" customWidth="1"/>
    <col min="3628" max="3628" width="11.5703125" style="20" bestFit="1" customWidth="1"/>
    <col min="3629" max="3629" width="2.7109375" style="20" customWidth="1"/>
    <col min="3630" max="3630" width="12.7109375" style="20" bestFit="1" customWidth="1"/>
    <col min="3631" max="3631" width="9.140625" style="20"/>
    <col min="3632" max="3632" width="21.7109375" style="20" bestFit="1" customWidth="1"/>
    <col min="3633" max="3633" width="9.140625" style="20"/>
    <col min="3634" max="3634" width="10.7109375" style="20" customWidth="1"/>
    <col min="3635" max="3635" width="10" style="20" bestFit="1" customWidth="1"/>
    <col min="3636" max="3844" width="9.140625" style="20"/>
    <col min="3845" max="3845" width="6.42578125" style="20" bestFit="1" customWidth="1"/>
    <col min="3846" max="3846" width="6" style="20" bestFit="1" customWidth="1"/>
    <col min="3847" max="3847" width="2.7109375" style="20" customWidth="1"/>
    <col min="3848" max="3849" width="10.42578125" style="20" customWidth="1"/>
    <col min="3850" max="3850" width="2.5703125" style="20" customWidth="1"/>
    <col min="3851" max="3852" width="10.5703125" style="20" customWidth="1"/>
    <col min="3853" max="3853" width="2.5703125" style="20" customWidth="1"/>
    <col min="3854" max="3855" width="10.5703125" style="20" customWidth="1"/>
    <col min="3856" max="3856" width="2.5703125" style="20" customWidth="1"/>
    <col min="3857" max="3857" width="12.140625" style="20" bestFit="1" customWidth="1"/>
    <col min="3858" max="3858" width="10.5703125" style="20" customWidth="1"/>
    <col min="3859" max="3859" width="2.5703125" style="20" customWidth="1"/>
    <col min="3860" max="3861" width="10.5703125" style="20" customWidth="1"/>
    <col min="3862" max="3862" width="2.7109375" style="20" customWidth="1"/>
    <col min="3863" max="3864" width="9.28515625" style="20" bestFit="1" customWidth="1"/>
    <col min="3865" max="3865" width="2.7109375" style="20" customWidth="1"/>
    <col min="3866" max="3867" width="10.42578125" style="20" bestFit="1" customWidth="1"/>
    <col min="3868" max="3868" width="2.5703125" style="20" customWidth="1"/>
    <col min="3869" max="3870" width="10.42578125" style="20" customWidth="1"/>
    <col min="3871" max="3871" width="2.5703125" style="20" customWidth="1"/>
    <col min="3872" max="3873" width="10.42578125" style="20" customWidth="1"/>
    <col min="3874" max="3874" width="2.7109375" style="20" customWidth="1"/>
    <col min="3875" max="3875" width="11.5703125" style="20" bestFit="1" customWidth="1"/>
    <col min="3876" max="3876" width="10.42578125" style="20" bestFit="1" customWidth="1"/>
    <col min="3877" max="3877" width="6.42578125" style="20" bestFit="1" customWidth="1"/>
    <col min="3878" max="3878" width="5.85546875" style="20" bestFit="1" customWidth="1"/>
    <col min="3879" max="3879" width="10.42578125" style="20" bestFit="1" customWidth="1"/>
    <col min="3880" max="3880" width="8.7109375" style="20" bestFit="1" customWidth="1"/>
    <col min="3881" max="3881" width="2.7109375" style="20" customWidth="1"/>
    <col min="3882" max="3882" width="5.85546875" style="20" bestFit="1" customWidth="1"/>
    <col min="3883" max="3883" width="12.7109375" style="20" bestFit="1" customWidth="1"/>
    <col min="3884" max="3884" width="11.5703125" style="20" bestFit="1" customWidth="1"/>
    <col min="3885" max="3885" width="2.7109375" style="20" customWidth="1"/>
    <col min="3886" max="3886" width="12.7109375" style="20" bestFit="1" customWidth="1"/>
    <col min="3887" max="3887" width="9.140625" style="20"/>
    <col min="3888" max="3888" width="21.7109375" style="20" bestFit="1" customWidth="1"/>
    <col min="3889" max="3889" width="9.140625" style="20"/>
    <col min="3890" max="3890" width="10.7109375" style="20" customWidth="1"/>
    <col min="3891" max="3891" width="10" style="20" bestFit="1" customWidth="1"/>
    <col min="3892" max="4100" width="9.140625" style="20"/>
    <col min="4101" max="4101" width="6.42578125" style="20" bestFit="1" customWidth="1"/>
    <col min="4102" max="4102" width="6" style="20" bestFit="1" customWidth="1"/>
    <col min="4103" max="4103" width="2.7109375" style="20" customWidth="1"/>
    <col min="4104" max="4105" width="10.42578125" style="20" customWidth="1"/>
    <col min="4106" max="4106" width="2.5703125" style="20" customWidth="1"/>
    <col min="4107" max="4108" width="10.5703125" style="20" customWidth="1"/>
    <col min="4109" max="4109" width="2.5703125" style="20" customWidth="1"/>
    <col min="4110" max="4111" width="10.5703125" style="20" customWidth="1"/>
    <col min="4112" max="4112" width="2.5703125" style="20" customWidth="1"/>
    <col min="4113" max="4113" width="12.140625" style="20" bestFit="1" customWidth="1"/>
    <col min="4114" max="4114" width="10.5703125" style="20" customWidth="1"/>
    <col min="4115" max="4115" width="2.5703125" style="20" customWidth="1"/>
    <col min="4116" max="4117" width="10.5703125" style="20" customWidth="1"/>
    <col min="4118" max="4118" width="2.7109375" style="20" customWidth="1"/>
    <col min="4119" max="4120" width="9.28515625" style="20" bestFit="1" customWidth="1"/>
    <col min="4121" max="4121" width="2.7109375" style="20" customWidth="1"/>
    <col min="4122" max="4123" width="10.42578125" style="20" bestFit="1" customWidth="1"/>
    <col min="4124" max="4124" width="2.5703125" style="20" customWidth="1"/>
    <col min="4125" max="4126" width="10.42578125" style="20" customWidth="1"/>
    <col min="4127" max="4127" width="2.5703125" style="20" customWidth="1"/>
    <col min="4128" max="4129" width="10.42578125" style="20" customWidth="1"/>
    <col min="4130" max="4130" width="2.7109375" style="20" customWidth="1"/>
    <col min="4131" max="4131" width="11.5703125" style="20" bestFit="1" customWidth="1"/>
    <col min="4132" max="4132" width="10.42578125" style="20" bestFit="1" customWidth="1"/>
    <col min="4133" max="4133" width="6.42578125" style="20" bestFit="1" customWidth="1"/>
    <col min="4134" max="4134" width="5.85546875" style="20" bestFit="1" customWidth="1"/>
    <col min="4135" max="4135" width="10.42578125" style="20" bestFit="1" customWidth="1"/>
    <col min="4136" max="4136" width="8.7109375" style="20" bestFit="1" customWidth="1"/>
    <col min="4137" max="4137" width="2.7109375" style="20" customWidth="1"/>
    <col min="4138" max="4138" width="5.85546875" style="20" bestFit="1" customWidth="1"/>
    <col min="4139" max="4139" width="12.7109375" style="20" bestFit="1" customWidth="1"/>
    <col min="4140" max="4140" width="11.5703125" style="20" bestFit="1" customWidth="1"/>
    <col min="4141" max="4141" width="2.7109375" style="20" customWidth="1"/>
    <col min="4142" max="4142" width="12.7109375" style="20" bestFit="1" customWidth="1"/>
    <col min="4143" max="4143" width="9.140625" style="20"/>
    <col min="4144" max="4144" width="21.7109375" style="20" bestFit="1" customWidth="1"/>
    <col min="4145" max="4145" width="9.140625" style="20"/>
    <col min="4146" max="4146" width="10.7109375" style="20" customWidth="1"/>
    <col min="4147" max="4147" width="10" style="20" bestFit="1" customWidth="1"/>
    <col min="4148" max="4356" width="9.140625" style="20"/>
    <col min="4357" max="4357" width="6.42578125" style="20" bestFit="1" customWidth="1"/>
    <col min="4358" max="4358" width="6" style="20" bestFit="1" customWidth="1"/>
    <col min="4359" max="4359" width="2.7109375" style="20" customWidth="1"/>
    <col min="4360" max="4361" width="10.42578125" style="20" customWidth="1"/>
    <col min="4362" max="4362" width="2.5703125" style="20" customWidth="1"/>
    <col min="4363" max="4364" width="10.5703125" style="20" customWidth="1"/>
    <col min="4365" max="4365" width="2.5703125" style="20" customWidth="1"/>
    <col min="4366" max="4367" width="10.5703125" style="20" customWidth="1"/>
    <col min="4368" max="4368" width="2.5703125" style="20" customWidth="1"/>
    <col min="4369" max="4369" width="12.140625" style="20" bestFit="1" customWidth="1"/>
    <col min="4370" max="4370" width="10.5703125" style="20" customWidth="1"/>
    <col min="4371" max="4371" width="2.5703125" style="20" customWidth="1"/>
    <col min="4372" max="4373" width="10.5703125" style="20" customWidth="1"/>
    <col min="4374" max="4374" width="2.7109375" style="20" customWidth="1"/>
    <col min="4375" max="4376" width="9.28515625" style="20" bestFit="1" customWidth="1"/>
    <col min="4377" max="4377" width="2.7109375" style="20" customWidth="1"/>
    <col min="4378" max="4379" width="10.42578125" style="20" bestFit="1" customWidth="1"/>
    <col min="4380" max="4380" width="2.5703125" style="20" customWidth="1"/>
    <col min="4381" max="4382" width="10.42578125" style="20" customWidth="1"/>
    <col min="4383" max="4383" width="2.5703125" style="20" customWidth="1"/>
    <col min="4384" max="4385" width="10.42578125" style="20" customWidth="1"/>
    <col min="4386" max="4386" width="2.7109375" style="20" customWidth="1"/>
    <col min="4387" max="4387" width="11.5703125" style="20" bestFit="1" customWidth="1"/>
    <col min="4388" max="4388" width="10.42578125" style="20" bestFit="1" customWidth="1"/>
    <col min="4389" max="4389" width="6.42578125" style="20" bestFit="1" customWidth="1"/>
    <col min="4390" max="4390" width="5.85546875" style="20" bestFit="1" customWidth="1"/>
    <col min="4391" max="4391" width="10.42578125" style="20" bestFit="1" customWidth="1"/>
    <col min="4392" max="4392" width="8.7109375" style="20" bestFit="1" customWidth="1"/>
    <col min="4393" max="4393" width="2.7109375" style="20" customWidth="1"/>
    <col min="4394" max="4394" width="5.85546875" style="20" bestFit="1" customWidth="1"/>
    <col min="4395" max="4395" width="12.7109375" style="20" bestFit="1" customWidth="1"/>
    <col min="4396" max="4396" width="11.5703125" style="20" bestFit="1" customWidth="1"/>
    <col min="4397" max="4397" width="2.7109375" style="20" customWidth="1"/>
    <col min="4398" max="4398" width="12.7109375" style="20" bestFit="1" customWidth="1"/>
    <col min="4399" max="4399" width="9.140625" style="20"/>
    <col min="4400" max="4400" width="21.7109375" style="20" bestFit="1" customWidth="1"/>
    <col min="4401" max="4401" width="9.140625" style="20"/>
    <col min="4402" max="4402" width="10.7109375" style="20" customWidth="1"/>
    <col min="4403" max="4403" width="10" style="20" bestFit="1" customWidth="1"/>
    <col min="4404" max="4612" width="9.140625" style="20"/>
    <col min="4613" max="4613" width="6.42578125" style="20" bestFit="1" customWidth="1"/>
    <col min="4614" max="4614" width="6" style="20" bestFit="1" customWidth="1"/>
    <col min="4615" max="4615" width="2.7109375" style="20" customWidth="1"/>
    <col min="4616" max="4617" width="10.42578125" style="20" customWidth="1"/>
    <col min="4618" max="4618" width="2.5703125" style="20" customWidth="1"/>
    <col min="4619" max="4620" width="10.5703125" style="20" customWidth="1"/>
    <col min="4621" max="4621" width="2.5703125" style="20" customWidth="1"/>
    <col min="4622" max="4623" width="10.5703125" style="20" customWidth="1"/>
    <col min="4624" max="4624" width="2.5703125" style="20" customWidth="1"/>
    <col min="4625" max="4625" width="12.140625" style="20" bestFit="1" customWidth="1"/>
    <col min="4626" max="4626" width="10.5703125" style="20" customWidth="1"/>
    <col min="4627" max="4627" width="2.5703125" style="20" customWidth="1"/>
    <col min="4628" max="4629" width="10.5703125" style="20" customWidth="1"/>
    <col min="4630" max="4630" width="2.7109375" style="20" customWidth="1"/>
    <col min="4631" max="4632" width="9.28515625" style="20" bestFit="1" customWidth="1"/>
    <col min="4633" max="4633" width="2.7109375" style="20" customWidth="1"/>
    <col min="4634" max="4635" width="10.42578125" style="20" bestFit="1" customWidth="1"/>
    <col min="4636" max="4636" width="2.5703125" style="20" customWidth="1"/>
    <col min="4637" max="4638" width="10.42578125" style="20" customWidth="1"/>
    <col min="4639" max="4639" width="2.5703125" style="20" customWidth="1"/>
    <col min="4640" max="4641" width="10.42578125" style="20" customWidth="1"/>
    <col min="4642" max="4642" width="2.7109375" style="20" customWidth="1"/>
    <col min="4643" max="4643" width="11.5703125" style="20" bestFit="1" customWidth="1"/>
    <col min="4644" max="4644" width="10.42578125" style="20" bestFit="1" customWidth="1"/>
    <col min="4645" max="4645" width="6.42578125" style="20" bestFit="1" customWidth="1"/>
    <col min="4646" max="4646" width="5.85546875" style="20" bestFit="1" customWidth="1"/>
    <col min="4647" max="4647" width="10.42578125" style="20" bestFit="1" customWidth="1"/>
    <col min="4648" max="4648" width="8.7109375" style="20" bestFit="1" customWidth="1"/>
    <col min="4649" max="4649" width="2.7109375" style="20" customWidth="1"/>
    <col min="4650" max="4650" width="5.85546875" style="20" bestFit="1" customWidth="1"/>
    <col min="4651" max="4651" width="12.7109375" style="20" bestFit="1" customWidth="1"/>
    <col min="4652" max="4652" width="11.5703125" style="20" bestFit="1" customWidth="1"/>
    <col min="4653" max="4653" width="2.7109375" style="20" customWidth="1"/>
    <col min="4654" max="4654" width="12.7109375" style="20" bestFit="1" customWidth="1"/>
    <col min="4655" max="4655" width="9.140625" style="20"/>
    <col min="4656" max="4656" width="21.7109375" style="20" bestFit="1" customWidth="1"/>
    <col min="4657" max="4657" width="9.140625" style="20"/>
    <col min="4658" max="4658" width="10.7109375" style="20" customWidth="1"/>
    <col min="4659" max="4659" width="10" style="20" bestFit="1" customWidth="1"/>
    <col min="4660" max="4868" width="9.140625" style="20"/>
    <col min="4869" max="4869" width="6.42578125" style="20" bestFit="1" customWidth="1"/>
    <col min="4870" max="4870" width="6" style="20" bestFit="1" customWidth="1"/>
    <col min="4871" max="4871" width="2.7109375" style="20" customWidth="1"/>
    <col min="4872" max="4873" width="10.42578125" style="20" customWidth="1"/>
    <col min="4874" max="4874" width="2.5703125" style="20" customWidth="1"/>
    <col min="4875" max="4876" width="10.5703125" style="20" customWidth="1"/>
    <col min="4877" max="4877" width="2.5703125" style="20" customWidth="1"/>
    <col min="4878" max="4879" width="10.5703125" style="20" customWidth="1"/>
    <col min="4880" max="4880" width="2.5703125" style="20" customWidth="1"/>
    <col min="4881" max="4881" width="12.140625" style="20" bestFit="1" customWidth="1"/>
    <col min="4882" max="4882" width="10.5703125" style="20" customWidth="1"/>
    <col min="4883" max="4883" width="2.5703125" style="20" customWidth="1"/>
    <col min="4884" max="4885" width="10.5703125" style="20" customWidth="1"/>
    <col min="4886" max="4886" width="2.7109375" style="20" customWidth="1"/>
    <col min="4887" max="4888" width="9.28515625" style="20" bestFit="1" customWidth="1"/>
    <col min="4889" max="4889" width="2.7109375" style="20" customWidth="1"/>
    <col min="4890" max="4891" width="10.42578125" style="20" bestFit="1" customWidth="1"/>
    <col min="4892" max="4892" width="2.5703125" style="20" customWidth="1"/>
    <col min="4893" max="4894" width="10.42578125" style="20" customWidth="1"/>
    <col min="4895" max="4895" width="2.5703125" style="20" customWidth="1"/>
    <col min="4896" max="4897" width="10.42578125" style="20" customWidth="1"/>
    <col min="4898" max="4898" width="2.7109375" style="20" customWidth="1"/>
    <col min="4899" max="4899" width="11.5703125" style="20" bestFit="1" customWidth="1"/>
    <col min="4900" max="4900" width="10.42578125" style="20" bestFit="1" customWidth="1"/>
    <col min="4901" max="4901" width="6.42578125" style="20" bestFit="1" customWidth="1"/>
    <col min="4902" max="4902" width="5.85546875" style="20" bestFit="1" customWidth="1"/>
    <col min="4903" max="4903" width="10.42578125" style="20" bestFit="1" customWidth="1"/>
    <col min="4904" max="4904" width="8.7109375" style="20" bestFit="1" customWidth="1"/>
    <col min="4905" max="4905" width="2.7109375" style="20" customWidth="1"/>
    <col min="4906" max="4906" width="5.85546875" style="20" bestFit="1" customWidth="1"/>
    <col min="4907" max="4907" width="12.7109375" style="20" bestFit="1" customWidth="1"/>
    <col min="4908" max="4908" width="11.5703125" style="20" bestFit="1" customWidth="1"/>
    <col min="4909" max="4909" width="2.7109375" style="20" customWidth="1"/>
    <col min="4910" max="4910" width="12.7109375" style="20" bestFit="1" customWidth="1"/>
    <col min="4911" max="4911" width="9.140625" style="20"/>
    <col min="4912" max="4912" width="21.7109375" style="20" bestFit="1" customWidth="1"/>
    <col min="4913" max="4913" width="9.140625" style="20"/>
    <col min="4914" max="4914" width="10.7109375" style="20" customWidth="1"/>
    <col min="4915" max="4915" width="10" style="20" bestFit="1" customWidth="1"/>
    <col min="4916" max="5124" width="9.140625" style="20"/>
    <col min="5125" max="5125" width="6.42578125" style="20" bestFit="1" customWidth="1"/>
    <col min="5126" max="5126" width="6" style="20" bestFit="1" customWidth="1"/>
    <col min="5127" max="5127" width="2.7109375" style="20" customWidth="1"/>
    <col min="5128" max="5129" width="10.42578125" style="20" customWidth="1"/>
    <col min="5130" max="5130" width="2.5703125" style="20" customWidth="1"/>
    <col min="5131" max="5132" width="10.5703125" style="20" customWidth="1"/>
    <col min="5133" max="5133" width="2.5703125" style="20" customWidth="1"/>
    <col min="5134" max="5135" width="10.5703125" style="20" customWidth="1"/>
    <col min="5136" max="5136" width="2.5703125" style="20" customWidth="1"/>
    <col min="5137" max="5137" width="12.140625" style="20" bestFit="1" customWidth="1"/>
    <col min="5138" max="5138" width="10.5703125" style="20" customWidth="1"/>
    <col min="5139" max="5139" width="2.5703125" style="20" customWidth="1"/>
    <col min="5140" max="5141" width="10.5703125" style="20" customWidth="1"/>
    <col min="5142" max="5142" width="2.7109375" style="20" customWidth="1"/>
    <col min="5143" max="5144" width="9.28515625" style="20" bestFit="1" customWidth="1"/>
    <col min="5145" max="5145" width="2.7109375" style="20" customWidth="1"/>
    <col min="5146" max="5147" width="10.42578125" style="20" bestFit="1" customWidth="1"/>
    <col min="5148" max="5148" width="2.5703125" style="20" customWidth="1"/>
    <col min="5149" max="5150" width="10.42578125" style="20" customWidth="1"/>
    <col min="5151" max="5151" width="2.5703125" style="20" customWidth="1"/>
    <col min="5152" max="5153" width="10.42578125" style="20" customWidth="1"/>
    <col min="5154" max="5154" width="2.7109375" style="20" customWidth="1"/>
    <col min="5155" max="5155" width="11.5703125" style="20" bestFit="1" customWidth="1"/>
    <col min="5156" max="5156" width="10.42578125" style="20" bestFit="1" customWidth="1"/>
    <col min="5157" max="5157" width="6.42578125" style="20" bestFit="1" customWidth="1"/>
    <col min="5158" max="5158" width="5.85546875" style="20" bestFit="1" customWidth="1"/>
    <col min="5159" max="5159" width="10.42578125" style="20" bestFit="1" customWidth="1"/>
    <col min="5160" max="5160" width="8.7109375" style="20" bestFit="1" customWidth="1"/>
    <col min="5161" max="5161" width="2.7109375" style="20" customWidth="1"/>
    <col min="5162" max="5162" width="5.85546875" style="20" bestFit="1" customWidth="1"/>
    <col min="5163" max="5163" width="12.7109375" style="20" bestFit="1" customWidth="1"/>
    <col min="5164" max="5164" width="11.5703125" style="20" bestFit="1" customWidth="1"/>
    <col min="5165" max="5165" width="2.7109375" style="20" customWidth="1"/>
    <col min="5166" max="5166" width="12.7109375" style="20" bestFit="1" customWidth="1"/>
    <col min="5167" max="5167" width="9.140625" style="20"/>
    <col min="5168" max="5168" width="21.7109375" style="20" bestFit="1" customWidth="1"/>
    <col min="5169" max="5169" width="9.140625" style="20"/>
    <col min="5170" max="5170" width="10.7109375" style="20" customWidth="1"/>
    <col min="5171" max="5171" width="10" style="20" bestFit="1" customWidth="1"/>
    <col min="5172" max="5380" width="9.140625" style="20"/>
    <col min="5381" max="5381" width="6.42578125" style="20" bestFit="1" customWidth="1"/>
    <col min="5382" max="5382" width="6" style="20" bestFit="1" customWidth="1"/>
    <col min="5383" max="5383" width="2.7109375" style="20" customWidth="1"/>
    <col min="5384" max="5385" width="10.42578125" style="20" customWidth="1"/>
    <col min="5386" max="5386" width="2.5703125" style="20" customWidth="1"/>
    <col min="5387" max="5388" width="10.5703125" style="20" customWidth="1"/>
    <col min="5389" max="5389" width="2.5703125" style="20" customWidth="1"/>
    <col min="5390" max="5391" width="10.5703125" style="20" customWidth="1"/>
    <col min="5392" max="5392" width="2.5703125" style="20" customWidth="1"/>
    <col min="5393" max="5393" width="12.140625" style="20" bestFit="1" customWidth="1"/>
    <col min="5394" max="5394" width="10.5703125" style="20" customWidth="1"/>
    <col min="5395" max="5395" width="2.5703125" style="20" customWidth="1"/>
    <col min="5396" max="5397" width="10.5703125" style="20" customWidth="1"/>
    <col min="5398" max="5398" width="2.7109375" style="20" customWidth="1"/>
    <col min="5399" max="5400" width="9.28515625" style="20" bestFit="1" customWidth="1"/>
    <col min="5401" max="5401" width="2.7109375" style="20" customWidth="1"/>
    <col min="5402" max="5403" width="10.42578125" style="20" bestFit="1" customWidth="1"/>
    <col min="5404" max="5404" width="2.5703125" style="20" customWidth="1"/>
    <col min="5405" max="5406" width="10.42578125" style="20" customWidth="1"/>
    <col min="5407" max="5407" width="2.5703125" style="20" customWidth="1"/>
    <col min="5408" max="5409" width="10.42578125" style="20" customWidth="1"/>
    <col min="5410" max="5410" width="2.7109375" style="20" customWidth="1"/>
    <col min="5411" max="5411" width="11.5703125" style="20" bestFit="1" customWidth="1"/>
    <col min="5412" max="5412" width="10.42578125" style="20" bestFit="1" customWidth="1"/>
    <col min="5413" max="5413" width="6.42578125" style="20" bestFit="1" customWidth="1"/>
    <col min="5414" max="5414" width="5.85546875" style="20" bestFit="1" customWidth="1"/>
    <col min="5415" max="5415" width="10.42578125" style="20" bestFit="1" customWidth="1"/>
    <col min="5416" max="5416" width="8.7109375" style="20" bestFit="1" customWidth="1"/>
    <col min="5417" max="5417" width="2.7109375" style="20" customWidth="1"/>
    <col min="5418" max="5418" width="5.85546875" style="20" bestFit="1" customWidth="1"/>
    <col min="5419" max="5419" width="12.7109375" style="20" bestFit="1" customWidth="1"/>
    <col min="5420" max="5420" width="11.5703125" style="20" bestFit="1" customWidth="1"/>
    <col min="5421" max="5421" width="2.7109375" style="20" customWidth="1"/>
    <col min="5422" max="5422" width="12.7109375" style="20" bestFit="1" customWidth="1"/>
    <col min="5423" max="5423" width="9.140625" style="20"/>
    <col min="5424" max="5424" width="21.7109375" style="20" bestFit="1" customWidth="1"/>
    <col min="5425" max="5425" width="9.140625" style="20"/>
    <col min="5426" max="5426" width="10.7109375" style="20" customWidth="1"/>
    <col min="5427" max="5427" width="10" style="20" bestFit="1" customWidth="1"/>
    <col min="5428" max="5636" width="9.140625" style="20"/>
    <col min="5637" max="5637" width="6.42578125" style="20" bestFit="1" customWidth="1"/>
    <col min="5638" max="5638" width="6" style="20" bestFit="1" customWidth="1"/>
    <col min="5639" max="5639" width="2.7109375" style="20" customWidth="1"/>
    <col min="5640" max="5641" width="10.42578125" style="20" customWidth="1"/>
    <col min="5642" max="5642" width="2.5703125" style="20" customWidth="1"/>
    <col min="5643" max="5644" width="10.5703125" style="20" customWidth="1"/>
    <col min="5645" max="5645" width="2.5703125" style="20" customWidth="1"/>
    <col min="5646" max="5647" width="10.5703125" style="20" customWidth="1"/>
    <col min="5648" max="5648" width="2.5703125" style="20" customWidth="1"/>
    <col min="5649" max="5649" width="12.140625" style="20" bestFit="1" customWidth="1"/>
    <col min="5650" max="5650" width="10.5703125" style="20" customWidth="1"/>
    <col min="5651" max="5651" width="2.5703125" style="20" customWidth="1"/>
    <col min="5652" max="5653" width="10.5703125" style="20" customWidth="1"/>
    <col min="5654" max="5654" width="2.7109375" style="20" customWidth="1"/>
    <col min="5655" max="5656" width="9.28515625" style="20" bestFit="1" customWidth="1"/>
    <col min="5657" max="5657" width="2.7109375" style="20" customWidth="1"/>
    <col min="5658" max="5659" width="10.42578125" style="20" bestFit="1" customWidth="1"/>
    <col min="5660" max="5660" width="2.5703125" style="20" customWidth="1"/>
    <col min="5661" max="5662" width="10.42578125" style="20" customWidth="1"/>
    <col min="5663" max="5663" width="2.5703125" style="20" customWidth="1"/>
    <col min="5664" max="5665" width="10.42578125" style="20" customWidth="1"/>
    <col min="5666" max="5666" width="2.7109375" style="20" customWidth="1"/>
    <col min="5667" max="5667" width="11.5703125" style="20" bestFit="1" customWidth="1"/>
    <col min="5668" max="5668" width="10.42578125" style="20" bestFit="1" customWidth="1"/>
    <col min="5669" max="5669" width="6.42578125" style="20" bestFit="1" customWidth="1"/>
    <col min="5670" max="5670" width="5.85546875" style="20" bestFit="1" customWidth="1"/>
    <col min="5671" max="5671" width="10.42578125" style="20" bestFit="1" customWidth="1"/>
    <col min="5672" max="5672" width="8.7109375" style="20" bestFit="1" customWidth="1"/>
    <col min="5673" max="5673" width="2.7109375" style="20" customWidth="1"/>
    <col min="5674" max="5674" width="5.85546875" style="20" bestFit="1" customWidth="1"/>
    <col min="5675" max="5675" width="12.7109375" style="20" bestFit="1" customWidth="1"/>
    <col min="5676" max="5676" width="11.5703125" style="20" bestFit="1" customWidth="1"/>
    <col min="5677" max="5677" width="2.7109375" style="20" customWidth="1"/>
    <col min="5678" max="5678" width="12.7109375" style="20" bestFit="1" customWidth="1"/>
    <col min="5679" max="5679" width="9.140625" style="20"/>
    <col min="5680" max="5680" width="21.7109375" style="20" bestFit="1" customWidth="1"/>
    <col min="5681" max="5681" width="9.140625" style="20"/>
    <col min="5682" max="5682" width="10.7109375" style="20" customWidth="1"/>
    <col min="5683" max="5683" width="10" style="20" bestFit="1" customWidth="1"/>
    <col min="5684" max="5892" width="9.140625" style="20"/>
    <col min="5893" max="5893" width="6.42578125" style="20" bestFit="1" customWidth="1"/>
    <col min="5894" max="5894" width="6" style="20" bestFit="1" customWidth="1"/>
    <col min="5895" max="5895" width="2.7109375" style="20" customWidth="1"/>
    <col min="5896" max="5897" width="10.42578125" style="20" customWidth="1"/>
    <col min="5898" max="5898" width="2.5703125" style="20" customWidth="1"/>
    <col min="5899" max="5900" width="10.5703125" style="20" customWidth="1"/>
    <col min="5901" max="5901" width="2.5703125" style="20" customWidth="1"/>
    <col min="5902" max="5903" width="10.5703125" style="20" customWidth="1"/>
    <col min="5904" max="5904" width="2.5703125" style="20" customWidth="1"/>
    <col min="5905" max="5905" width="12.140625" style="20" bestFit="1" customWidth="1"/>
    <col min="5906" max="5906" width="10.5703125" style="20" customWidth="1"/>
    <col min="5907" max="5907" width="2.5703125" style="20" customWidth="1"/>
    <col min="5908" max="5909" width="10.5703125" style="20" customWidth="1"/>
    <col min="5910" max="5910" width="2.7109375" style="20" customWidth="1"/>
    <col min="5911" max="5912" width="9.28515625" style="20" bestFit="1" customWidth="1"/>
    <col min="5913" max="5913" width="2.7109375" style="20" customWidth="1"/>
    <col min="5914" max="5915" width="10.42578125" style="20" bestFit="1" customWidth="1"/>
    <col min="5916" max="5916" width="2.5703125" style="20" customWidth="1"/>
    <col min="5917" max="5918" width="10.42578125" style="20" customWidth="1"/>
    <col min="5919" max="5919" width="2.5703125" style="20" customWidth="1"/>
    <col min="5920" max="5921" width="10.42578125" style="20" customWidth="1"/>
    <col min="5922" max="5922" width="2.7109375" style="20" customWidth="1"/>
    <col min="5923" max="5923" width="11.5703125" style="20" bestFit="1" customWidth="1"/>
    <col min="5924" max="5924" width="10.42578125" style="20" bestFit="1" customWidth="1"/>
    <col min="5925" max="5925" width="6.42578125" style="20" bestFit="1" customWidth="1"/>
    <col min="5926" max="5926" width="5.85546875" style="20" bestFit="1" customWidth="1"/>
    <col min="5927" max="5927" width="10.42578125" style="20" bestFit="1" customWidth="1"/>
    <col min="5928" max="5928" width="8.7109375" style="20" bestFit="1" customWidth="1"/>
    <col min="5929" max="5929" width="2.7109375" style="20" customWidth="1"/>
    <col min="5930" max="5930" width="5.85546875" style="20" bestFit="1" customWidth="1"/>
    <col min="5931" max="5931" width="12.7109375" style="20" bestFit="1" customWidth="1"/>
    <col min="5932" max="5932" width="11.5703125" style="20" bestFit="1" customWidth="1"/>
    <col min="5933" max="5933" width="2.7109375" style="20" customWidth="1"/>
    <col min="5934" max="5934" width="12.7109375" style="20" bestFit="1" customWidth="1"/>
    <col min="5935" max="5935" width="9.140625" style="20"/>
    <col min="5936" max="5936" width="21.7109375" style="20" bestFit="1" customWidth="1"/>
    <col min="5937" max="5937" width="9.140625" style="20"/>
    <col min="5938" max="5938" width="10.7109375" style="20" customWidth="1"/>
    <col min="5939" max="5939" width="10" style="20" bestFit="1" customWidth="1"/>
    <col min="5940" max="6148" width="9.140625" style="20"/>
    <col min="6149" max="6149" width="6.42578125" style="20" bestFit="1" customWidth="1"/>
    <col min="6150" max="6150" width="6" style="20" bestFit="1" customWidth="1"/>
    <col min="6151" max="6151" width="2.7109375" style="20" customWidth="1"/>
    <col min="6152" max="6153" width="10.42578125" style="20" customWidth="1"/>
    <col min="6154" max="6154" width="2.5703125" style="20" customWidth="1"/>
    <col min="6155" max="6156" width="10.5703125" style="20" customWidth="1"/>
    <col min="6157" max="6157" width="2.5703125" style="20" customWidth="1"/>
    <col min="6158" max="6159" width="10.5703125" style="20" customWidth="1"/>
    <col min="6160" max="6160" width="2.5703125" style="20" customWidth="1"/>
    <col min="6161" max="6161" width="12.140625" style="20" bestFit="1" customWidth="1"/>
    <col min="6162" max="6162" width="10.5703125" style="20" customWidth="1"/>
    <col min="6163" max="6163" width="2.5703125" style="20" customWidth="1"/>
    <col min="6164" max="6165" width="10.5703125" style="20" customWidth="1"/>
    <col min="6166" max="6166" width="2.7109375" style="20" customWidth="1"/>
    <col min="6167" max="6168" width="9.28515625" style="20" bestFit="1" customWidth="1"/>
    <col min="6169" max="6169" width="2.7109375" style="20" customWidth="1"/>
    <col min="6170" max="6171" width="10.42578125" style="20" bestFit="1" customWidth="1"/>
    <col min="6172" max="6172" width="2.5703125" style="20" customWidth="1"/>
    <col min="6173" max="6174" width="10.42578125" style="20" customWidth="1"/>
    <col min="6175" max="6175" width="2.5703125" style="20" customWidth="1"/>
    <col min="6176" max="6177" width="10.42578125" style="20" customWidth="1"/>
    <col min="6178" max="6178" width="2.7109375" style="20" customWidth="1"/>
    <col min="6179" max="6179" width="11.5703125" style="20" bestFit="1" customWidth="1"/>
    <col min="6180" max="6180" width="10.42578125" style="20" bestFit="1" customWidth="1"/>
    <col min="6181" max="6181" width="6.42578125" style="20" bestFit="1" customWidth="1"/>
    <col min="6182" max="6182" width="5.85546875" style="20" bestFit="1" customWidth="1"/>
    <col min="6183" max="6183" width="10.42578125" style="20" bestFit="1" customWidth="1"/>
    <col min="6184" max="6184" width="8.7109375" style="20" bestFit="1" customWidth="1"/>
    <col min="6185" max="6185" width="2.7109375" style="20" customWidth="1"/>
    <col min="6186" max="6186" width="5.85546875" style="20" bestFit="1" customWidth="1"/>
    <col min="6187" max="6187" width="12.7109375" style="20" bestFit="1" customWidth="1"/>
    <col min="6188" max="6188" width="11.5703125" style="20" bestFit="1" customWidth="1"/>
    <col min="6189" max="6189" width="2.7109375" style="20" customWidth="1"/>
    <col min="6190" max="6190" width="12.7109375" style="20" bestFit="1" customWidth="1"/>
    <col min="6191" max="6191" width="9.140625" style="20"/>
    <col min="6192" max="6192" width="21.7109375" style="20" bestFit="1" customWidth="1"/>
    <col min="6193" max="6193" width="9.140625" style="20"/>
    <col min="6194" max="6194" width="10.7109375" style="20" customWidth="1"/>
    <col min="6195" max="6195" width="10" style="20" bestFit="1" customWidth="1"/>
    <col min="6196" max="6404" width="9.140625" style="20"/>
    <col min="6405" max="6405" width="6.42578125" style="20" bestFit="1" customWidth="1"/>
    <col min="6406" max="6406" width="6" style="20" bestFit="1" customWidth="1"/>
    <col min="6407" max="6407" width="2.7109375" style="20" customWidth="1"/>
    <col min="6408" max="6409" width="10.42578125" style="20" customWidth="1"/>
    <col min="6410" max="6410" width="2.5703125" style="20" customWidth="1"/>
    <col min="6411" max="6412" width="10.5703125" style="20" customWidth="1"/>
    <col min="6413" max="6413" width="2.5703125" style="20" customWidth="1"/>
    <col min="6414" max="6415" width="10.5703125" style="20" customWidth="1"/>
    <col min="6416" max="6416" width="2.5703125" style="20" customWidth="1"/>
    <col min="6417" max="6417" width="12.140625" style="20" bestFit="1" customWidth="1"/>
    <col min="6418" max="6418" width="10.5703125" style="20" customWidth="1"/>
    <col min="6419" max="6419" width="2.5703125" style="20" customWidth="1"/>
    <col min="6420" max="6421" width="10.5703125" style="20" customWidth="1"/>
    <col min="6422" max="6422" width="2.7109375" style="20" customWidth="1"/>
    <col min="6423" max="6424" width="9.28515625" style="20" bestFit="1" customWidth="1"/>
    <col min="6425" max="6425" width="2.7109375" style="20" customWidth="1"/>
    <col min="6426" max="6427" width="10.42578125" style="20" bestFit="1" customWidth="1"/>
    <col min="6428" max="6428" width="2.5703125" style="20" customWidth="1"/>
    <col min="6429" max="6430" width="10.42578125" style="20" customWidth="1"/>
    <col min="6431" max="6431" width="2.5703125" style="20" customWidth="1"/>
    <col min="6432" max="6433" width="10.42578125" style="20" customWidth="1"/>
    <col min="6434" max="6434" width="2.7109375" style="20" customWidth="1"/>
    <col min="6435" max="6435" width="11.5703125" style="20" bestFit="1" customWidth="1"/>
    <col min="6436" max="6436" width="10.42578125" style="20" bestFit="1" customWidth="1"/>
    <col min="6437" max="6437" width="6.42578125" style="20" bestFit="1" customWidth="1"/>
    <col min="6438" max="6438" width="5.85546875" style="20" bestFit="1" customWidth="1"/>
    <col min="6439" max="6439" width="10.42578125" style="20" bestFit="1" customWidth="1"/>
    <col min="6440" max="6440" width="8.7109375" style="20" bestFit="1" customWidth="1"/>
    <col min="6441" max="6441" width="2.7109375" style="20" customWidth="1"/>
    <col min="6442" max="6442" width="5.85546875" style="20" bestFit="1" customWidth="1"/>
    <col min="6443" max="6443" width="12.7109375" style="20" bestFit="1" customWidth="1"/>
    <col min="6444" max="6444" width="11.5703125" style="20" bestFit="1" customWidth="1"/>
    <col min="6445" max="6445" width="2.7109375" style="20" customWidth="1"/>
    <col min="6446" max="6446" width="12.7109375" style="20" bestFit="1" customWidth="1"/>
    <col min="6447" max="6447" width="9.140625" style="20"/>
    <col min="6448" max="6448" width="21.7109375" style="20" bestFit="1" customWidth="1"/>
    <col min="6449" max="6449" width="9.140625" style="20"/>
    <col min="6450" max="6450" width="10.7109375" style="20" customWidth="1"/>
    <col min="6451" max="6451" width="10" style="20" bestFit="1" customWidth="1"/>
    <col min="6452" max="6660" width="9.140625" style="20"/>
    <col min="6661" max="6661" width="6.42578125" style="20" bestFit="1" customWidth="1"/>
    <col min="6662" max="6662" width="6" style="20" bestFit="1" customWidth="1"/>
    <col min="6663" max="6663" width="2.7109375" style="20" customWidth="1"/>
    <col min="6664" max="6665" width="10.42578125" style="20" customWidth="1"/>
    <col min="6666" max="6666" width="2.5703125" style="20" customWidth="1"/>
    <col min="6667" max="6668" width="10.5703125" style="20" customWidth="1"/>
    <col min="6669" max="6669" width="2.5703125" style="20" customWidth="1"/>
    <col min="6670" max="6671" width="10.5703125" style="20" customWidth="1"/>
    <col min="6672" max="6672" width="2.5703125" style="20" customWidth="1"/>
    <col min="6673" max="6673" width="12.140625" style="20" bestFit="1" customWidth="1"/>
    <col min="6674" max="6674" width="10.5703125" style="20" customWidth="1"/>
    <col min="6675" max="6675" width="2.5703125" style="20" customWidth="1"/>
    <col min="6676" max="6677" width="10.5703125" style="20" customWidth="1"/>
    <col min="6678" max="6678" width="2.7109375" style="20" customWidth="1"/>
    <col min="6679" max="6680" width="9.28515625" style="20" bestFit="1" customWidth="1"/>
    <col min="6681" max="6681" width="2.7109375" style="20" customWidth="1"/>
    <col min="6682" max="6683" width="10.42578125" style="20" bestFit="1" customWidth="1"/>
    <col min="6684" max="6684" width="2.5703125" style="20" customWidth="1"/>
    <col min="6685" max="6686" width="10.42578125" style="20" customWidth="1"/>
    <col min="6687" max="6687" width="2.5703125" style="20" customWidth="1"/>
    <col min="6688" max="6689" width="10.42578125" style="20" customWidth="1"/>
    <col min="6690" max="6690" width="2.7109375" style="20" customWidth="1"/>
    <col min="6691" max="6691" width="11.5703125" style="20" bestFit="1" customWidth="1"/>
    <col min="6692" max="6692" width="10.42578125" style="20" bestFit="1" customWidth="1"/>
    <col min="6693" max="6693" width="6.42578125" style="20" bestFit="1" customWidth="1"/>
    <col min="6694" max="6694" width="5.85546875" style="20" bestFit="1" customWidth="1"/>
    <col min="6695" max="6695" width="10.42578125" style="20" bestFit="1" customWidth="1"/>
    <col min="6696" max="6696" width="8.7109375" style="20" bestFit="1" customWidth="1"/>
    <col min="6697" max="6697" width="2.7109375" style="20" customWidth="1"/>
    <col min="6698" max="6698" width="5.85546875" style="20" bestFit="1" customWidth="1"/>
    <col min="6699" max="6699" width="12.7109375" style="20" bestFit="1" customWidth="1"/>
    <col min="6700" max="6700" width="11.5703125" style="20" bestFit="1" customWidth="1"/>
    <col min="6701" max="6701" width="2.7109375" style="20" customWidth="1"/>
    <col min="6702" max="6702" width="12.7109375" style="20" bestFit="1" customWidth="1"/>
    <col min="6703" max="6703" width="9.140625" style="20"/>
    <col min="6704" max="6704" width="21.7109375" style="20" bestFit="1" customWidth="1"/>
    <col min="6705" max="6705" width="9.140625" style="20"/>
    <col min="6706" max="6706" width="10.7109375" style="20" customWidth="1"/>
    <col min="6707" max="6707" width="10" style="20" bestFit="1" customWidth="1"/>
    <col min="6708" max="6916" width="9.140625" style="20"/>
    <col min="6917" max="6917" width="6.42578125" style="20" bestFit="1" customWidth="1"/>
    <col min="6918" max="6918" width="6" style="20" bestFit="1" customWidth="1"/>
    <col min="6919" max="6919" width="2.7109375" style="20" customWidth="1"/>
    <col min="6920" max="6921" width="10.42578125" style="20" customWidth="1"/>
    <col min="6922" max="6922" width="2.5703125" style="20" customWidth="1"/>
    <col min="6923" max="6924" width="10.5703125" style="20" customWidth="1"/>
    <col min="6925" max="6925" width="2.5703125" style="20" customWidth="1"/>
    <col min="6926" max="6927" width="10.5703125" style="20" customWidth="1"/>
    <col min="6928" max="6928" width="2.5703125" style="20" customWidth="1"/>
    <col min="6929" max="6929" width="12.140625" style="20" bestFit="1" customWidth="1"/>
    <col min="6930" max="6930" width="10.5703125" style="20" customWidth="1"/>
    <col min="6931" max="6931" width="2.5703125" style="20" customWidth="1"/>
    <col min="6932" max="6933" width="10.5703125" style="20" customWidth="1"/>
    <col min="6934" max="6934" width="2.7109375" style="20" customWidth="1"/>
    <col min="6935" max="6936" width="9.28515625" style="20" bestFit="1" customWidth="1"/>
    <col min="6937" max="6937" width="2.7109375" style="20" customWidth="1"/>
    <col min="6938" max="6939" width="10.42578125" style="20" bestFit="1" customWidth="1"/>
    <col min="6940" max="6940" width="2.5703125" style="20" customWidth="1"/>
    <col min="6941" max="6942" width="10.42578125" style="20" customWidth="1"/>
    <col min="6943" max="6943" width="2.5703125" style="20" customWidth="1"/>
    <col min="6944" max="6945" width="10.42578125" style="20" customWidth="1"/>
    <col min="6946" max="6946" width="2.7109375" style="20" customWidth="1"/>
    <col min="6947" max="6947" width="11.5703125" style="20" bestFit="1" customWidth="1"/>
    <col min="6948" max="6948" width="10.42578125" style="20" bestFit="1" customWidth="1"/>
    <col min="6949" max="6949" width="6.42578125" style="20" bestFit="1" customWidth="1"/>
    <col min="6950" max="6950" width="5.85546875" style="20" bestFit="1" customWidth="1"/>
    <col min="6951" max="6951" width="10.42578125" style="20" bestFit="1" customWidth="1"/>
    <col min="6952" max="6952" width="8.7109375" style="20" bestFit="1" customWidth="1"/>
    <col min="6953" max="6953" width="2.7109375" style="20" customWidth="1"/>
    <col min="6954" max="6954" width="5.85546875" style="20" bestFit="1" customWidth="1"/>
    <col min="6955" max="6955" width="12.7109375" style="20" bestFit="1" customWidth="1"/>
    <col min="6956" max="6956" width="11.5703125" style="20" bestFit="1" customWidth="1"/>
    <col min="6957" max="6957" width="2.7109375" style="20" customWidth="1"/>
    <col min="6958" max="6958" width="12.7109375" style="20" bestFit="1" customWidth="1"/>
    <col min="6959" max="6959" width="9.140625" style="20"/>
    <col min="6960" max="6960" width="21.7109375" style="20" bestFit="1" customWidth="1"/>
    <col min="6961" max="6961" width="9.140625" style="20"/>
    <col min="6962" max="6962" width="10.7109375" style="20" customWidth="1"/>
    <col min="6963" max="6963" width="10" style="20" bestFit="1" customWidth="1"/>
    <col min="6964" max="7172" width="9.140625" style="20"/>
    <col min="7173" max="7173" width="6.42578125" style="20" bestFit="1" customWidth="1"/>
    <col min="7174" max="7174" width="6" style="20" bestFit="1" customWidth="1"/>
    <col min="7175" max="7175" width="2.7109375" style="20" customWidth="1"/>
    <col min="7176" max="7177" width="10.42578125" style="20" customWidth="1"/>
    <col min="7178" max="7178" width="2.5703125" style="20" customWidth="1"/>
    <col min="7179" max="7180" width="10.5703125" style="20" customWidth="1"/>
    <col min="7181" max="7181" width="2.5703125" style="20" customWidth="1"/>
    <col min="7182" max="7183" width="10.5703125" style="20" customWidth="1"/>
    <col min="7184" max="7184" width="2.5703125" style="20" customWidth="1"/>
    <col min="7185" max="7185" width="12.140625" style="20" bestFit="1" customWidth="1"/>
    <col min="7186" max="7186" width="10.5703125" style="20" customWidth="1"/>
    <col min="7187" max="7187" width="2.5703125" style="20" customWidth="1"/>
    <col min="7188" max="7189" width="10.5703125" style="20" customWidth="1"/>
    <col min="7190" max="7190" width="2.7109375" style="20" customWidth="1"/>
    <col min="7191" max="7192" width="9.28515625" style="20" bestFit="1" customWidth="1"/>
    <col min="7193" max="7193" width="2.7109375" style="20" customWidth="1"/>
    <col min="7194" max="7195" width="10.42578125" style="20" bestFit="1" customWidth="1"/>
    <col min="7196" max="7196" width="2.5703125" style="20" customWidth="1"/>
    <col min="7197" max="7198" width="10.42578125" style="20" customWidth="1"/>
    <col min="7199" max="7199" width="2.5703125" style="20" customWidth="1"/>
    <col min="7200" max="7201" width="10.42578125" style="20" customWidth="1"/>
    <col min="7202" max="7202" width="2.7109375" style="20" customWidth="1"/>
    <col min="7203" max="7203" width="11.5703125" style="20" bestFit="1" customWidth="1"/>
    <col min="7204" max="7204" width="10.42578125" style="20" bestFit="1" customWidth="1"/>
    <col min="7205" max="7205" width="6.42578125" style="20" bestFit="1" customWidth="1"/>
    <col min="7206" max="7206" width="5.85546875" style="20" bestFit="1" customWidth="1"/>
    <col min="7207" max="7207" width="10.42578125" style="20" bestFit="1" customWidth="1"/>
    <col min="7208" max="7208" width="8.7109375" style="20" bestFit="1" customWidth="1"/>
    <col min="7209" max="7209" width="2.7109375" style="20" customWidth="1"/>
    <col min="7210" max="7210" width="5.85546875" style="20" bestFit="1" customWidth="1"/>
    <col min="7211" max="7211" width="12.7109375" style="20" bestFit="1" customWidth="1"/>
    <col min="7212" max="7212" width="11.5703125" style="20" bestFit="1" customWidth="1"/>
    <col min="7213" max="7213" width="2.7109375" style="20" customWidth="1"/>
    <col min="7214" max="7214" width="12.7109375" style="20" bestFit="1" customWidth="1"/>
    <col min="7215" max="7215" width="9.140625" style="20"/>
    <col min="7216" max="7216" width="21.7109375" style="20" bestFit="1" customWidth="1"/>
    <col min="7217" max="7217" width="9.140625" style="20"/>
    <col min="7218" max="7218" width="10.7109375" style="20" customWidth="1"/>
    <col min="7219" max="7219" width="10" style="20" bestFit="1" customWidth="1"/>
    <col min="7220" max="7428" width="9.140625" style="20"/>
    <col min="7429" max="7429" width="6.42578125" style="20" bestFit="1" customWidth="1"/>
    <col min="7430" max="7430" width="6" style="20" bestFit="1" customWidth="1"/>
    <col min="7431" max="7431" width="2.7109375" style="20" customWidth="1"/>
    <col min="7432" max="7433" width="10.42578125" style="20" customWidth="1"/>
    <col min="7434" max="7434" width="2.5703125" style="20" customWidth="1"/>
    <col min="7435" max="7436" width="10.5703125" style="20" customWidth="1"/>
    <col min="7437" max="7437" width="2.5703125" style="20" customWidth="1"/>
    <col min="7438" max="7439" width="10.5703125" style="20" customWidth="1"/>
    <col min="7440" max="7440" width="2.5703125" style="20" customWidth="1"/>
    <col min="7441" max="7441" width="12.140625" style="20" bestFit="1" customWidth="1"/>
    <col min="7442" max="7442" width="10.5703125" style="20" customWidth="1"/>
    <col min="7443" max="7443" width="2.5703125" style="20" customWidth="1"/>
    <col min="7444" max="7445" width="10.5703125" style="20" customWidth="1"/>
    <col min="7446" max="7446" width="2.7109375" style="20" customWidth="1"/>
    <col min="7447" max="7448" width="9.28515625" style="20" bestFit="1" customWidth="1"/>
    <col min="7449" max="7449" width="2.7109375" style="20" customWidth="1"/>
    <col min="7450" max="7451" width="10.42578125" style="20" bestFit="1" customWidth="1"/>
    <col min="7452" max="7452" width="2.5703125" style="20" customWidth="1"/>
    <col min="7453" max="7454" width="10.42578125" style="20" customWidth="1"/>
    <col min="7455" max="7455" width="2.5703125" style="20" customWidth="1"/>
    <col min="7456" max="7457" width="10.42578125" style="20" customWidth="1"/>
    <col min="7458" max="7458" width="2.7109375" style="20" customWidth="1"/>
    <col min="7459" max="7459" width="11.5703125" style="20" bestFit="1" customWidth="1"/>
    <col min="7460" max="7460" width="10.42578125" style="20" bestFit="1" customWidth="1"/>
    <col min="7461" max="7461" width="6.42578125" style="20" bestFit="1" customWidth="1"/>
    <col min="7462" max="7462" width="5.85546875" style="20" bestFit="1" customWidth="1"/>
    <col min="7463" max="7463" width="10.42578125" style="20" bestFit="1" customWidth="1"/>
    <col min="7464" max="7464" width="8.7109375" style="20" bestFit="1" customWidth="1"/>
    <col min="7465" max="7465" width="2.7109375" style="20" customWidth="1"/>
    <col min="7466" max="7466" width="5.85546875" style="20" bestFit="1" customWidth="1"/>
    <col min="7467" max="7467" width="12.7109375" style="20" bestFit="1" customWidth="1"/>
    <col min="7468" max="7468" width="11.5703125" style="20" bestFit="1" customWidth="1"/>
    <col min="7469" max="7469" width="2.7109375" style="20" customWidth="1"/>
    <col min="7470" max="7470" width="12.7109375" style="20" bestFit="1" customWidth="1"/>
    <col min="7471" max="7471" width="9.140625" style="20"/>
    <col min="7472" max="7472" width="21.7109375" style="20" bestFit="1" customWidth="1"/>
    <col min="7473" max="7473" width="9.140625" style="20"/>
    <col min="7474" max="7474" width="10.7109375" style="20" customWidth="1"/>
    <col min="7475" max="7475" width="10" style="20" bestFit="1" customWidth="1"/>
    <col min="7476" max="7684" width="9.140625" style="20"/>
    <col min="7685" max="7685" width="6.42578125" style="20" bestFit="1" customWidth="1"/>
    <col min="7686" max="7686" width="6" style="20" bestFit="1" customWidth="1"/>
    <col min="7687" max="7687" width="2.7109375" style="20" customWidth="1"/>
    <col min="7688" max="7689" width="10.42578125" style="20" customWidth="1"/>
    <col min="7690" max="7690" width="2.5703125" style="20" customWidth="1"/>
    <col min="7691" max="7692" width="10.5703125" style="20" customWidth="1"/>
    <col min="7693" max="7693" width="2.5703125" style="20" customWidth="1"/>
    <col min="7694" max="7695" width="10.5703125" style="20" customWidth="1"/>
    <col min="7696" max="7696" width="2.5703125" style="20" customWidth="1"/>
    <col min="7697" max="7697" width="12.140625" style="20" bestFit="1" customWidth="1"/>
    <col min="7698" max="7698" width="10.5703125" style="20" customWidth="1"/>
    <col min="7699" max="7699" width="2.5703125" style="20" customWidth="1"/>
    <col min="7700" max="7701" width="10.5703125" style="20" customWidth="1"/>
    <col min="7702" max="7702" width="2.7109375" style="20" customWidth="1"/>
    <col min="7703" max="7704" width="9.28515625" style="20" bestFit="1" customWidth="1"/>
    <col min="7705" max="7705" width="2.7109375" style="20" customWidth="1"/>
    <col min="7706" max="7707" width="10.42578125" style="20" bestFit="1" customWidth="1"/>
    <col min="7708" max="7708" width="2.5703125" style="20" customWidth="1"/>
    <col min="7709" max="7710" width="10.42578125" style="20" customWidth="1"/>
    <col min="7711" max="7711" width="2.5703125" style="20" customWidth="1"/>
    <col min="7712" max="7713" width="10.42578125" style="20" customWidth="1"/>
    <col min="7714" max="7714" width="2.7109375" style="20" customWidth="1"/>
    <col min="7715" max="7715" width="11.5703125" style="20" bestFit="1" customWidth="1"/>
    <col min="7716" max="7716" width="10.42578125" style="20" bestFit="1" customWidth="1"/>
    <col min="7717" max="7717" width="6.42578125" style="20" bestFit="1" customWidth="1"/>
    <col min="7718" max="7718" width="5.85546875" style="20" bestFit="1" customWidth="1"/>
    <col min="7719" max="7719" width="10.42578125" style="20" bestFit="1" customWidth="1"/>
    <col min="7720" max="7720" width="8.7109375" style="20" bestFit="1" customWidth="1"/>
    <col min="7721" max="7721" width="2.7109375" style="20" customWidth="1"/>
    <col min="7722" max="7722" width="5.85546875" style="20" bestFit="1" customWidth="1"/>
    <col min="7723" max="7723" width="12.7109375" style="20" bestFit="1" customWidth="1"/>
    <col min="7724" max="7724" width="11.5703125" style="20" bestFit="1" customWidth="1"/>
    <col min="7725" max="7725" width="2.7109375" style="20" customWidth="1"/>
    <col min="7726" max="7726" width="12.7109375" style="20" bestFit="1" customWidth="1"/>
    <col min="7727" max="7727" width="9.140625" style="20"/>
    <col min="7728" max="7728" width="21.7109375" style="20" bestFit="1" customWidth="1"/>
    <col min="7729" max="7729" width="9.140625" style="20"/>
    <col min="7730" max="7730" width="10.7109375" style="20" customWidth="1"/>
    <col min="7731" max="7731" width="10" style="20" bestFit="1" customWidth="1"/>
    <col min="7732" max="7940" width="9.140625" style="20"/>
    <col min="7941" max="7941" width="6.42578125" style="20" bestFit="1" customWidth="1"/>
    <col min="7942" max="7942" width="6" style="20" bestFit="1" customWidth="1"/>
    <col min="7943" max="7943" width="2.7109375" style="20" customWidth="1"/>
    <col min="7944" max="7945" width="10.42578125" style="20" customWidth="1"/>
    <col min="7946" max="7946" width="2.5703125" style="20" customWidth="1"/>
    <col min="7947" max="7948" width="10.5703125" style="20" customWidth="1"/>
    <col min="7949" max="7949" width="2.5703125" style="20" customWidth="1"/>
    <col min="7950" max="7951" width="10.5703125" style="20" customWidth="1"/>
    <col min="7952" max="7952" width="2.5703125" style="20" customWidth="1"/>
    <col min="7953" max="7953" width="12.140625" style="20" bestFit="1" customWidth="1"/>
    <col min="7954" max="7954" width="10.5703125" style="20" customWidth="1"/>
    <col min="7955" max="7955" width="2.5703125" style="20" customWidth="1"/>
    <col min="7956" max="7957" width="10.5703125" style="20" customWidth="1"/>
    <col min="7958" max="7958" width="2.7109375" style="20" customWidth="1"/>
    <col min="7959" max="7960" width="9.28515625" style="20" bestFit="1" customWidth="1"/>
    <col min="7961" max="7961" width="2.7109375" style="20" customWidth="1"/>
    <col min="7962" max="7963" width="10.42578125" style="20" bestFit="1" customWidth="1"/>
    <col min="7964" max="7964" width="2.5703125" style="20" customWidth="1"/>
    <col min="7965" max="7966" width="10.42578125" style="20" customWidth="1"/>
    <col min="7967" max="7967" width="2.5703125" style="20" customWidth="1"/>
    <col min="7968" max="7969" width="10.42578125" style="20" customWidth="1"/>
    <col min="7970" max="7970" width="2.7109375" style="20" customWidth="1"/>
    <col min="7971" max="7971" width="11.5703125" style="20" bestFit="1" customWidth="1"/>
    <col min="7972" max="7972" width="10.42578125" style="20" bestFit="1" customWidth="1"/>
    <col min="7973" max="7973" width="6.42578125" style="20" bestFit="1" customWidth="1"/>
    <col min="7974" max="7974" width="5.85546875" style="20" bestFit="1" customWidth="1"/>
    <col min="7975" max="7975" width="10.42578125" style="20" bestFit="1" customWidth="1"/>
    <col min="7976" max="7976" width="8.7109375" style="20" bestFit="1" customWidth="1"/>
    <col min="7977" max="7977" width="2.7109375" style="20" customWidth="1"/>
    <col min="7978" max="7978" width="5.85546875" style="20" bestFit="1" customWidth="1"/>
    <col min="7979" max="7979" width="12.7109375" style="20" bestFit="1" customWidth="1"/>
    <col min="7980" max="7980" width="11.5703125" style="20" bestFit="1" customWidth="1"/>
    <col min="7981" max="7981" width="2.7109375" style="20" customWidth="1"/>
    <col min="7982" max="7982" width="12.7109375" style="20" bestFit="1" customWidth="1"/>
    <col min="7983" max="7983" width="9.140625" style="20"/>
    <col min="7984" max="7984" width="21.7109375" style="20" bestFit="1" customWidth="1"/>
    <col min="7985" max="7985" width="9.140625" style="20"/>
    <col min="7986" max="7986" width="10.7109375" style="20" customWidth="1"/>
    <col min="7987" max="7987" width="10" style="20" bestFit="1" customWidth="1"/>
    <col min="7988" max="8196" width="9.140625" style="20"/>
    <col min="8197" max="8197" width="6.42578125" style="20" bestFit="1" customWidth="1"/>
    <col min="8198" max="8198" width="6" style="20" bestFit="1" customWidth="1"/>
    <col min="8199" max="8199" width="2.7109375" style="20" customWidth="1"/>
    <col min="8200" max="8201" width="10.42578125" style="20" customWidth="1"/>
    <col min="8202" max="8202" width="2.5703125" style="20" customWidth="1"/>
    <col min="8203" max="8204" width="10.5703125" style="20" customWidth="1"/>
    <col min="8205" max="8205" width="2.5703125" style="20" customWidth="1"/>
    <col min="8206" max="8207" width="10.5703125" style="20" customWidth="1"/>
    <col min="8208" max="8208" width="2.5703125" style="20" customWidth="1"/>
    <col min="8209" max="8209" width="12.140625" style="20" bestFit="1" customWidth="1"/>
    <col min="8210" max="8210" width="10.5703125" style="20" customWidth="1"/>
    <col min="8211" max="8211" width="2.5703125" style="20" customWidth="1"/>
    <col min="8212" max="8213" width="10.5703125" style="20" customWidth="1"/>
    <col min="8214" max="8214" width="2.7109375" style="20" customWidth="1"/>
    <col min="8215" max="8216" width="9.28515625" style="20" bestFit="1" customWidth="1"/>
    <col min="8217" max="8217" width="2.7109375" style="20" customWidth="1"/>
    <col min="8218" max="8219" width="10.42578125" style="20" bestFit="1" customWidth="1"/>
    <col min="8220" max="8220" width="2.5703125" style="20" customWidth="1"/>
    <col min="8221" max="8222" width="10.42578125" style="20" customWidth="1"/>
    <col min="8223" max="8223" width="2.5703125" style="20" customWidth="1"/>
    <col min="8224" max="8225" width="10.42578125" style="20" customWidth="1"/>
    <col min="8226" max="8226" width="2.7109375" style="20" customWidth="1"/>
    <col min="8227" max="8227" width="11.5703125" style="20" bestFit="1" customWidth="1"/>
    <col min="8228" max="8228" width="10.42578125" style="20" bestFit="1" customWidth="1"/>
    <col min="8229" max="8229" width="6.42578125" style="20" bestFit="1" customWidth="1"/>
    <col min="8230" max="8230" width="5.85546875" style="20" bestFit="1" customWidth="1"/>
    <col min="8231" max="8231" width="10.42578125" style="20" bestFit="1" customWidth="1"/>
    <col min="8232" max="8232" width="8.7109375" style="20" bestFit="1" customWidth="1"/>
    <col min="8233" max="8233" width="2.7109375" style="20" customWidth="1"/>
    <col min="8234" max="8234" width="5.85546875" style="20" bestFit="1" customWidth="1"/>
    <col min="8235" max="8235" width="12.7109375" style="20" bestFit="1" customWidth="1"/>
    <col min="8236" max="8236" width="11.5703125" style="20" bestFit="1" customWidth="1"/>
    <col min="8237" max="8237" width="2.7109375" style="20" customWidth="1"/>
    <col min="8238" max="8238" width="12.7109375" style="20" bestFit="1" customWidth="1"/>
    <col min="8239" max="8239" width="9.140625" style="20"/>
    <col min="8240" max="8240" width="21.7109375" style="20" bestFit="1" customWidth="1"/>
    <col min="8241" max="8241" width="9.140625" style="20"/>
    <col min="8242" max="8242" width="10.7109375" style="20" customWidth="1"/>
    <col min="8243" max="8243" width="10" style="20" bestFit="1" customWidth="1"/>
    <col min="8244" max="8452" width="9.140625" style="20"/>
    <col min="8453" max="8453" width="6.42578125" style="20" bestFit="1" customWidth="1"/>
    <col min="8454" max="8454" width="6" style="20" bestFit="1" customWidth="1"/>
    <col min="8455" max="8455" width="2.7109375" style="20" customWidth="1"/>
    <col min="8456" max="8457" width="10.42578125" style="20" customWidth="1"/>
    <col min="8458" max="8458" width="2.5703125" style="20" customWidth="1"/>
    <col min="8459" max="8460" width="10.5703125" style="20" customWidth="1"/>
    <col min="8461" max="8461" width="2.5703125" style="20" customWidth="1"/>
    <col min="8462" max="8463" width="10.5703125" style="20" customWidth="1"/>
    <col min="8464" max="8464" width="2.5703125" style="20" customWidth="1"/>
    <col min="8465" max="8465" width="12.140625" style="20" bestFit="1" customWidth="1"/>
    <col min="8466" max="8466" width="10.5703125" style="20" customWidth="1"/>
    <col min="8467" max="8467" width="2.5703125" style="20" customWidth="1"/>
    <col min="8468" max="8469" width="10.5703125" style="20" customWidth="1"/>
    <col min="8470" max="8470" width="2.7109375" style="20" customWidth="1"/>
    <col min="8471" max="8472" width="9.28515625" style="20" bestFit="1" customWidth="1"/>
    <col min="8473" max="8473" width="2.7109375" style="20" customWidth="1"/>
    <col min="8474" max="8475" width="10.42578125" style="20" bestFit="1" customWidth="1"/>
    <col min="8476" max="8476" width="2.5703125" style="20" customWidth="1"/>
    <col min="8477" max="8478" width="10.42578125" style="20" customWidth="1"/>
    <col min="8479" max="8479" width="2.5703125" style="20" customWidth="1"/>
    <col min="8480" max="8481" width="10.42578125" style="20" customWidth="1"/>
    <col min="8482" max="8482" width="2.7109375" style="20" customWidth="1"/>
    <col min="8483" max="8483" width="11.5703125" style="20" bestFit="1" customWidth="1"/>
    <col min="8484" max="8484" width="10.42578125" style="20" bestFit="1" customWidth="1"/>
    <col min="8485" max="8485" width="6.42578125" style="20" bestFit="1" customWidth="1"/>
    <col min="8486" max="8486" width="5.85546875" style="20" bestFit="1" customWidth="1"/>
    <col min="8487" max="8487" width="10.42578125" style="20" bestFit="1" customWidth="1"/>
    <col min="8488" max="8488" width="8.7109375" style="20" bestFit="1" customWidth="1"/>
    <col min="8489" max="8489" width="2.7109375" style="20" customWidth="1"/>
    <col min="8490" max="8490" width="5.85546875" style="20" bestFit="1" customWidth="1"/>
    <col min="8491" max="8491" width="12.7109375" style="20" bestFit="1" customWidth="1"/>
    <col min="8492" max="8492" width="11.5703125" style="20" bestFit="1" customWidth="1"/>
    <col min="8493" max="8493" width="2.7109375" style="20" customWidth="1"/>
    <col min="8494" max="8494" width="12.7109375" style="20" bestFit="1" customWidth="1"/>
    <col min="8495" max="8495" width="9.140625" style="20"/>
    <col min="8496" max="8496" width="21.7109375" style="20" bestFit="1" customWidth="1"/>
    <col min="8497" max="8497" width="9.140625" style="20"/>
    <col min="8498" max="8498" width="10.7109375" style="20" customWidth="1"/>
    <col min="8499" max="8499" width="10" style="20" bestFit="1" customWidth="1"/>
    <col min="8500" max="8708" width="9.140625" style="20"/>
    <col min="8709" max="8709" width="6.42578125" style="20" bestFit="1" customWidth="1"/>
    <col min="8710" max="8710" width="6" style="20" bestFit="1" customWidth="1"/>
    <col min="8711" max="8711" width="2.7109375" style="20" customWidth="1"/>
    <col min="8712" max="8713" width="10.42578125" style="20" customWidth="1"/>
    <col min="8714" max="8714" width="2.5703125" style="20" customWidth="1"/>
    <col min="8715" max="8716" width="10.5703125" style="20" customWidth="1"/>
    <col min="8717" max="8717" width="2.5703125" style="20" customWidth="1"/>
    <col min="8718" max="8719" width="10.5703125" style="20" customWidth="1"/>
    <col min="8720" max="8720" width="2.5703125" style="20" customWidth="1"/>
    <col min="8721" max="8721" width="12.140625" style="20" bestFit="1" customWidth="1"/>
    <col min="8722" max="8722" width="10.5703125" style="20" customWidth="1"/>
    <col min="8723" max="8723" width="2.5703125" style="20" customWidth="1"/>
    <col min="8724" max="8725" width="10.5703125" style="20" customWidth="1"/>
    <col min="8726" max="8726" width="2.7109375" style="20" customWidth="1"/>
    <col min="8727" max="8728" width="9.28515625" style="20" bestFit="1" customWidth="1"/>
    <col min="8729" max="8729" width="2.7109375" style="20" customWidth="1"/>
    <col min="8730" max="8731" width="10.42578125" style="20" bestFit="1" customWidth="1"/>
    <col min="8732" max="8732" width="2.5703125" style="20" customWidth="1"/>
    <col min="8733" max="8734" width="10.42578125" style="20" customWidth="1"/>
    <col min="8735" max="8735" width="2.5703125" style="20" customWidth="1"/>
    <col min="8736" max="8737" width="10.42578125" style="20" customWidth="1"/>
    <col min="8738" max="8738" width="2.7109375" style="20" customWidth="1"/>
    <col min="8739" max="8739" width="11.5703125" style="20" bestFit="1" customWidth="1"/>
    <col min="8740" max="8740" width="10.42578125" style="20" bestFit="1" customWidth="1"/>
    <col min="8741" max="8741" width="6.42578125" style="20" bestFit="1" customWidth="1"/>
    <col min="8742" max="8742" width="5.85546875" style="20" bestFit="1" customWidth="1"/>
    <col min="8743" max="8743" width="10.42578125" style="20" bestFit="1" customWidth="1"/>
    <col min="8744" max="8744" width="8.7109375" style="20" bestFit="1" customWidth="1"/>
    <col min="8745" max="8745" width="2.7109375" style="20" customWidth="1"/>
    <col min="8746" max="8746" width="5.85546875" style="20" bestFit="1" customWidth="1"/>
    <col min="8747" max="8747" width="12.7109375" style="20" bestFit="1" customWidth="1"/>
    <col min="8748" max="8748" width="11.5703125" style="20" bestFit="1" customWidth="1"/>
    <col min="8749" max="8749" width="2.7109375" style="20" customWidth="1"/>
    <col min="8750" max="8750" width="12.7109375" style="20" bestFit="1" customWidth="1"/>
    <col min="8751" max="8751" width="9.140625" style="20"/>
    <col min="8752" max="8752" width="21.7109375" style="20" bestFit="1" customWidth="1"/>
    <col min="8753" max="8753" width="9.140625" style="20"/>
    <col min="8754" max="8754" width="10.7109375" style="20" customWidth="1"/>
    <col min="8755" max="8755" width="10" style="20" bestFit="1" customWidth="1"/>
    <col min="8756" max="8964" width="9.140625" style="20"/>
    <col min="8965" max="8965" width="6.42578125" style="20" bestFit="1" customWidth="1"/>
    <col min="8966" max="8966" width="6" style="20" bestFit="1" customWidth="1"/>
    <col min="8967" max="8967" width="2.7109375" style="20" customWidth="1"/>
    <col min="8968" max="8969" width="10.42578125" style="20" customWidth="1"/>
    <col min="8970" max="8970" width="2.5703125" style="20" customWidth="1"/>
    <col min="8971" max="8972" width="10.5703125" style="20" customWidth="1"/>
    <col min="8973" max="8973" width="2.5703125" style="20" customWidth="1"/>
    <col min="8974" max="8975" width="10.5703125" style="20" customWidth="1"/>
    <col min="8976" max="8976" width="2.5703125" style="20" customWidth="1"/>
    <col min="8977" max="8977" width="12.140625" style="20" bestFit="1" customWidth="1"/>
    <col min="8978" max="8978" width="10.5703125" style="20" customWidth="1"/>
    <col min="8979" max="8979" width="2.5703125" style="20" customWidth="1"/>
    <col min="8980" max="8981" width="10.5703125" style="20" customWidth="1"/>
    <col min="8982" max="8982" width="2.7109375" style="20" customWidth="1"/>
    <col min="8983" max="8984" width="9.28515625" style="20" bestFit="1" customWidth="1"/>
    <col min="8985" max="8985" width="2.7109375" style="20" customWidth="1"/>
    <col min="8986" max="8987" width="10.42578125" style="20" bestFit="1" customWidth="1"/>
    <col min="8988" max="8988" width="2.5703125" style="20" customWidth="1"/>
    <col min="8989" max="8990" width="10.42578125" style="20" customWidth="1"/>
    <col min="8991" max="8991" width="2.5703125" style="20" customWidth="1"/>
    <col min="8992" max="8993" width="10.42578125" style="20" customWidth="1"/>
    <col min="8994" max="8994" width="2.7109375" style="20" customWidth="1"/>
    <col min="8995" max="8995" width="11.5703125" style="20" bestFit="1" customWidth="1"/>
    <col min="8996" max="8996" width="10.42578125" style="20" bestFit="1" customWidth="1"/>
    <col min="8997" max="8997" width="6.42578125" style="20" bestFit="1" customWidth="1"/>
    <col min="8998" max="8998" width="5.85546875" style="20" bestFit="1" customWidth="1"/>
    <col min="8999" max="8999" width="10.42578125" style="20" bestFit="1" customWidth="1"/>
    <col min="9000" max="9000" width="8.7109375" style="20" bestFit="1" customWidth="1"/>
    <col min="9001" max="9001" width="2.7109375" style="20" customWidth="1"/>
    <col min="9002" max="9002" width="5.85546875" style="20" bestFit="1" customWidth="1"/>
    <col min="9003" max="9003" width="12.7109375" style="20" bestFit="1" customWidth="1"/>
    <col min="9004" max="9004" width="11.5703125" style="20" bestFit="1" customWidth="1"/>
    <col min="9005" max="9005" width="2.7109375" style="20" customWidth="1"/>
    <col min="9006" max="9006" width="12.7109375" style="20" bestFit="1" customWidth="1"/>
    <col min="9007" max="9007" width="9.140625" style="20"/>
    <col min="9008" max="9008" width="21.7109375" style="20" bestFit="1" customWidth="1"/>
    <col min="9009" max="9009" width="9.140625" style="20"/>
    <col min="9010" max="9010" width="10.7109375" style="20" customWidth="1"/>
    <col min="9011" max="9011" width="10" style="20" bestFit="1" customWidth="1"/>
    <col min="9012" max="9220" width="9.140625" style="20"/>
    <col min="9221" max="9221" width="6.42578125" style="20" bestFit="1" customWidth="1"/>
    <col min="9222" max="9222" width="6" style="20" bestFit="1" customWidth="1"/>
    <col min="9223" max="9223" width="2.7109375" style="20" customWidth="1"/>
    <col min="9224" max="9225" width="10.42578125" style="20" customWidth="1"/>
    <col min="9226" max="9226" width="2.5703125" style="20" customWidth="1"/>
    <col min="9227" max="9228" width="10.5703125" style="20" customWidth="1"/>
    <col min="9229" max="9229" width="2.5703125" style="20" customWidth="1"/>
    <col min="9230" max="9231" width="10.5703125" style="20" customWidth="1"/>
    <col min="9232" max="9232" width="2.5703125" style="20" customWidth="1"/>
    <col min="9233" max="9233" width="12.140625" style="20" bestFit="1" customWidth="1"/>
    <col min="9234" max="9234" width="10.5703125" style="20" customWidth="1"/>
    <col min="9235" max="9235" width="2.5703125" style="20" customWidth="1"/>
    <col min="9236" max="9237" width="10.5703125" style="20" customWidth="1"/>
    <col min="9238" max="9238" width="2.7109375" style="20" customWidth="1"/>
    <col min="9239" max="9240" width="9.28515625" style="20" bestFit="1" customWidth="1"/>
    <col min="9241" max="9241" width="2.7109375" style="20" customWidth="1"/>
    <col min="9242" max="9243" width="10.42578125" style="20" bestFit="1" customWidth="1"/>
    <col min="9244" max="9244" width="2.5703125" style="20" customWidth="1"/>
    <col min="9245" max="9246" width="10.42578125" style="20" customWidth="1"/>
    <col min="9247" max="9247" width="2.5703125" style="20" customWidth="1"/>
    <col min="9248" max="9249" width="10.42578125" style="20" customWidth="1"/>
    <col min="9250" max="9250" width="2.7109375" style="20" customWidth="1"/>
    <col min="9251" max="9251" width="11.5703125" style="20" bestFit="1" customWidth="1"/>
    <col min="9252" max="9252" width="10.42578125" style="20" bestFit="1" customWidth="1"/>
    <col min="9253" max="9253" width="6.42578125" style="20" bestFit="1" customWidth="1"/>
    <col min="9254" max="9254" width="5.85546875" style="20" bestFit="1" customWidth="1"/>
    <col min="9255" max="9255" width="10.42578125" style="20" bestFit="1" customWidth="1"/>
    <col min="9256" max="9256" width="8.7109375" style="20" bestFit="1" customWidth="1"/>
    <col min="9257" max="9257" width="2.7109375" style="20" customWidth="1"/>
    <col min="9258" max="9258" width="5.85546875" style="20" bestFit="1" customWidth="1"/>
    <col min="9259" max="9259" width="12.7109375" style="20" bestFit="1" customWidth="1"/>
    <col min="9260" max="9260" width="11.5703125" style="20" bestFit="1" customWidth="1"/>
    <col min="9261" max="9261" width="2.7109375" style="20" customWidth="1"/>
    <col min="9262" max="9262" width="12.7109375" style="20" bestFit="1" customWidth="1"/>
    <col min="9263" max="9263" width="9.140625" style="20"/>
    <col min="9264" max="9264" width="21.7109375" style="20" bestFit="1" customWidth="1"/>
    <col min="9265" max="9265" width="9.140625" style="20"/>
    <col min="9266" max="9266" width="10.7109375" style="20" customWidth="1"/>
    <col min="9267" max="9267" width="10" style="20" bestFit="1" customWidth="1"/>
    <col min="9268" max="9476" width="9.140625" style="20"/>
    <col min="9477" max="9477" width="6.42578125" style="20" bestFit="1" customWidth="1"/>
    <col min="9478" max="9478" width="6" style="20" bestFit="1" customWidth="1"/>
    <col min="9479" max="9479" width="2.7109375" style="20" customWidth="1"/>
    <col min="9480" max="9481" width="10.42578125" style="20" customWidth="1"/>
    <col min="9482" max="9482" width="2.5703125" style="20" customWidth="1"/>
    <col min="9483" max="9484" width="10.5703125" style="20" customWidth="1"/>
    <col min="9485" max="9485" width="2.5703125" style="20" customWidth="1"/>
    <col min="9486" max="9487" width="10.5703125" style="20" customWidth="1"/>
    <col min="9488" max="9488" width="2.5703125" style="20" customWidth="1"/>
    <col min="9489" max="9489" width="12.140625" style="20" bestFit="1" customWidth="1"/>
    <col min="9490" max="9490" width="10.5703125" style="20" customWidth="1"/>
    <col min="9491" max="9491" width="2.5703125" style="20" customWidth="1"/>
    <col min="9492" max="9493" width="10.5703125" style="20" customWidth="1"/>
    <col min="9494" max="9494" width="2.7109375" style="20" customWidth="1"/>
    <col min="9495" max="9496" width="9.28515625" style="20" bestFit="1" customWidth="1"/>
    <col min="9497" max="9497" width="2.7109375" style="20" customWidth="1"/>
    <col min="9498" max="9499" width="10.42578125" style="20" bestFit="1" customWidth="1"/>
    <col min="9500" max="9500" width="2.5703125" style="20" customWidth="1"/>
    <col min="9501" max="9502" width="10.42578125" style="20" customWidth="1"/>
    <col min="9503" max="9503" width="2.5703125" style="20" customWidth="1"/>
    <col min="9504" max="9505" width="10.42578125" style="20" customWidth="1"/>
    <col min="9506" max="9506" width="2.7109375" style="20" customWidth="1"/>
    <col min="9507" max="9507" width="11.5703125" style="20" bestFit="1" customWidth="1"/>
    <col min="9508" max="9508" width="10.42578125" style="20" bestFit="1" customWidth="1"/>
    <col min="9509" max="9509" width="6.42578125" style="20" bestFit="1" customWidth="1"/>
    <col min="9510" max="9510" width="5.85546875" style="20" bestFit="1" customWidth="1"/>
    <col min="9511" max="9511" width="10.42578125" style="20" bestFit="1" customWidth="1"/>
    <col min="9512" max="9512" width="8.7109375" style="20" bestFit="1" customWidth="1"/>
    <col min="9513" max="9513" width="2.7109375" style="20" customWidth="1"/>
    <col min="9514" max="9514" width="5.85546875" style="20" bestFit="1" customWidth="1"/>
    <col min="9515" max="9515" width="12.7109375" style="20" bestFit="1" customWidth="1"/>
    <col min="9516" max="9516" width="11.5703125" style="20" bestFit="1" customWidth="1"/>
    <col min="9517" max="9517" width="2.7109375" style="20" customWidth="1"/>
    <col min="9518" max="9518" width="12.7109375" style="20" bestFit="1" customWidth="1"/>
    <col min="9519" max="9519" width="9.140625" style="20"/>
    <col min="9520" max="9520" width="21.7109375" style="20" bestFit="1" customWidth="1"/>
    <col min="9521" max="9521" width="9.140625" style="20"/>
    <col min="9522" max="9522" width="10.7109375" style="20" customWidth="1"/>
    <col min="9523" max="9523" width="10" style="20" bestFit="1" customWidth="1"/>
    <col min="9524" max="9732" width="9.140625" style="20"/>
    <col min="9733" max="9733" width="6.42578125" style="20" bestFit="1" customWidth="1"/>
    <col min="9734" max="9734" width="6" style="20" bestFit="1" customWidth="1"/>
    <col min="9735" max="9735" width="2.7109375" style="20" customWidth="1"/>
    <col min="9736" max="9737" width="10.42578125" style="20" customWidth="1"/>
    <col min="9738" max="9738" width="2.5703125" style="20" customWidth="1"/>
    <col min="9739" max="9740" width="10.5703125" style="20" customWidth="1"/>
    <col min="9741" max="9741" width="2.5703125" style="20" customWidth="1"/>
    <col min="9742" max="9743" width="10.5703125" style="20" customWidth="1"/>
    <col min="9744" max="9744" width="2.5703125" style="20" customWidth="1"/>
    <col min="9745" max="9745" width="12.140625" style="20" bestFit="1" customWidth="1"/>
    <col min="9746" max="9746" width="10.5703125" style="20" customWidth="1"/>
    <col min="9747" max="9747" width="2.5703125" style="20" customWidth="1"/>
    <col min="9748" max="9749" width="10.5703125" style="20" customWidth="1"/>
    <col min="9750" max="9750" width="2.7109375" style="20" customWidth="1"/>
    <col min="9751" max="9752" width="9.28515625" style="20" bestFit="1" customWidth="1"/>
    <col min="9753" max="9753" width="2.7109375" style="20" customWidth="1"/>
    <col min="9754" max="9755" width="10.42578125" style="20" bestFit="1" customWidth="1"/>
    <col min="9756" max="9756" width="2.5703125" style="20" customWidth="1"/>
    <col min="9757" max="9758" width="10.42578125" style="20" customWidth="1"/>
    <col min="9759" max="9759" width="2.5703125" style="20" customWidth="1"/>
    <col min="9760" max="9761" width="10.42578125" style="20" customWidth="1"/>
    <col min="9762" max="9762" width="2.7109375" style="20" customWidth="1"/>
    <col min="9763" max="9763" width="11.5703125" style="20" bestFit="1" customWidth="1"/>
    <col min="9764" max="9764" width="10.42578125" style="20" bestFit="1" customWidth="1"/>
    <col min="9765" max="9765" width="6.42578125" style="20" bestFit="1" customWidth="1"/>
    <col min="9766" max="9766" width="5.85546875" style="20" bestFit="1" customWidth="1"/>
    <col min="9767" max="9767" width="10.42578125" style="20" bestFit="1" customWidth="1"/>
    <col min="9768" max="9768" width="8.7109375" style="20" bestFit="1" customWidth="1"/>
    <col min="9769" max="9769" width="2.7109375" style="20" customWidth="1"/>
    <col min="9770" max="9770" width="5.85546875" style="20" bestFit="1" customWidth="1"/>
    <col min="9771" max="9771" width="12.7109375" style="20" bestFit="1" customWidth="1"/>
    <col min="9772" max="9772" width="11.5703125" style="20" bestFit="1" customWidth="1"/>
    <col min="9773" max="9773" width="2.7109375" style="20" customWidth="1"/>
    <col min="9774" max="9774" width="12.7109375" style="20" bestFit="1" customWidth="1"/>
    <col min="9775" max="9775" width="9.140625" style="20"/>
    <col min="9776" max="9776" width="21.7109375" style="20" bestFit="1" customWidth="1"/>
    <col min="9777" max="9777" width="9.140625" style="20"/>
    <col min="9778" max="9778" width="10.7109375" style="20" customWidth="1"/>
    <col min="9779" max="9779" width="10" style="20" bestFit="1" customWidth="1"/>
    <col min="9780" max="9988" width="9.140625" style="20"/>
    <col min="9989" max="9989" width="6.42578125" style="20" bestFit="1" customWidth="1"/>
    <col min="9990" max="9990" width="6" style="20" bestFit="1" customWidth="1"/>
    <col min="9991" max="9991" width="2.7109375" style="20" customWidth="1"/>
    <col min="9992" max="9993" width="10.42578125" style="20" customWidth="1"/>
    <col min="9994" max="9994" width="2.5703125" style="20" customWidth="1"/>
    <col min="9995" max="9996" width="10.5703125" style="20" customWidth="1"/>
    <col min="9997" max="9997" width="2.5703125" style="20" customWidth="1"/>
    <col min="9998" max="9999" width="10.5703125" style="20" customWidth="1"/>
    <col min="10000" max="10000" width="2.5703125" style="20" customWidth="1"/>
    <col min="10001" max="10001" width="12.140625" style="20" bestFit="1" customWidth="1"/>
    <col min="10002" max="10002" width="10.5703125" style="20" customWidth="1"/>
    <col min="10003" max="10003" width="2.5703125" style="20" customWidth="1"/>
    <col min="10004" max="10005" width="10.5703125" style="20" customWidth="1"/>
    <col min="10006" max="10006" width="2.7109375" style="20" customWidth="1"/>
    <col min="10007" max="10008" width="9.28515625" style="20" bestFit="1" customWidth="1"/>
    <col min="10009" max="10009" width="2.7109375" style="20" customWidth="1"/>
    <col min="10010" max="10011" width="10.42578125" style="20" bestFit="1" customWidth="1"/>
    <col min="10012" max="10012" width="2.5703125" style="20" customWidth="1"/>
    <col min="10013" max="10014" width="10.42578125" style="20" customWidth="1"/>
    <col min="10015" max="10015" width="2.5703125" style="20" customWidth="1"/>
    <col min="10016" max="10017" width="10.42578125" style="20" customWidth="1"/>
    <col min="10018" max="10018" width="2.7109375" style="20" customWidth="1"/>
    <col min="10019" max="10019" width="11.5703125" style="20" bestFit="1" customWidth="1"/>
    <col min="10020" max="10020" width="10.42578125" style="20" bestFit="1" customWidth="1"/>
    <col min="10021" max="10021" width="6.42578125" style="20" bestFit="1" customWidth="1"/>
    <col min="10022" max="10022" width="5.85546875" style="20" bestFit="1" customWidth="1"/>
    <col min="10023" max="10023" width="10.42578125" style="20" bestFit="1" customWidth="1"/>
    <col min="10024" max="10024" width="8.7109375" style="20" bestFit="1" customWidth="1"/>
    <col min="10025" max="10025" width="2.7109375" style="20" customWidth="1"/>
    <col min="10026" max="10026" width="5.85546875" style="20" bestFit="1" customWidth="1"/>
    <col min="10027" max="10027" width="12.7109375" style="20" bestFit="1" customWidth="1"/>
    <col min="10028" max="10028" width="11.5703125" style="20" bestFit="1" customWidth="1"/>
    <col min="10029" max="10029" width="2.7109375" style="20" customWidth="1"/>
    <col min="10030" max="10030" width="12.7109375" style="20" bestFit="1" customWidth="1"/>
    <col min="10031" max="10031" width="9.140625" style="20"/>
    <col min="10032" max="10032" width="21.7109375" style="20" bestFit="1" customWidth="1"/>
    <col min="10033" max="10033" width="9.140625" style="20"/>
    <col min="10034" max="10034" width="10.7109375" style="20" customWidth="1"/>
    <col min="10035" max="10035" width="10" style="20" bestFit="1" customWidth="1"/>
    <col min="10036" max="10244" width="9.140625" style="20"/>
    <col min="10245" max="10245" width="6.42578125" style="20" bestFit="1" customWidth="1"/>
    <col min="10246" max="10246" width="6" style="20" bestFit="1" customWidth="1"/>
    <col min="10247" max="10247" width="2.7109375" style="20" customWidth="1"/>
    <col min="10248" max="10249" width="10.42578125" style="20" customWidth="1"/>
    <col min="10250" max="10250" width="2.5703125" style="20" customWidth="1"/>
    <col min="10251" max="10252" width="10.5703125" style="20" customWidth="1"/>
    <col min="10253" max="10253" width="2.5703125" style="20" customWidth="1"/>
    <col min="10254" max="10255" width="10.5703125" style="20" customWidth="1"/>
    <col min="10256" max="10256" width="2.5703125" style="20" customWidth="1"/>
    <col min="10257" max="10257" width="12.140625" style="20" bestFit="1" customWidth="1"/>
    <col min="10258" max="10258" width="10.5703125" style="20" customWidth="1"/>
    <col min="10259" max="10259" width="2.5703125" style="20" customWidth="1"/>
    <col min="10260" max="10261" width="10.5703125" style="20" customWidth="1"/>
    <col min="10262" max="10262" width="2.7109375" style="20" customWidth="1"/>
    <col min="10263" max="10264" width="9.28515625" style="20" bestFit="1" customWidth="1"/>
    <col min="10265" max="10265" width="2.7109375" style="20" customWidth="1"/>
    <col min="10266" max="10267" width="10.42578125" style="20" bestFit="1" customWidth="1"/>
    <col min="10268" max="10268" width="2.5703125" style="20" customWidth="1"/>
    <col min="10269" max="10270" width="10.42578125" style="20" customWidth="1"/>
    <col min="10271" max="10271" width="2.5703125" style="20" customWidth="1"/>
    <col min="10272" max="10273" width="10.42578125" style="20" customWidth="1"/>
    <col min="10274" max="10274" width="2.7109375" style="20" customWidth="1"/>
    <col min="10275" max="10275" width="11.5703125" style="20" bestFit="1" customWidth="1"/>
    <col min="10276" max="10276" width="10.42578125" style="20" bestFit="1" customWidth="1"/>
    <col min="10277" max="10277" width="6.42578125" style="20" bestFit="1" customWidth="1"/>
    <col min="10278" max="10278" width="5.85546875" style="20" bestFit="1" customWidth="1"/>
    <col min="10279" max="10279" width="10.42578125" style="20" bestFit="1" customWidth="1"/>
    <col min="10280" max="10280" width="8.7109375" style="20" bestFit="1" customWidth="1"/>
    <col min="10281" max="10281" width="2.7109375" style="20" customWidth="1"/>
    <col min="10282" max="10282" width="5.85546875" style="20" bestFit="1" customWidth="1"/>
    <col min="10283" max="10283" width="12.7109375" style="20" bestFit="1" customWidth="1"/>
    <col min="10284" max="10284" width="11.5703125" style="20" bestFit="1" customWidth="1"/>
    <col min="10285" max="10285" width="2.7109375" style="20" customWidth="1"/>
    <col min="10286" max="10286" width="12.7109375" style="20" bestFit="1" customWidth="1"/>
    <col min="10287" max="10287" width="9.140625" style="20"/>
    <col min="10288" max="10288" width="21.7109375" style="20" bestFit="1" customWidth="1"/>
    <col min="10289" max="10289" width="9.140625" style="20"/>
    <col min="10290" max="10290" width="10.7109375" style="20" customWidth="1"/>
    <col min="10291" max="10291" width="10" style="20" bestFit="1" customWidth="1"/>
    <col min="10292" max="10500" width="9.140625" style="20"/>
    <col min="10501" max="10501" width="6.42578125" style="20" bestFit="1" customWidth="1"/>
    <col min="10502" max="10502" width="6" style="20" bestFit="1" customWidth="1"/>
    <col min="10503" max="10503" width="2.7109375" style="20" customWidth="1"/>
    <col min="10504" max="10505" width="10.42578125" style="20" customWidth="1"/>
    <col min="10506" max="10506" width="2.5703125" style="20" customWidth="1"/>
    <col min="10507" max="10508" width="10.5703125" style="20" customWidth="1"/>
    <col min="10509" max="10509" width="2.5703125" style="20" customWidth="1"/>
    <col min="10510" max="10511" width="10.5703125" style="20" customWidth="1"/>
    <col min="10512" max="10512" width="2.5703125" style="20" customWidth="1"/>
    <col min="10513" max="10513" width="12.140625" style="20" bestFit="1" customWidth="1"/>
    <col min="10514" max="10514" width="10.5703125" style="20" customWidth="1"/>
    <col min="10515" max="10515" width="2.5703125" style="20" customWidth="1"/>
    <col min="10516" max="10517" width="10.5703125" style="20" customWidth="1"/>
    <col min="10518" max="10518" width="2.7109375" style="20" customWidth="1"/>
    <col min="10519" max="10520" width="9.28515625" style="20" bestFit="1" customWidth="1"/>
    <col min="10521" max="10521" width="2.7109375" style="20" customWidth="1"/>
    <col min="10522" max="10523" width="10.42578125" style="20" bestFit="1" customWidth="1"/>
    <col min="10524" max="10524" width="2.5703125" style="20" customWidth="1"/>
    <col min="10525" max="10526" width="10.42578125" style="20" customWidth="1"/>
    <col min="10527" max="10527" width="2.5703125" style="20" customWidth="1"/>
    <col min="10528" max="10529" width="10.42578125" style="20" customWidth="1"/>
    <col min="10530" max="10530" width="2.7109375" style="20" customWidth="1"/>
    <col min="10531" max="10531" width="11.5703125" style="20" bestFit="1" customWidth="1"/>
    <col min="10532" max="10532" width="10.42578125" style="20" bestFit="1" customWidth="1"/>
    <col min="10533" max="10533" width="6.42578125" style="20" bestFit="1" customWidth="1"/>
    <col min="10534" max="10534" width="5.85546875" style="20" bestFit="1" customWidth="1"/>
    <col min="10535" max="10535" width="10.42578125" style="20" bestFit="1" customWidth="1"/>
    <col min="10536" max="10536" width="8.7109375" style="20" bestFit="1" customWidth="1"/>
    <col min="10537" max="10537" width="2.7109375" style="20" customWidth="1"/>
    <col min="10538" max="10538" width="5.85546875" style="20" bestFit="1" customWidth="1"/>
    <col min="10539" max="10539" width="12.7109375" style="20" bestFit="1" customWidth="1"/>
    <col min="10540" max="10540" width="11.5703125" style="20" bestFit="1" customWidth="1"/>
    <col min="10541" max="10541" width="2.7109375" style="20" customWidth="1"/>
    <col min="10542" max="10542" width="12.7109375" style="20" bestFit="1" customWidth="1"/>
    <col min="10543" max="10543" width="9.140625" style="20"/>
    <col min="10544" max="10544" width="21.7109375" style="20" bestFit="1" customWidth="1"/>
    <col min="10545" max="10545" width="9.140625" style="20"/>
    <col min="10546" max="10546" width="10.7109375" style="20" customWidth="1"/>
    <col min="10547" max="10547" width="10" style="20" bestFit="1" customWidth="1"/>
    <col min="10548" max="10756" width="9.140625" style="20"/>
    <col min="10757" max="10757" width="6.42578125" style="20" bestFit="1" customWidth="1"/>
    <col min="10758" max="10758" width="6" style="20" bestFit="1" customWidth="1"/>
    <col min="10759" max="10759" width="2.7109375" style="20" customWidth="1"/>
    <col min="10760" max="10761" width="10.42578125" style="20" customWidth="1"/>
    <col min="10762" max="10762" width="2.5703125" style="20" customWidth="1"/>
    <col min="10763" max="10764" width="10.5703125" style="20" customWidth="1"/>
    <col min="10765" max="10765" width="2.5703125" style="20" customWidth="1"/>
    <col min="10766" max="10767" width="10.5703125" style="20" customWidth="1"/>
    <col min="10768" max="10768" width="2.5703125" style="20" customWidth="1"/>
    <col min="10769" max="10769" width="12.140625" style="20" bestFit="1" customWidth="1"/>
    <col min="10770" max="10770" width="10.5703125" style="20" customWidth="1"/>
    <col min="10771" max="10771" width="2.5703125" style="20" customWidth="1"/>
    <col min="10772" max="10773" width="10.5703125" style="20" customWidth="1"/>
    <col min="10774" max="10774" width="2.7109375" style="20" customWidth="1"/>
    <col min="10775" max="10776" width="9.28515625" style="20" bestFit="1" customWidth="1"/>
    <col min="10777" max="10777" width="2.7109375" style="20" customWidth="1"/>
    <col min="10778" max="10779" width="10.42578125" style="20" bestFit="1" customWidth="1"/>
    <col min="10780" max="10780" width="2.5703125" style="20" customWidth="1"/>
    <col min="10781" max="10782" width="10.42578125" style="20" customWidth="1"/>
    <col min="10783" max="10783" width="2.5703125" style="20" customWidth="1"/>
    <col min="10784" max="10785" width="10.42578125" style="20" customWidth="1"/>
    <col min="10786" max="10786" width="2.7109375" style="20" customWidth="1"/>
    <col min="10787" max="10787" width="11.5703125" style="20" bestFit="1" customWidth="1"/>
    <col min="10788" max="10788" width="10.42578125" style="20" bestFit="1" customWidth="1"/>
    <col min="10789" max="10789" width="6.42578125" style="20" bestFit="1" customWidth="1"/>
    <col min="10790" max="10790" width="5.85546875" style="20" bestFit="1" customWidth="1"/>
    <col min="10791" max="10791" width="10.42578125" style="20" bestFit="1" customWidth="1"/>
    <col min="10792" max="10792" width="8.7109375" style="20" bestFit="1" customWidth="1"/>
    <col min="10793" max="10793" width="2.7109375" style="20" customWidth="1"/>
    <col min="10794" max="10794" width="5.85546875" style="20" bestFit="1" customWidth="1"/>
    <col min="10795" max="10795" width="12.7109375" style="20" bestFit="1" customWidth="1"/>
    <col min="10796" max="10796" width="11.5703125" style="20" bestFit="1" customWidth="1"/>
    <col min="10797" max="10797" width="2.7109375" style="20" customWidth="1"/>
    <col min="10798" max="10798" width="12.7109375" style="20" bestFit="1" customWidth="1"/>
    <col min="10799" max="10799" width="9.140625" style="20"/>
    <col min="10800" max="10800" width="21.7109375" style="20" bestFit="1" customWidth="1"/>
    <col min="10801" max="10801" width="9.140625" style="20"/>
    <col min="10802" max="10802" width="10.7109375" style="20" customWidth="1"/>
    <col min="10803" max="10803" width="10" style="20" bestFit="1" customWidth="1"/>
    <col min="10804" max="11012" width="9.140625" style="20"/>
    <col min="11013" max="11013" width="6.42578125" style="20" bestFit="1" customWidth="1"/>
    <col min="11014" max="11014" width="6" style="20" bestFit="1" customWidth="1"/>
    <col min="11015" max="11015" width="2.7109375" style="20" customWidth="1"/>
    <col min="11016" max="11017" width="10.42578125" style="20" customWidth="1"/>
    <col min="11018" max="11018" width="2.5703125" style="20" customWidth="1"/>
    <col min="11019" max="11020" width="10.5703125" style="20" customWidth="1"/>
    <col min="11021" max="11021" width="2.5703125" style="20" customWidth="1"/>
    <col min="11022" max="11023" width="10.5703125" style="20" customWidth="1"/>
    <col min="11024" max="11024" width="2.5703125" style="20" customWidth="1"/>
    <col min="11025" max="11025" width="12.140625" style="20" bestFit="1" customWidth="1"/>
    <col min="11026" max="11026" width="10.5703125" style="20" customWidth="1"/>
    <col min="11027" max="11027" width="2.5703125" style="20" customWidth="1"/>
    <col min="11028" max="11029" width="10.5703125" style="20" customWidth="1"/>
    <col min="11030" max="11030" width="2.7109375" style="20" customWidth="1"/>
    <col min="11031" max="11032" width="9.28515625" style="20" bestFit="1" customWidth="1"/>
    <col min="11033" max="11033" width="2.7109375" style="20" customWidth="1"/>
    <col min="11034" max="11035" width="10.42578125" style="20" bestFit="1" customWidth="1"/>
    <col min="11036" max="11036" width="2.5703125" style="20" customWidth="1"/>
    <col min="11037" max="11038" width="10.42578125" style="20" customWidth="1"/>
    <col min="11039" max="11039" width="2.5703125" style="20" customWidth="1"/>
    <col min="11040" max="11041" width="10.42578125" style="20" customWidth="1"/>
    <col min="11042" max="11042" width="2.7109375" style="20" customWidth="1"/>
    <col min="11043" max="11043" width="11.5703125" style="20" bestFit="1" customWidth="1"/>
    <col min="11044" max="11044" width="10.42578125" style="20" bestFit="1" customWidth="1"/>
    <col min="11045" max="11045" width="6.42578125" style="20" bestFit="1" customWidth="1"/>
    <col min="11046" max="11046" width="5.85546875" style="20" bestFit="1" customWidth="1"/>
    <col min="11047" max="11047" width="10.42578125" style="20" bestFit="1" customWidth="1"/>
    <col min="11048" max="11048" width="8.7109375" style="20" bestFit="1" customWidth="1"/>
    <col min="11049" max="11049" width="2.7109375" style="20" customWidth="1"/>
    <col min="11050" max="11050" width="5.85546875" style="20" bestFit="1" customWidth="1"/>
    <col min="11051" max="11051" width="12.7109375" style="20" bestFit="1" customWidth="1"/>
    <col min="11052" max="11052" width="11.5703125" style="20" bestFit="1" customWidth="1"/>
    <col min="11053" max="11053" width="2.7109375" style="20" customWidth="1"/>
    <col min="11054" max="11054" width="12.7109375" style="20" bestFit="1" customWidth="1"/>
    <col min="11055" max="11055" width="9.140625" style="20"/>
    <col min="11056" max="11056" width="21.7109375" style="20" bestFit="1" customWidth="1"/>
    <col min="11057" max="11057" width="9.140625" style="20"/>
    <col min="11058" max="11058" width="10.7109375" style="20" customWidth="1"/>
    <col min="11059" max="11059" width="10" style="20" bestFit="1" customWidth="1"/>
    <col min="11060" max="11268" width="9.140625" style="20"/>
    <col min="11269" max="11269" width="6.42578125" style="20" bestFit="1" customWidth="1"/>
    <col min="11270" max="11270" width="6" style="20" bestFit="1" customWidth="1"/>
    <col min="11271" max="11271" width="2.7109375" style="20" customWidth="1"/>
    <col min="11272" max="11273" width="10.42578125" style="20" customWidth="1"/>
    <col min="11274" max="11274" width="2.5703125" style="20" customWidth="1"/>
    <col min="11275" max="11276" width="10.5703125" style="20" customWidth="1"/>
    <col min="11277" max="11277" width="2.5703125" style="20" customWidth="1"/>
    <col min="11278" max="11279" width="10.5703125" style="20" customWidth="1"/>
    <col min="11280" max="11280" width="2.5703125" style="20" customWidth="1"/>
    <col min="11281" max="11281" width="12.140625" style="20" bestFit="1" customWidth="1"/>
    <col min="11282" max="11282" width="10.5703125" style="20" customWidth="1"/>
    <col min="11283" max="11283" width="2.5703125" style="20" customWidth="1"/>
    <col min="11284" max="11285" width="10.5703125" style="20" customWidth="1"/>
    <col min="11286" max="11286" width="2.7109375" style="20" customWidth="1"/>
    <col min="11287" max="11288" width="9.28515625" style="20" bestFit="1" customWidth="1"/>
    <col min="11289" max="11289" width="2.7109375" style="20" customWidth="1"/>
    <col min="11290" max="11291" width="10.42578125" style="20" bestFit="1" customWidth="1"/>
    <col min="11292" max="11292" width="2.5703125" style="20" customWidth="1"/>
    <col min="11293" max="11294" width="10.42578125" style="20" customWidth="1"/>
    <col min="11295" max="11295" width="2.5703125" style="20" customWidth="1"/>
    <col min="11296" max="11297" width="10.42578125" style="20" customWidth="1"/>
    <col min="11298" max="11298" width="2.7109375" style="20" customWidth="1"/>
    <col min="11299" max="11299" width="11.5703125" style="20" bestFit="1" customWidth="1"/>
    <col min="11300" max="11300" width="10.42578125" style="20" bestFit="1" customWidth="1"/>
    <col min="11301" max="11301" width="6.42578125" style="20" bestFit="1" customWidth="1"/>
    <col min="11302" max="11302" width="5.85546875" style="20" bestFit="1" customWidth="1"/>
    <col min="11303" max="11303" width="10.42578125" style="20" bestFit="1" customWidth="1"/>
    <col min="11304" max="11304" width="8.7109375" style="20" bestFit="1" customWidth="1"/>
    <col min="11305" max="11305" width="2.7109375" style="20" customWidth="1"/>
    <col min="11306" max="11306" width="5.85546875" style="20" bestFit="1" customWidth="1"/>
    <col min="11307" max="11307" width="12.7109375" style="20" bestFit="1" customWidth="1"/>
    <col min="11308" max="11308" width="11.5703125" style="20" bestFit="1" customWidth="1"/>
    <col min="11309" max="11309" width="2.7109375" style="20" customWidth="1"/>
    <col min="11310" max="11310" width="12.7109375" style="20" bestFit="1" customWidth="1"/>
    <col min="11311" max="11311" width="9.140625" style="20"/>
    <col min="11312" max="11312" width="21.7109375" style="20" bestFit="1" customWidth="1"/>
    <col min="11313" max="11313" width="9.140625" style="20"/>
    <col min="11314" max="11314" width="10.7109375" style="20" customWidth="1"/>
    <col min="11315" max="11315" width="10" style="20" bestFit="1" customWidth="1"/>
    <col min="11316" max="11524" width="9.140625" style="20"/>
    <col min="11525" max="11525" width="6.42578125" style="20" bestFit="1" customWidth="1"/>
    <col min="11526" max="11526" width="6" style="20" bestFit="1" customWidth="1"/>
    <col min="11527" max="11527" width="2.7109375" style="20" customWidth="1"/>
    <col min="11528" max="11529" width="10.42578125" style="20" customWidth="1"/>
    <col min="11530" max="11530" width="2.5703125" style="20" customWidth="1"/>
    <col min="11531" max="11532" width="10.5703125" style="20" customWidth="1"/>
    <col min="11533" max="11533" width="2.5703125" style="20" customWidth="1"/>
    <col min="11534" max="11535" width="10.5703125" style="20" customWidth="1"/>
    <col min="11536" max="11536" width="2.5703125" style="20" customWidth="1"/>
    <col min="11537" max="11537" width="12.140625" style="20" bestFit="1" customWidth="1"/>
    <col min="11538" max="11538" width="10.5703125" style="20" customWidth="1"/>
    <col min="11539" max="11539" width="2.5703125" style="20" customWidth="1"/>
    <col min="11540" max="11541" width="10.5703125" style="20" customWidth="1"/>
    <col min="11542" max="11542" width="2.7109375" style="20" customWidth="1"/>
    <col min="11543" max="11544" width="9.28515625" style="20" bestFit="1" customWidth="1"/>
    <col min="11545" max="11545" width="2.7109375" style="20" customWidth="1"/>
    <col min="11546" max="11547" width="10.42578125" style="20" bestFit="1" customWidth="1"/>
    <col min="11548" max="11548" width="2.5703125" style="20" customWidth="1"/>
    <col min="11549" max="11550" width="10.42578125" style="20" customWidth="1"/>
    <col min="11551" max="11551" width="2.5703125" style="20" customWidth="1"/>
    <col min="11552" max="11553" width="10.42578125" style="20" customWidth="1"/>
    <col min="11554" max="11554" width="2.7109375" style="20" customWidth="1"/>
    <col min="11555" max="11555" width="11.5703125" style="20" bestFit="1" customWidth="1"/>
    <col min="11556" max="11556" width="10.42578125" style="20" bestFit="1" customWidth="1"/>
    <col min="11557" max="11557" width="6.42578125" style="20" bestFit="1" customWidth="1"/>
    <col min="11558" max="11558" width="5.85546875" style="20" bestFit="1" customWidth="1"/>
    <col min="11559" max="11559" width="10.42578125" style="20" bestFit="1" customWidth="1"/>
    <col min="11560" max="11560" width="8.7109375" style="20" bestFit="1" customWidth="1"/>
    <col min="11561" max="11561" width="2.7109375" style="20" customWidth="1"/>
    <col min="11562" max="11562" width="5.85546875" style="20" bestFit="1" customWidth="1"/>
    <col min="11563" max="11563" width="12.7109375" style="20" bestFit="1" customWidth="1"/>
    <col min="11564" max="11564" width="11.5703125" style="20" bestFit="1" customWidth="1"/>
    <col min="11565" max="11565" width="2.7109375" style="20" customWidth="1"/>
    <col min="11566" max="11566" width="12.7109375" style="20" bestFit="1" customWidth="1"/>
    <col min="11567" max="11567" width="9.140625" style="20"/>
    <col min="11568" max="11568" width="21.7109375" style="20" bestFit="1" customWidth="1"/>
    <col min="11569" max="11569" width="9.140625" style="20"/>
    <col min="11570" max="11570" width="10.7109375" style="20" customWidth="1"/>
    <col min="11571" max="11571" width="10" style="20" bestFit="1" customWidth="1"/>
    <col min="11572" max="11780" width="9.140625" style="20"/>
    <col min="11781" max="11781" width="6.42578125" style="20" bestFit="1" customWidth="1"/>
    <col min="11782" max="11782" width="6" style="20" bestFit="1" customWidth="1"/>
    <col min="11783" max="11783" width="2.7109375" style="20" customWidth="1"/>
    <col min="11784" max="11785" width="10.42578125" style="20" customWidth="1"/>
    <col min="11786" max="11786" width="2.5703125" style="20" customWidth="1"/>
    <col min="11787" max="11788" width="10.5703125" style="20" customWidth="1"/>
    <col min="11789" max="11789" width="2.5703125" style="20" customWidth="1"/>
    <col min="11790" max="11791" width="10.5703125" style="20" customWidth="1"/>
    <col min="11792" max="11792" width="2.5703125" style="20" customWidth="1"/>
    <col min="11793" max="11793" width="12.140625" style="20" bestFit="1" customWidth="1"/>
    <col min="11794" max="11794" width="10.5703125" style="20" customWidth="1"/>
    <col min="11795" max="11795" width="2.5703125" style="20" customWidth="1"/>
    <col min="11796" max="11797" width="10.5703125" style="20" customWidth="1"/>
    <col min="11798" max="11798" width="2.7109375" style="20" customWidth="1"/>
    <col min="11799" max="11800" width="9.28515625" style="20" bestFit="1" customWidth="1"/>
    <col min="11801" max="11801" width="2.7109375" style="20" customWidth="1"/>
    <col min="11802" max="11803" width="10.42578125" style="20" bestFit="1" customWidth="1"/>
    <col min="11804" max="11804" width="2.5703125" style="20" customWidth="1"/>
    <col min="11805" max="11806" width="10.42578125" style="20" customWidth="1"/>
    <col min="11807" max="11807" width="2.5703125" style="20" customWidth="1"/>
    <col min="11808" max="11809" width="10.42578125" style="20" customWidth="1"/>
    <col min="11810" max="11810" width="2.7109375" style="20" customWidth="1"/>
    <col min="11811" max="11811" width="11.5703125" style="20" bestFit="1" customWidth="1"/>
    <col min="11812" max="11812" width="10.42578125" style="20" bestFit="1" customWidth="1"/>
    <col min="11813" max="11813" width="6.42578125" style="20" bestFit="1" customWidth="1"/>
    <col min="11814" max="11814" width="5.85546875" style="20" bestFit="1" customWidth="1"/>
    <col min="11815" max="11815" width="10.42578125" style="20" bestFit="1" customWidth="1"/>
    <col min="11816" max="11816" width="8.7109375" style="20" bestFit="1" customWidth="1"/>
    <col min="11817" max="11817" width="2.7109375" style="20" customWidth="1"/>
    <col min="11818" max="11818" width="5.85546875" style="20" bestFit="1" customWidth="1"/>
    <col min="11819" max="11819" width="12.7109375" style="20" bestFit="1" customWidth="1"/>
    <col min="11820" max="11820" width="11.5703125" style="20" bestFit="1" customWidth="1"/>
    <col min="11821" max="11821" width="2.7109375" style="20" customWidth="1"/>
    <col min="11822" max="11822" width="12.7109375" style="20" bestFit="1" customWidth="1"/>
    <col min="11823" max="11823" width="9.140625" style="20"/>
    <col min="11824" max="11824" width="21.7109375" style="20" bestFit="1" customWidth="1"/>
    <col min="11825" max="11825" width="9.140625" style="20"/>
    <col min="11826" max="11826" width="10.7109375" style="20" customWidth="1"/>
    <col min="11827" max="11827" width="10" style="20" bestFit="1" customWidth="1"/>
    <col min="11828" max="12036" width="9.140625" style="20"/>
    <col min="12037" max="12037" width="6.42578125" style="20" bestFit="1" customWidth="1"/>
    <col min="12038" max="12038" width="6" style="20" bestFit="1" customWidth="1"/>
    <col min="12039" max="12039" width="2.7109375" style="20" customWidth="1"/>
    <col min="12040" max="12041" width="10.42578125" style="20" customWidth="1"/>
    <col min="12042" max="12042" width="2.5703125" style="20" customWidth="1"/>
    <col min="12043" max="12044" width="10.5703125" style="20" customWidth="1"/>
    <col min="12045" max="12045" width="2.5703125" style="20" customWidth="1"/>
    <col min="12046" max="12047" width="10.5703125" style="20" customWidth="1"/>
    <col min="12048" max="12048" width="2.5703125" style="20" customWidth="1"/>
    <col min="12049" max="12049" width="12.140625" style="20" bestFit="1" customWidth="1"/>
    <col min="12050" max="12050" width="10.5703125" style="20" customWidth="1"/>
    <col min="12051" max="12051" width="2.5703125" style="20" customWidth="1"/>
    <col min="12052" max="12053" width="10.5703125" style="20" customWidth="1"/>
    <col min="12054" max="12054" width="2.7109375" style="20" customWidth="1"/>
    <col min="12055" max="12056" width="9.28515625" style="20" bestFit="1" customWidth="1"/>
    <col min="12057" max="12057" width="2.7109375" style="20" customWidth="1"/>
    <col min="12058" max="12059" width="10.42578125" style="20" bestFit="1" customWidth="1"/>
    <col min="12060" max="12060" width="2.5703125" style="20" customWidth="1"/>
    <col min="12061" max="12062" width="10.42578125" style="20" customWidth="1"/>
    <col min="12063" max="12063" width="2.5703125" style="20" customWidth="1"/>
    <col min="12064" max="12065" width="10.42578125" style="20" customWidth="1"/>
    <col min="12066" max="12066" width="2.7109375" style="20" customWidth="1"/>
    <col min="12067" max="12067" width="11.5703125" style="20" bestFit="1" customWidth="1"/>
    <col min="12068" max="12068" width="10.42578125" style="20" bestFit="1" customWidth="1"/>
    <col min="12069" max="12069" width="6.42578125" style="20" bestFit="1" customWidth="1"/>
    <col min="12070" max="12070" width="5.85546875" style="20" bestFit="1" customWidth="1"/>
    <col min="12071" max="12071" width="10.42578125" style="20" bestFit="1" customWidth="1"/>
    <col min="12072" max="12072" width="8.7109375" style="20" bestFit="1" customWidth="1"/>
    <col min="12073" max="12073" width="2.7109375" style="20" customWidth="1"/>
    <col min="12074" max="12074" width="5.85546875" style="20" bestFit="1" customWidth="1"/>
    <col min="12075" max="12075" width="12.7109375" style="20" bestFit="1" customWidth="1"/>
    <col min="12076" max="12076" width="11.5703125" style="20" bestFit="1" customWidth="1"/>
    <col min="12077" max="12077" width="2.7109375" style="20" customWidth="1"/>
    <col min="12078" max="12078" width="12.7109375" style="20" bestFit="1" customWidth="1"/>
    <col min="12079" max="12079" width="9.140625" style="20"/>
    <col min="12080" max="12080" width="21.7109375" style="20" bestFit="1" customWidth="1"/>
    <col min="12081" max="12081" width="9.140625" style="20"/>
    <col min="12082" max="12082" width="10.7109375" style="20" customWidth="1"/>
    <col min="12083" max="12083" width="10" style="20" bestFit="1" customWidth="1"/>
    <col min="12084" max="12292" width="9.140625" style="20"/>
    <col min="12293" max="12293" width="6.42578125" style="20" bestFit="1" customWidth="1"/>
    <col min="12294" max="12294" width="6" style="20" bestFit="1" customWidth="1"/>
    <col min="12295" max="12295" width="2.7109375" style="20" customWidth="1"/>
    <col min="12296" max="12297" width="10.42578125" style="20" customWidth="1"/>
    <col min="12298" max="12298" width="2.5703125" style="20" customWidth="1"/>
    <col min="12299" max="12300" width="10.5703125" style="20" customWidth="1"/>
    <col min="12301" max="12301" width="2.5703125" style="20" customWidth="1"/>
    <col min="12302" max="12303" width="10.5703125" style="20" customWidth="1"/>
    <col min="12304" max="12304" width="2.5703125" style="20" customWidth="1"/>
    <col min="12305" max="12305" width="12.140625" style="20" bestFit="1" customWidth="1"/>
    <col min="12306" max="12306" width="10.5703125" style="20" customWidth="1"/>
    <col min="12307" max="12307" width="2.5703125" style="20" customWidth="1"/>
    <col min="12308" max="12309" width="10.5703125" style="20" customWidth="1"/>
    <col min="12310" max="12310" width="2.7109375" style="20" customWidth="1"/>
    <col min="12311" max="12312" width="9.28515625" style="20" bestFit="1" customWidth="1"/>
    <col min="12313" max="12313" width="2.7109375" style="20" customWidth="1"/>
    <col min="12314" max="12315" width="10.42578125" style="20" bestFit="1" customWidth="1"/>
    <col min="12316" max="12316" width="2.5703125" style="20" customWidth="1"/>
    <col min="12317" max="12318" width="10.42578125" style="20" customWidth="1"/>
    <col min="12319" max="12319" width="2.5703125" style="20" customWidth="1"/>
    <col min="12320" max="12321" width="10.42578125" style="20" customWidth="1"/>
    <col min="12322" max="12322" width="2.7109375" style="20" customWidth="1"/>
    <col min="12323" max="12323" width="11.5703125" style="20" bestFit="1" customWidth="1"/>
    <col min="12324" max="12324" width="10.42578125" style="20" bestFit="1" customWidth="1"/>
    <col min="12325" max="12325" width="6.42578125" style="20" bestFit="1" customWidth="1"/>
    <col min="12326" max="12326" width="5.85546875" style="20" bestFit="1" customWidth="1"/>
    <col min="12327" max="12327" width="10.42578125" style="20" bestFit="1" customWidth="1"/>
    <col min="12328" max="12328" width="8.7109375" style="20" bestFit="1" customWidth="1"/>
    <col min="12329" max="12329" width="2.7109375" style="20" customWidth="1"/>
    <col min="12330" max="12330" width="5.85546875" style="20" bestFit="1" customWidth="1"/>
    <col min="12331" max="12331" width="12.7109375" style="20" bestFit="1" customWidth="1"/>
    <col min="12332" max="12332" width="11.5703125" style="20" bestFit="1" customWidth="1"/>
    <col min="12333" max="12333" width="2.7109375" style="20" customWidth="1"/>
    <col min="12334" max="12334" width="12.7109375" style="20" bestFit="1" customWidth="1"/>
    <col min="12335" max="12335" width="9.140625" style="20"/>
    <col min="12336" max="12336" width="21.7109375" style="20" bestFit="1" customWidth="1"/>
    <col min="12337" max="12337" width="9.140625" style="20"/>
    <col min="12338" max="12338" width="10.7109375" style="20" customWidth="1"/>
    <col min="12339" max="12339" width="10" style="20" bestFit="1" customWidth="1"/>
    <col min="12340" max="12548" width="9.140625" style="20"/>
    <col min="12549" max="12549" width="6.42578125" style="20" bestFit="1" customWidth="1"/>
    <col min="12550" max="12550" width="6" style="20" bestFit="1" customWidth="1"/>
    <col min="12551" max="12551" width="2.7109375" style="20" customWidth="1"/>
    <col min="12552" max="12553" width="10.42578125" style="20" customWidth="1"/>
    <col min="12554" max="12554" width="2.5703125" style="20" customWidth="1"/>
    <col min="12555" max="12556" width="10.5703125" style="20" customWidth="1"/>
    <col min="12557" max="12557" width="2.5703125" style="20" customWidth="1"/>
    <col min="12558" max="12559" width="10.5703125" style="20" customWidth="1"/>
    <col min="12560" max="12560" width="2.5703125" style="20" customWidth="1"/>
    <col min="12561" max="12561" width="12.140625" style="20" bestFit="1" customWidth="1"/>
    <col min="12562" max="12562" width="10.5703125" style="20" customWidth="1"/>
    <col min="12563" max="12563" width="2.5703125" style="20" customWidth="1"/>
    <col min="12564" max="12565" width="10.5703125" style="20" customWidth="1"/>
    <col min="12566" max="12566" width="2.7109375" style="20" customWidth="1"/>
    <col min="12567" max="12568" width="9.28515625" style="20" bestFit="1" customWidth="1"/>
    <col min="12569" max="12569" width="2.7109375" style="20" customWidth="1"/>
    <col min="12570" max="12571" width="10.42578125" style="20" bestFit="1" customWidth="1"/>
    <col min="12572" max="12572" width="2.5703125" style="20" customWidth="1"/>
    <col min="12573" max="12574" width="10.42578125" style="20" customWidth="1"/>
    <col min="12575" max="12575" width="2.5703125" style="20" customWidth="1"/>
    <col min="12576" max="12577" width="10.42578125" style="20" customWidth="1"/>
    <col min="12578" max="12578" width="2.7109375" style="20" customWidth="1"/>
    <col min="12579" max="12579" width="11.5703125" style="20" bestFit="1" customWidth="1"/>
    <col min="12580" max="12580" width="10.42578125" style="20" bestFit="1" customWidth="1"/>
    <col min="12581" max="12581" width="6.42578125" style="20" bestFit="1" customWidth="1"/>
    <col min="12582" max="12582" width="5.85546875" style="20" bestFit="1" customWidth="1"/>
    <col min="12583" max="12583" width="10.42578125" style="20" bestFit="1" customWidth="1"/>
    <col min="12584" max="12584" width="8.7109375" style="20" bestFit="1" customWidth="1"/>
    <col min="12585" max="12585" width="2.7109375" style="20" customWidth="1"/>
    <col min="12586" max="12586" width="5.85546875" style="20" bestFit="1" customWidth="1"/>
    <col min="12587" max="12587" width="12.7109375" style="20" bestFit="1" customWidth="1"/>
    <col min="12588" max="12588" width="11.5703125" style="20" bestFit="1" customWidth="1"/>
    <col min="12589" max="12589" width="2.7109375" style="20" customWidth="1"/>
    <col min="12590" max="12590" width="12.7109375" style="20" bestFit="1" customWidth="1"/>
    <col min="12591" max="12591" width="9.140625" style="20"/>
    <col min="12592" max="12592" width="21.7109375" style="20" bestFit="1" customWidth="1"/>
    <col min="12593" max="12593" width="9.140625" style="20"/>
    <col min="12594" max="12594" width="10.7109375" style="20" customWidth="1"/>
    <col min="12595" max="12595" width="10" style="20" bestFit="1" customWidth="1"/>
    <col min="12596" max="12804" width="9.140625" style="20"/>
    <col min="12805" max="12805" width="6.42578125" style="20" bestFit="1" customWidth="1"/>
    <col min="12806" max="12806" width="6" style="20" bestFit="1" customWidth="1"/>
    <col min="12807" max="12807" width="2.7109375" style="20" customWidth="1"/>
    <col min="12808" max="12809" width="10.42578125" style="20" customWidth="1"/>
    <col min="12810" max="12810" width="2.5703125" style="20" customWidth="1"/>
    <col min="12811" max="12812" width="10.5703125" style="20" customWidth="1"/>
    <col min="12813" max="12813" width="2.5703125" style="20" customWidth="1"/>
    <col min="12814" max="12815" width="10.5703125" style="20" customWidth="1"/>
    <col min="12816" max="12816" width="2.5703125" style="20" customWidth="1"/>
    <col min="12817" max="12817" width="12.140625" style="20" bestFit="1" customWidth="1"/>
    <col min="12818" max="12818" width="10.5703125" style="20" customWidth="1"/>
    <col min="12819" max="12819" width="2.5703125" style="20" customWidth="1"/>
    <col min="12820" max="12821" width="10.5703125" style="20" customWidth="1"/>
    <col min="12822" max="12822" width="2.7109375" style="20" customWidth="1"/>
    <col min="12823" max="12824" width="9.28515625" style="20" bestFit="1" customWidth="1"/>
    <col min="12825" max="12825" width="2.7109375" style="20" customWidth="1"/>
    <col min="12826" max="12827" width="10.42578125" style="20" bestFit="1" customWidth="1"/>
    <col min="12828" max="12828" width="2.5703125" style="20" customWidth="1"/>
    <col min="12829" max="12830" width="10.42578125" style="20" customWidth="1"/>
    <col min="12831" max="12831" width="2.5703125" style="20" customWidth="1"/>
    <col min="12832" max="12833" width="10.42578125" style="20" customWidth="1"/>
    <col min="12834" max="12834" width="2.7109375" style="20" customWidth="1"/>
    <col min="12835" max="12835" width="11.5703125" style="20" bestFit="1" customWidth="1"/>
    <col min="12836" max="12836" width="10.42578125" style="20" bestFit="1" customWidth="1"/>
    <col min="12837" max="12837" width="6.42578125" style="20" bestFit="1" customWidth="1"/>
    <col min="12838" max="12838" width="5.85546875" style="20" bestFit="1" customWidth="1"/>
    <col min="12839" max="12839" width="10.42578125" style="20" bestFit="1" customWidth="1"/>
    <col min="12840" max="12840" width="8.7109375" style="20" bestFit="1" customWidth="1"/>
    <col min="12841" max="12841" width="2.7109375" style="20" customWidth="1"/>
    <col min="12842" max="12842" width="5.85546875" style="20" bestFit="1" customWidth="1"/>
    <col min="12843" max="12843" width="12.7109375" style="20" bestFit="1" customWidth="1"/>
    <col min="12844" max="12844" width="11.5703125" style="20" bestFit="1" customWidth="1"/>
    <col min="12845" max="12845" width="2.7109375" style="20" customWidth="1"/>
    <col min="12846" max="12846" width="12.7109375" style="20" bestFit="1" customWidth="1"/>
    <col min="12847" max="12847" width="9.140625" style="20"/>
    <col min="12848" max="12848" width="21.7109375" style="20" bestFit="1" customWidth="1"/>
    <col min="12849" max="12849" width="9.140625" style="20"/>
    <col min="12850" max="12850" width="10.7109375" style="20" customWidth="1"/>
    <col min="12851" max="12851" width="10" style="20" bestFit="1" customWidth="1"/>
    <col min="12852" max="13060" width="9.140625" style="20"/>
    <col min="13061" max="13061" width="6.42578125" style="20" bestFit="1" customWidth="1"/>
    <col min="13062" max="13062" width="6" style="20" bestFit="1" customWidth="1"/>
    <col min="13063" max="13063" width="2.7109375" style="20" customWidth="1"/>
    <col min="13064" max="13065" width="10.42578125" style="20" customWidth="1"/>
    <col min="13066" max="13066" width="2.5703125" style="20" customWidth="1"/>
    <col min="13067" max="13068" width="10.5703125" style="20" customWidth="1"/>
    <col min="13069" max="13069" width="2.5703125" style="20" customWidth="1"/>
    <col min="13070" max="13071" width="10.5703125" style="20" customWidth="1"/>
    <col min="13072" max="13072" width="2.5703125" style="20" customWidth="1"/>
    <col min="13073" max="13073" width="12.140625" style="20" bestFit="1" customWidth="1"/>
    <col min="13074" max="13074" width="10.5703125" style="20" customWidth="1"/>
    <col min="13075" max="13075" width="2.5703125" style="20" customWidth="1"/>
    <col min="13076" max="13077" width="10.5703125" style="20" customWidth="1"/>
    <col min="13078" max="13078" width="2.7109375" style="20" customWidth="1"/>
    <col min="13079" max="13080" width="9.28515625" style="20" bestFit="1" customWidth="1"/>
    <col min="13081" max="13081" width="2.7109375" style="20" customWidth="1"/>
    <col min="13082" max="13083" width="10.42578125" style="20" bestFit="1" customWidth="1"/>
    <col min="13084" max="13084" width="2.5703125" style="20" customWidth="1"/>
    <col min="13085" max="13086" width="10.42578125" style="20" customWidth="1"/>
    <col min="13087" max="13087" width="2.5703125" style="20" customWidth="1"/>
    <col min="13088" max="13089" width="10.42578125" style="20" customWidth="1"/>
    <col min="13090" max="13090" width="2.7109375" style="20" customWidth="1"/>
    <col min="13091" max="13091" width="11.5703125" style="20" bestFit="1" customWidth="1"/>
    <col min="13092" max="13092" width="10.42578125" style="20" bestFit="1" customWidth="1"/>
    <col min="13093" max="13093" width="6.42578125" style="20" bestFit="1" customWidth="1"/>
    <col min="13094" max="13094" width="5.85546875" style="20" bestFit="1" customWidth="1"/>
    <col min="13095" max="13095" width="10.42578125" style="20" bestFit="1" customWidth="1"/>
    <col min="13096" max="13096" width="8.7109375" style="20" bestFit="1" customWidth="1"/>
    <col min="13097" max="13097" width="2.7109375" style="20" customWidth="1"/>
    <col min="13098" max="13098" width="5.85546875" style="20" bestFit="1" customWidth="1"/>
    <col min="13099" max="13099" width="12.7109375" style="20" bestFit="1" customWidth="1"/>
    <col min="13100" max="13100" width="11.5703125" style="20" bestFit="1" customWidth="1"/>
    <col min="13101" max="13101" width="2.7109375" style="20" customWidth="1"/>
    <col min="13102" max="13102" width="12.7109375" style="20" bestFit="1" customWidth="1"/>
    <col min="13103" max="13103" width="9.140625" style="20"/>
    <col min="13104" max="13104" width="21.7109375" style="20" bestFit="1" customWidth="1"/>
    <col min="13105" max="13105" width="9.140625" style="20"/>
    <col min="13106" max="13106" width="10.7109375" style="20" customWidth="1"/>
    <col min="13107" max="13107" width="10" style="20" bestFit="1" customWidth="1"/>
    <col min="13108" max="13316" width="9.140625" style="20"/>
    <col min="13317" max="13317" width="6.42578125" style="20" bestFit="1" customWidth="1"/>
    <col min="13318" max="13318" width="6" style="20" bestFit="1" customWidth="1"/>
    <col min="13319" max="13319" width="2.7109375" style="20" customWidth="1"/>
    <col min="13320" max="13321" width="10.42578125" style="20" customWidth="1"/>
    <col min="13322" max="13322" width="2.5703125" style="20" customWidth="1"/>
    <col min="13323" max="13324" width="10.5703125" style="20" customWidth="1"/>
    <col min="13325" max="13325" width="2.5703125" style="20" customWidth="1"/>
    <col min="13326" max="13327" width="10.5703125" style="20" customWidth="1"/>
    <col min="13328" max="13328" width="2.5703125" style="20" customWidth="1"/>
    <col min="13329" max="13329" width="12.140625" style="20" bestFit="1" customWidth="1"/>
    <col min="13330" max="13330" width="10.5703125" style="20" customWidth="1"/>
    <col min="13331" max="13331" width="2.5703125" style="20" customWidth="1"/>
    <col min="13332" max="13333" width="10.5703125" style="20" customWidth="1"/>
    <col min="13334" max="13334" width="2.7109375" style="20" customWidth="1"/>
    <col min="13335" max="13336" width="9.28515625" style="20" bestFit="1" customWidth="1"/>
    <col min="13337" max="13337" width="2.7109375" style="20" customWidth="1"/>
    <col min="13338" max="13339" width="10.42578125" style="20" bestFit="1" customWidth="1"/>
    <col min="13340" max="13340" width="2.5703125" style="20" customWidth="1"/>
    <col min="13341" max="13342" width="10.42578125" style="20" customWidth="1"/>
    <col min="13343" max="13343" width="2.5703125" style="20" customWidth="1"/>
    <col min="13344" max="13345" width="10.42578125" style="20" customWidth="1"/>
    <col min="13346" max="13346" width="2.7109375" style="20" customWidth="1"/>
    <col min="13347" max="13347" width="11.5703125" style="20" bestFit="1" customWidth="1"/>
    <col min="13348" max="13348" width="10.42578125" style="20" bestFit="1" customWidth="1"/>
    <col min="13349" max="13349" width="6.42578125" style="20" bestFit="1" customWidth="1"/>
    <col min="13350" max="13350" width="5.85546875" style="20" bestFit="1" customWidth="1"/>
    <col min="13351" max="13351" width="10.42578125" style="20" bestFit="1" customWidth="1"/>
    <col min="13352" max="13352" width="8.7109375" style="20" bestFit="1" customWidth="1"/>
    <col min="13353" max="13353" width="2.7109375" style="20" customWidth="1"/>
    <col min="13354" max="13354" width="5.85546875" style="20" bestFit="1" customWidth="1"/>
    <col min="13355" max="13355" width="12.7109375" style="20" bestFit="1" customWidth="1"/>
    <col min="13356" max="13356" width="11.5703125" style="20" bestFit="1" customWidth="1"/>
    <col min="13357" max="13357" width="2.7109375" style="20" customWidth="1"/>
    <col min="13358" max="13358" width="12.7109375" style="20" bestFit="1" customWidth="1"/>
    <col min="13359" max="13359" width="9.140625" style="20"/>
    <col min="13360" max="13360" width="21.7109375" style="20" bestFit="1" customWidth="1"/>
    <col min="13361" max="13361" width="9.140625" style="20"/>
    <col min="13362" max="13362" width="10.7109375" style="20" customWidth="1"/>
    <col min="13363" max="13363" width="10" style="20" bestFit="1" customWidth="1"/>
    <col min="13364" max="13572" width="9.140625" style="20"/>
    <col min="13573" max="13573" width="6.42578125" style="20" bestFit="1" customWidth="1"/>
    <col min="13574" max="13574" width="6" style="20" bestFit="1" customWidth="1"/>
    <col min="13575" max="13575" width="2.7109375" style="20" customWidth="1"/>
    <col min="13576" max="13577" width="10.42578125" style="20" customWidth="1"/>
    <col min="13578" max="13578" width="2.5703125" style="20" customWidth="1"/>
    <col min="13579" max="13580" width="10.5703125" style="20" customWidth="1"/>
    <col min="13581" max="13581" width="2.5703125" style="20" customWidth="1"/>
    <col min="13582" max="13583" width="10.5703125" style="20" customWidth="1"/>
    <col min="13584" max="13584" width="2.5703125" style="20" customWidth="1"/>
    <col min="13585" max="13585" width="12.140625" style="20" bestFit="1" customWidth="1"/>
    <col min="13586" max="13586" width="10.5703125" style="20" customWidth="1"/>
    <col min="13587" max="13587" width="2.5703125" style="20" customWidth="1"/>
    <col min="13588" max="13589" width="10.5703125" style="20" customWidth="1"/>
    <col min="13590" max="13590" width="2.7109375" style="20" customWidth="1"/>
    <col min="13591" max="13592" width="9.28515625" style="20" bestFit="1" customWidth="1"/>
    <col min="13593" max="13593" width="2.7109375" style="20" customWidth="1"/>
    <col min="13594" max="13595" width="10.42578125" style="20" bestFit="1" customWidth="1"/>
    <col min="13596" max="13596" width="2.5703125" style="20" customWidth="1"/>
    <col min="13597" max="13598" width="10.42578125" style="20" customWidth="1"/>
    <col min="13599" max="13599" width="2.5703125" style="20" customWidth="1"/>
    <col min="13600" max="13601" width="10.42578125" style="20" customWidth="1"/>
    <col min="13602" max="13602" width="2.7109375" style="20" customWidth="1"/>
    <col min="13603" max="13603" width="11.5703125" style="20" bestFit="1" customWidth="1"/>
    <col min="13604" max="13604" width="10.42578125" style="20" bestFit="1" customWidth="1"/>
    <col min="13605" max="13605" width="6.42578125" style="20" bestFit="1" customWidth="1"/>
    <col min="13606" max="13606" width="5.85546875" style="20" bestFit="1" customWidth="1"/>
    <col min="13607" max="13607" width="10.42578125" style="20" bestFit="1" customWidth="1"/>
    <col min="13608" max="13608" width="8.7109375" style="20" bestFit="1" customWidth="1"/>
    <col min="13609" max="13609" width="2.7109375" style="20" customWidth="1"/>
    <col min="13610" max="13610" width="5.85546875" style="20" bestFit="1" customWidth="1"/>
    <col min="13611" max="13611" width="12.7109375" style="20" bestFit="1" customWidth="1"/>
    <col min="13612" max="13612" width="11.5703125" style="20" bestFit="1" customWidth="1"/>
    <col min="13613" max="13613" width="2.7109375" style="20" customWidth="1"/>
    <col min="13614" max="13614" width="12.7109375" style="20" bestFit="1" customWidth="1"/>
    <col min="13615" max="13615" width="9.140625" style="20"/>
    <col min="13616" max="13616" width="21.7109375" style="20" bestFit="1" customWidth="1"/>
    <col min="13617" max="13617" width="9.140625" style="20"/>
    <col min="13618" max="13618" width="10.7109375" style="20" customWidth="1"/>
    <col min="13619" max="13619" width="10" style="20" bestFit="1" customWidth="1"/>
    <col min="13620" max="13828" width="9.140625" style="20"/>
    <col min="13829" max="13829" width="6.42578125" style="20" bestFit="1" customWidth="1"/>
    <col min="13830" max="13830" width="6" style="20" bestFit="1" customWidth="1"/>
    <col min="13831" max="13831" width="2.7109375" style="20" customWidth="1"/>
    <col min="13832" max="13833" width="10.42578125" style="20" customWidth="1"/>
    <col min="13834" max="13834" width="2.5703125" style="20" customWidth="1"/>
    <col min="13835" max="13836" width="10.5703125" style="20" customWidth="1"/>
    <col min="13837" max="13837" width="2.5703125" style="20" customWidth="1"/>
    <col min="13838" max="13839" width="10.5703125" style="20" customWidth="1"/>
    <col min="13840" max="13840" width="2.5703125" style="20" customWidth="1"/>
    <col min="13841" max="13841" width="12.140625" style="20" bestFit="1" customWidth="1"/>
    <col min="13842" max="13842" width="10.5703125" style="20" customWidth="1"/>
    <col min="13843" max="13843" width="2.5703125" style="20" customWidth="1"/>
    <col min="13844" max="13845" width="10.5703125" style="20" customWidth="1"/>
    <col min="13846" max="13846" width="2.7109375" style="20" customWidth="1"/>
    <col min="13847" max="13848" width="9.28515625" style="20" bestFit="1" customWidth="1"/>
    <col min="13849" max="13849" width="2.7109375" style="20" customWidth="1"/>
    <col min="13850" max="13851" width="10.42578125" style="20" bestFit="1" customWidth="1"/>
    <col min="13852" max="13852" width="2.5703125" style="20" customWidth="1"/>
    <col min="13853" max="13854" width="10.42578125" style="20" customWidth="1"/>
    <col min="13855" max="13855" width="2.5703125" style="20" customWidth="1"/>
    <col min="13856" max="13857" width="10.42578125" style="20" customWidth="1"/>
    <col min="13858" max="13858" width="2.7109375" style="20" customWidth="1"/>
    <col min="13859" max="13859" width="11.5703125" style="20" bestFit="1" customWidth="1"/>
    <col min="13860" max="13860" width="10.42578125" style="20" bestFit="1" customWidth="1"/>
    <col min="13861" max="13861" width="6.42578125" style="20" bestFit="1" customWidth="1"/>
    <col min="13862" max="13862" width="5.85546875" style="20" bestFit="1" customWidth="1"/>
    <col min="13863" max="13863" width="10.42578125" style="20" bestFit="1" customWidth="1"/>
    <col min="13864" max="13864" width="8.7109375" style="20" bestFit="1" customWidth="1"/>
    <col min="13865" max="13865" width="2.7109375" style="20" customWidth="1"/>
    <col min="13866" max="13866" width="5.85546875" style="20" bestFit="1" customWidth="1"/>
    <col min="13867" max="13867" width="12.7109375" style="20" bestFit="1" customWidth="1"/>
    <col min="13868" max="13868" width="11.5703125" style="20" bestFit="1" customWidth="1"/>
    <col min="13869" max="13869" width="2.7109375" style="20" customWidth="1"/>
    <col min="13870" max="13870" width="12.7109375" style="20" bestFit="1" customWidth="1"/>
    <col min="13871" max="13871" width="9.140625" style="20"/>
    <col min="13872" max="13872" width="21.7109375" style="20" bestFit="1" customWidth="1"/>
    <col min="13873" max="13873" width="9.140625" style="20"/>
    <col min="13874" max="13874" width="10.7109375" style="20" customWidth="1"/>
    <col min="13875" max="13875" width="10" style="20" bestFit="1" customWidth="1"/>
    <col min="13876" max="14084" width="9.140625" style="20"/>
    <col min="14085" max="14085" width="6.42578125" style="20" bestFit="1" customWidth="1"/>
    <col min="14086" max="14086" width="6" style="20" bestFit="1" customWidth="1"/>
    <col min="14087" max="14087" width="2.7109375" style="20" customWidth="1"/>
    <col min="14088" max="14089" width="10.42578125" style="20" customWidth="1"/>
    <col min="14090" max="14090" width="2.5703125" style="20" customWidth="1"/>
    <col min="14091" max="14092" width="10.5703125" style="20" customWidth="1"/>
    <col min="14093" max="14093" width="2.5703125" style="20" customWidth="1"/>
    <col min="14094" max="14095" width="10.5703125" style="20" customWidth="1"/>
    <col min="14096" max="14096" width="2.5703125" style="20" customWidth="1"/>
    <col min="14097" max="14097" width="12.140625" style="20" bestFit="1" customWidth="1"/>
    <col min="14098" max="14098" width="10.5703125" style="20" customWidth="1"/>
    <col min="14099" max="14099" width="2.5703125" style="20" customWidth="1"/>
    <col min="14100" max="14101" width="10.5703125" style="20" customWidth="1"/>
    <col min="14102" max="14102" width="2.7109375" style="20" customWidth="1"/>
    <col min="14103" max="14104" width="9.28515625" style="20" bestFit="1" customWidth="1"/>
    <col min="14105" max="14105" width="2.7109375" style="20" customWidth="1"/>
    <col min="14106" max="14107" width="10.42578125" style="20" bestFit="1" customWidth="1"/>
    <col min="14108" max="14108" width="2.5703125" style="20" customWidth="1"/>
    <col min="14109" max="14110" width="10.42578125" style="20" customWidth="1"/>
    <col min="14111" max="14111" width="2.5703125" style="20" customWidth="1"/>
    <col min="14112" max="14113" width="10.42578125" style="20" customWidth="1"/>
    <col min="14114" max="14114" width="2.7109375" style="20" customWidth="1"/>
    <col min="14115" max="14115" width="11.5703125" style="20" bestFit="1" customWidth="1"/>
    <col min="14116" max="14116" width="10.42578125" style="20" bestFit="1" customWidth="1"/>
    <col min="14117" max="14117" width="6.42578125" style="20" bestFit="1" customWidth="1"/>
    <col min="14118" max="14118" width="5.85546875" style="20" bestFit="1" customWidth="1"/>
    <col min="14119" max="14119" width="10.42578125" style="20" bestFit="1" customWidth="1"/>
    <col min="14120" max="14120" width="8.7109375" style="20" bestFit="1" customWidth="1"/>
    <col min="14121" max="14121" width="2.7109375" style="20" customWidth="1"/>
    <col min="14122" max="14122" width="5.85546875" style="20" bestFit="1" customWidth="1"/>
    <col min="14123" max="14123" width="12.7109375" style="20" bestFit="1" customWidth="1"/>
    <col min="14124" max="14124" width="11.5703125" style="20" bestFit="1" customWidth="1"/>
    <col min="14125" max="14125" width="2.7109375" style="20" customWidth="1"/>
    <col min="14126" max="14126" width="12.7109375" style="20" bestFit="1" customWidth="1"/>
    <col min="14127" max="14127" width="9.140625" style="20"/>
    <col min="14128" max="14128" width="21.7109375" style="20" bestFit="1" customWidth="1"/>
    <col min="14129" max="14129" width="9.140625" style="20"/>
    <col min="14130" max="14130" width="10.7109375" style="20" customWidth="1"/>
    <col min="14131" max="14131" width="10" style="20" bestFit="1" customWidth="1"/>
    <col min="14132" max="14340" width="9.140625" style="20"/>
    <col min="14341" max="14341" width="6.42578125" style="20" bestFit="1" customWidth="1"/>
    <col min="14342" max="14342" width="6" style="20" bestFit="1" customWidth="1"/>
    <col min="14343" max="14343" width="2.7109375" style="20" customWidth="1"/>
    <col min="14344" max="14345" width="10.42578125" style="20" customWidth="1"/>
    <col min="14346" max="14346" width="2.5703125" style="20" customWidth="1"/>
    <col min="14347" max="14348" width="10.5703125" style="20" customWidth="1"/>
    <col min="14349" max="14349" width="2.5703125" style="20" customWidth="1"/>
    <col min="14350" max="14351" width="10.5703125" style="20" customWidth="1"/>
    <col min="14352" max="14352" width="2.5703125" style="20" customWidth="1"/>
    <col min="14353" max="14353" width="12.140625" style="20" bestFit="1" customWidth="1"/>
    <col min="14354" max="14354" width="10.5703125" style="20" customWidth="1"/>
    <col min="14355" max="14355" width="2.5703125" style="20" customWidth="1"/>
    <col min="14356" max="14357" width="10.5703125" style="20" customWidth="1"/>
    <col min="14358" max="14358" width="2.7109375" style="20" customWidth="1"/>
    <col min="14359" max="14360" width="9.28515625" style="20" bestFit="1" customWidth="1"/>
    <col min="14361" max="14361" width="2.7109375" style="20" customWidth="1"/>
    <col min="14362" max="14363" width="10.42578125" style="20" bestFit="1" customWidth="1"/>
    <col min="14364" max="14364" width="2.5703125" style="20" customWidth="1"/>
    <col min="14365" max="14366" width="10.42578125" style="20" customWidth="1"/>
    <col min="14367" max="14367" width="2.5703125" style="20" customWidth="1"/>
    <col min="14368" max="14369" width="10.42578125" style="20" customWidth="1"/>
    <col min="14370" max="14370" width="2.7109375" style="20" customWidth="1"/>
    <col min="14371" max="14371" width="11.5703125" style="20" bestFit="1" customWidth="1"/>
    <col min="14372" max="14372" width="10.42578125" style="20" bestFit="1" customWidth="1"/>
    <col min="14373" max="14373" width="6.42578125" style="20" bestFit="1" customWidth="1"/>
    <col min="14374" max="14374" width="5.85546875" style="20" bestFit="1" customWidth="1"/>
    <col min="14375" max="14375" width="10.42578125" style="20" bestFit="1" customWidth="1"/>
    <col min="14376" max="14376" width="8.7109375" style="20" bestFit="1" customWidth="1"/>
    <col min="14377" max="14377" width="2.7109375" style="20" customWidth="1"/>
    <col min="14378" max="14378" width="5.85546875" style="20" bestFit="1" customWidth="1"/>
    <col min="14379" max="14379" width="12.7109375" style="20" bestFit="1" customWidth="1"/>
    <col min="14380" max="14380" width="11.5703125" style="20" bestFit="1" customWidth="1"/>
    <col min="14381" max="14381" width="2.7109375" style="20" customWidth="1"/>
    <col min="14382" max="14382" width="12.7109375" style="20" bestFit="1" customWidth="1"/>
    <col min="14383" max="14383" width="9.140625" style="20"/>
    <col min="14384" max="14384" width="21.7109375" style="20" bestFit="1" customWidth="1"/>
    <col min="14385" max="14385" width="9.140625" style="20"/>
    <col min="14386" max="14386" width="10.7109375" style="20" customWidth="1"/>
    <col min="14387" max="14387" width="10" style="20" bestFit="1" customWidth="1"/>
    <col min="14388" max="14596" width="9.140625" style="20"/>
    <col min="14597" max="14597" width="6.42578125" style="20" bestFit="1" customWidth="1"/>
    <col min="14598" max="14598" width="6" style="20" bestFit="1" customWidth="1"/>
    <col min="14599" max="14599" width="2.7109375" style="20" customWidth="1"/>
    <col min="14600" max="14601" width="10.42578125" style="20" customWidth="1"/>
    <col min="14602" max="14602" width="2.5703125" style="20" customWidth="1"/>
    <col min="14603" max="14604" width="10.5703125" style="20" customWidth="1"/>
    <col min="14605" max="14605" width="2.5703125" style="20" customWidth="1"/>
    <col min="14606" max="14607" width="10.5703125" style="20" customWidth="1"/>
    <col min="14608" max="14608" width="2.5703125" style="20" customWidth="1"/>
    <col min="14609" max="14609" width="12.140625" style="20" bestFit="1" customWidth="1"/>
    <col min="14610" max="14610" width="10.5703125" style="20" customWidth="1"/>
    <col min="14611" max="14611" width="2.5703125" style="20" customWidth="1"/>
    <col min="14612" max="14613" width="10.5703125" style="20" customWidth="1"/>
    <col min="14614" max="14614" width="2.7109375" style="20" customWidth="1"/>
    <col min="14615" max="14616" width="9.28515625" style="20" bestFit="1" customWidth="1"/>
    <col min="14617" max="14617" width="2.7109375" style="20" customWidth="1"/>
    <col min="14618" max="14619" width="10.42578125" style="20" bestFit="1" customWidth="1"/>
    <col min="14620" max="14620" width="2.5703125" style="20" customWidth="1"/>
    <col min="14621" max="14622" width="10.42578125" style="20" customWidth="1"/>
    <col min="14623" max="14623" width="2.5703125" style="20" customWidth="1"/>
    <col min="14624" max="14625" width="10.42578125" style="20" customWidth="1"/>
    <col min="14626" max="14626" width="2.7109375" style="20" customWidth="1"/>
    <col min="14627" max="14627" width="11.5703125" style="20" bestFit="1" customWidth="1"/>
    <col min="14628" max="14628" width="10.42578125" style="20" bestFit="1" customWidth="1"/>
    <col min="14629" max="14629" width="6.42578125" style="20" bestFit="1" customWidth="1"/>
    <col min="14630" max="14630" width="5.85546875" style="20" bestFit="1" customWidth="1"/>
    <col min="14631" max="14631" width="10.42578125" style="20" bestFit="1" customWidth="1"/>
    <col min="14632" max="14632" width="8.7109375" style="20" bestFit="1" customWidth="1"/>
    <col min="14633" max="14633" width="2.7109375" style="20" customWidth="1"/>
    <col min="14634" max="14634" width="5.85546875" style="20" bestFit="1" customWidth="1"/>
    <col min="14635" max="14635" width="12.7109375" style="20" bestFit="1" customWidth="1"/>
    <col min="14636" max="14636" width="11.5703125" style="20" bestFit="1" customWidth="1"/>
    <col min="14637" max="14637" width="2.7109375" style="20" customWidth="1"/>
    <col min="14638" max="14638" width="12.7109375" style="20" bestFit="1" customWidth="1"/>
    <col min="14639" max="14639" width="9.140625" style="20"/>
    <col min="14640" max="14640" width="21.7109375" style="20" bestFit="1" customWidth="1"/>
    <col min="14641" max="14641" width="9.140625" style="20"/>
    <col min="14642" max="14642" width="10.7109375" style="20" customWidth="1"/>
    <col min="14643" max="14643" width="10" style="20" bestFit="1" customWidth="1"/>
    <col min="14644" max="14852" width="9.140625" style="20"/>
    <col min="14853" max="14853" width="6.42578125" style="20" bestFit="1" customWidth="1"/>
    <col min="14854" max="14854" width="6" style="20" bestFit="1" customWidth="1"/>
    <col min="14855" max="14855" width="2.7109375" style="20" customWidth="1"/>
    <col min="14856" max="14857" width="10.42578125" style="20" customWidth="1"/>
    <col min="14858" max="14858" width="2.5703125" style="20" customWidth="1"/>
    <col min="14859" max="14860" width="10.5703125" style="20" customWidth="1"/>
    <col min="14861" max="14861" width="2.5703125" style="20" customWidth="1"/>
    <col min="14862" max="14863" width="10.5703125" style="20" customWidth="1"/>
    <col min="14864" max="14864" width="2.5703125" style="20" customWidth="1"/>
    <col min="14865" max="14865" width="12.140625" style="20" bestFit="1" customWidth="1"/>
    <col min="14866" max="14866" width="10.5703125" style="20" customWidth="1"/>
    <col min="14867" max="14867" width="2.5703125" style="20" customWidth="1"/>
    <col min="14868" max="14869" width="10.5703125" style="20" customWidth="1"/>
    <col min="14870" max="14870" width="2.7109375" style="20" customWidth="1"/>
    <col min="14871" max="14872" width="9.28515625" style="20" bestFit="1" customWidth="1"/>
    <col min="14873" max="14873" width="2.7109375" style="20" customWidth="1"/>
    <col min="14874" max="14875" width="10.42578125" style="20" bestFit="1" customWidth="1"/>
    <col min="14876" max="14876" width="2.5703125" style="20" customWidth="1"/>
    <col min="14877" max="14878" width="10.42578125" style="20" customWidth="1"/>
    <col min="14879" max="14879" width="2.5703125" style="20" customWidth="1"/>
    <col min="14880" max="14881" width="10.42578125" style="20" customWidth="1"/>
    <col min="14882" max="14882" width="2.7109375" style="20" customWidth="1"/>
    <col min="14883" max="14883" width="11.5703125" style="20" bestFit="1" customWidth="1"/>
    <col min="14884" max="14884" width="10.42578125" style="20" bestFit="1" customWidth="1"/>
    <col min="14885" max="14885" width="6.42578125" style="20" bestFit="1" customWidth="1"/>
    <col min="14886" max="14886" width="5.85546875" style="20" bestFit="1" customWidth="1"/>
    <col min="14887" max="14887" width="10.42578125" style="20" bestFit="1" customWidth="1"/>
    <col min="14888" max="14888" width="8.7109375" style="20" bestFit="1" customWidth="1"/>
    <col min="14889" max="14889" width="2.7109375" style="20" customWidth="1"/>
    <col min="14890" max="14890" width="5.85546875" style="20" bestFit="1" customWidth="1"/>
    <col min="14891" max="14891" width="12.7109375" style="20" bestFit="1" customWidth="1"/>
    <col min="14892" max="14892" width="11.5703125" style="20" bestFit="1" customWidth="1"/>
    <col min="14893" max="14893" width="2.7109375" style="20" customWidth="1"/>
    <col min="14894" max="14894" width="12.7109375" style="20" bestFit="1" customWidth="1"/>
    <col min="14895" max="14895" width="9.140625" style="20"/>
    <col min="14896" max="14896" width="21.7109375" style="20" bestFit="1" customWidth="1"/>
    <col min="14897" max="14897" width="9.140625" style="20"/>
    <col min="14898" max="14898" width="10.7109375" style="20" customWidth="1"/>
    <col min="14899" max="14899" width="10" style="20" bestFit="1" customWidth="1"/>
    <col min="14900" max="15108" width="9.140625" style="20"/>
    <col min="15109" max="15109" width="6.42578125" style="20" bestFit="1" customWidth="1"/>
    <col min="15110" max="15110" width="6" style="20" bestFit="1" customWidth="1"/>
    <col min="15111" max="15111" width="2.7109375" style="20" customWidth="1"/>
    <col min="15112" max="15113" width="10.42578125" style="20" customWidth="1"/>
    <col min="15114" max="15114" width="2.5703125" style="20" customWidth="1"/>
    <col min="15115" max="15116" width="10.5703125" style="20" customWidth="1"/>
    <col min="15117" max="15117" width="2.5703125" style="20" customWidth="1"/>
    <col min="15118" max="15119" width="10.5703125" style="20" customWidth="1"/>
    <col min="15120" max="15120" width="2.5703125" style="20" customWidth="1"/>
    <col min="15121" max="15121" width="12.140625" style="20" bestFit="1" customWidth="1"/>
    <col min="15122" max="15122" width="10.5703125" style="20" customWidth="1"/>
    <col min="15123" max="15123" width="2.5703125" style="20" customWidth="1"/>
    <col min="15124" max="15125" width="10.5703125" style="20" customWidth="1"/>
    <col min="15126" max="15126" width="2.7109375" style="20" customWidth="1"/>
    <col min="15127" max="15128" width="9.28515625" style="20" bestFit="1" customWidth="1"/>
    <col min="15129" max="15129" width="2.7109375" style="20" customWidth="1"/>
    <col min="15130" max="15131" width="10.42578125" style="20" bestFit="1" customWidth="1"/>
    <col min="15132" max="15132" width="2.5703125" style="20" customWidth="1"/>
    <col min="15133" max="15134" width="10.42578125" style="20" customWidth="1"/>
    <col min="15135" max="15135" width="2.5703125" style="20" customWidth="1"/>
    <col min="15136" max="15137" width="10.42578125" style="20" customWidth="1"/>
    <col min="15138" max="15138" width="2.7109375" style="20" customWidth="1"/>
    <col min="15139" max="15139" width="11.5703125" style="20" bestFit="1" customWidth="1"/>
    <col min="15140" max="15140" width="10.42578125" style="20" bestFit="1" customWidth="1"/>
    <col min="15141" max="15141" width="6.42578125" style="20" bestFit="1" customWidth="1"/>
    <col min="15142" max="15142" width="5.85546875" style="20" bestFit="1" customWidth="1"/>
    <col min="15143" max="15143" width="10.42578125" style="20" bestFit="1" customWidth="1"/>
    <col min="15144" max="15144" width="8.7109375" style="20" bestFit="1" customWidth="1"/>
    <col min="15145" max="15145" width="2.7109375" style="20" customWidth="1"/>
    <col min="15146" max="15146" width="5.85546875" style="20" bestFit="1" customWidth="1"/>
    <col min="15147" max="15147" width="12.7109375" style="20" bestFit="1" customWidth="1"/>
    <col min="15148" max="15148" width="11.5703125" style="20" bestFit="1" customWidth="1"/>
    <col min="15149" max="15149" width="2.7109375" style="20" customWidth="1"/>
    <col min="15150" max="15150" width="12.7109375" style="20" bestFit="1" customWidth="1"/>
    <col min="15151" max="15151" width="9.140625" style="20"/>
    <col min="15152" max="15152" width="21.7109375" style="20" bestFit="1" customWidth="1"/>
    <col min="15153" max="15153" width="9.140625" style="20"/>
    <col min="15154" max="15154" width="10.7109375" style="20" customWidth="1"/>
    <col min="15155" max="15155" width="10" style="20" bestFit="1" customWidth="1"/>
    <col min="15156" max="15364" width="9.140625" style="20"/>
    <col min="15365" max="15365" width="6.42578125" style="20" bestFit="1" customWidth="1"/>
    <col min="15366" max="15366" width="6" style="20" bestFit="1" customWidth="1"/>
    <col min="15367" max="15367" width="2.7109375" style="20" customWidth="1"/>
    <col min="15368" max="15369" width="10.42578125" style="20" customWidth="1"/>
    <col min="15370" max="15370" width="2.5703125" style="20" customWidth="1"/>
    <col min="15371" max="15372" width="10.5703125" style="20" customWidth="1"/>
    <col min="15373" max="15373" width="2.5703125" style="20" customWidth="1"/>
    <col min="15374" max="15375" width="10.5703125" style="20" customWidth="1"/>
    <col min="15376" max="15376" width="2.5703125" style="20" customWidth="1"/>
    <col min="15377" max="15377" width="12.140625" style="20" bestFit="1" customWidth="1"/>
    <col min="15378" max="15378" width="10.5703125" style="20" customWidth="1"/>
    <col min="15379" max="15379" width="2.5703125" style="20" customWidth="1"/>
    <col min="15380" max="15381" width="10.5703125" style="20" customWidth="1"/>
    <col min="15382" max="15382" width="2.7109375" style="20" customWidth="1"/>
    <col min="15383" max="15384" width="9.28515625" style="20" bestFit="1" customWidth="1"/>
    <col min="15385" max="15385" width="2.7109375" style="20" customWidth="1"/>
    <col min="15386" max="15387" width="10.42578125" style="20" bestFit="1" customWidth="1"/>
    <col min="15388" max="15388" width="2.5703125" style="20" customWidth="1"/>
    <col min="15389" max="15390" width="10.42578125" style="20" customWidth="1"/>
    <col min="15391" max="15391" width="2.5703125" style="20" customWidth="1"/>
    <col min="15392" max="15393" width="10.42578125" style="20" customWidth="1"/>
    <col min="15394" max="15394" width="2.7109375" style="20" customWidth="1"/>
    <col min="15395" max="15395" width="11.5703125" style="20" bestFit="1" customWidth="1"/>
    <col min="15396" max="15396" width="10.42578125" style="20" bestFit="1" customWidth="1"/>
    <col min="15397" max="15397" width="6.42578125" style="20" bestFit="1" customWidth="1"/>
    <col min="15398" max="15398" width="5.85546875" style="20" bestFit="1" customWidth="1"/>
    <col min="15399" max="15399" width="10.42578125" style="20" bestFit="1" customWidth="1"/>
    <col min="15400" max="15400" width="8.7109375" style="20" bestFit="1" customWidth="1"/>
    <col min="15401" max="15401" width="2.7109375" style="20" customWidth="1"/>
    <col min="15402" max="15402" width="5.85546875" style="20" bestFit="1" customWidth="1"/>
    <col min="15403" max="15403" width="12.7109375" style="20" bestFit="1" customWidth="1"/>
    <col min="15404" max="15404" width="11.5703125" style="20" bestFit="1" customWidth="1"/>
    <col min="15405" max="15405" width="2.7109375" style="20" customWidth="1"/>
    <col min="15406" max="15406" width="12.7109375" style="20" bestFit="1" customWidth="1"/>
    <col min="15407" max="15407" width="9.140625" style="20"/>
    <col min="15408" max="15408" width="21.7109375" style="20" bestFit="1" customWidth="1"/>
    <col min="15409" max="15409" width="9.140625" style="20"/>
    <col min="15410" max="15410" width="10.7109375" style="20" customWidth="1"/>
    <col min="15411" max="15411" width="10" style="20" bestFit="1" customWidth="1"/>
    <col min="15412" max="15620" width="9.140625" style="20"/>
    <col min="15621" max="15621" width="6.42578125" style="20" bestFit="1" customWidth="1"/>
    <col min="15622" max="15622" width="6" style="20" bestFit="1" customWidth="1"/>
    <col min="15623" max="15623" width="2.7109375" style="20" customWidth="1"/>
    <col min="15624" max="15625" width="10.42578125" style="20" customWidth="1"/>
    <col min="15626" max="15626" width="2.5703125" style="20" customWidth="1"/>
    <col min="15627" max="15628" width="10.5703125" style="20" customWidth="1"/>
    <col min="15629" max="15629" width="2.5703125" style="20" customWidth="1"/>
    <col min="15630" max="15631" width="10.5703125" style="20" customWidth="1"/>
    <col min="15632" max="15632" width="2.5703125" style="20" customWidth="1"/>
    <col min="15633" max="15633" width="12.140625" style="20" bestFit="1" customWidth="1"/>
    <col min="15634" max="15634" width="10.5703125" style="20" customWidth="1"/>
    <col min="15635" max="15635" width="2.5703125" style="20" customWidth="1"/>
    <col min="15636" max="15637" width="10.5703125" style="20" customWidth="1"/>
    <col min="15638" max="15638" width="2.7109375" style="20" customWidth="1"/>
    <col min="15639" max="15640" width="9.28515625" style="20" bestFit="1" customWidth="1"/>
    <col min="15641" max="15641" width="2.7109375" style="20" customWidth="1"/>
    <col min="15642" max="15643" width="10.42578125" style="20" bestFit="1" customWidth="1"/>
    <col min="15644" max="15644" width="2.5703125" style="20" customWidth="1"/>
    <col min="15645" max="15646" width="10.42578125" style="20" customWidth="1"/>
    <col min="15647" max="15647" width="2.5703125" style="20" customWidth="1"/>
    <col min="15648" max="15649" width="10.42578125" style="20" customWidth="1"/>
    <col min="15650" max="15650" width="2.7109375" style="20" customWidth="1"/>
    <col min="15651" max="15651" width="11.5703125" style="20" bestFit="1" customWidth="1"/>
    <col min="15652" max="15652" width="10.42578125" style="20" bestFit="1" customWidth="1"/>
    <col min="15653" max="15653" width="6.42578125" style="20" bestFit="1" customWidth="1"/>
    <col min="15654" max="15654" width="5.85546875" style="20" bestFit="1" customWidth="1"/>
    <col min="15655" max="15655" width="10.42578125" style="20" bestFit="1" customWidth="1"/>
    <col min="15656" max="15656" width="8.7109375" style="20" bestFit="1" customWidth="1"/>
    <col min="15657" max="15657" width="2.7109375" style="20" customWidth="1"/>
    <col min="15658" max="15658" width="5.85546875" style="20" bestFit="1" customWidth="1"/>
    <col min="15659" max="15659" width="12.7109375" style="20" bestFit="1" customWidth="1"/>
    <col min="15660" max="15660" width="11.5703125" style="20" bestFit="1" customWidth="1"/>
    <col min="15661" max="15661" width="2.7109375" style="20" customWidth="1"/>
    <col min="15662" max="15662" width="12.7109375" style="20" bestFit="1" customWidth="1"/>
    <col min="15663" max="15663" width="9.140625" style="20"/>
    <col min="15664" max="15664" width="21.7109375" style="20" bestFit="1" customWidth="1"/>
    <col min="15665" max="15665" width="9.140625" style="20"/>
    <col min="15666" max="15666" width="10.7109375" style="20" customWidth="1"/>
    <col min="15667" max="15667" width="10" style="20" bestFit="1" customWidth="1"/>
    <col min="15668" max="15876" width="9.140625" style="20"/>
    <col min="15877" max="15877" width="6.42578125" style="20" bestFit="1" customWidth="1"/>
    <col min="15878" max="15878" width="6" style="20" bestFit="1" customWidth="1"/>
    <col min="15879" max="15879" width="2.7109375" style="20" customWidth="1"/>
    <col min="15880" max="15881" width="10.42578125" style="20" customWidth="1"/>
    <col min="15882" max="15882" width="2.5703125" style="20" customWidth="1"/>
    <col min="15883" max="15884" width="10.5703125" style="20" customWidth="1"/>
    <col min="15885" max="15885" width="2.5703125" style="20" customWidth="1"/>
    <col min="15886" max="15887" width="10.5703125" style="20" customWidth="1"/>
    <col min="15888" max="15888" width="2.5703125" style="20" customWidth="1"/>
    <col min="15889" max="15889" width="12.140625" style="20" bestFit="1" customWidth="1"/>
    <col min="15890" max="15890" width="10.5703125" style="20" customWidth="1"/>
    <col min="15891" max="15891" width="2.5703125" style="20" customWidth="1"/>
    <col min="15892" max="15893" width="10.5703125" style="20" customWidth="1"/>
    <col min="15894" max="15894" width="2.7109375" style="20" customWidth="1"/>
    <col min="15895" max="15896" width="9.28515625" style="20" bestFit="1" customWidth="1"/>
    <col min="15897" max="15897" width="2.7109375" style="20" customWidth="1"/>
    <col min="15898" max="15899" width="10.42578125" style="20" bestFit="1" customWidth="1"/>
    <col min="15900" max="15900" width="2.5703125" style="20" customWidth="1"/>
    <col min="15901" max="15902" width="10.42578125" style="20" customWidth="1"/>
    <col min="15903" max="15903" width="2.5703125" style="20" customWidth="1"/>
    <col min="15904" max="15905" width="10.42578125" style="20" customWidth="1"/>
    <col min="15906" max="15906" width="2.7109375" style="20" customWidth="1"/>
    <col min="15907" max="15907" width="11.5703125" style="20" bestFit="1" customWidth="1"/>
    <col min="15908" max="15908" width="10.42578125" style="20" bestFit="1" customWidth="1"/>
    <col min="15909" max="15909" width="6.42578125" style="20" bestFit="1" customWidth="1"/>
    <col min="15910" max="15910" width="5.85546875" style="20" bestFit="1" customWidth="1"/>
    <col min="15911" max="15911" width="10.42578125" style="20" bestFit="1" customWidth="1"/>
    <col min="15912" max="15912" width="8.7109375" style="20" bestFit="1" customWidth="1"/>
    <col min="15913" max="15913" width="2.7109375" style="20" customWidth="1"/>
    <col min="15914" max="15914" width="5.85546875" style="20" bestFit="1" customWidth="1"/>
    <col min="15915" max="15915" width="12.7109375" style="20" bestFit="1" customWidth="1"/>
    <col min="15916" max="15916" width="11.5703125" style="20" bestFit="1" customWidth="1"/>
    <col min="15917" max="15917" width="2.7109375" style="20" customWidth="1"/>
    <col min="15918" max="15918" width="12.7109375" style="20" bestFit="1" customWidth="1"/>
    <col min="15919" max="15919" width="9.140625" style="20"/>
    <col min="15920" max="15920" width="21.7109375" style="20" bestFit="1" customWidth="1"/>
    <col min="15921" max="15921" width="9.140625" style="20"/>
    <col min="15922" max="15922" width="10.7109375" style="20" customWidth="1"/>
    <col min="15923" max="15923" width="10" style="20" bestFit="1" customWidth="1"/>
    <col min="15924" max="16132" width="9.140625" style="20"/>
    <col min="16133" max="16133" width="6.42578125" style="20" bestFit="1" customWidth="1"/>
    <col min="16134" max="16134" width="6" style="20" bestFit="1" customWidth="1"/>
    <col min="16135" max="16135" width="2.7109375" style="20" customWidth="1"/>
    <col min="16136" max="16137" width="10.42578125" style="20" customWidth="1"/>
    <col min="16138" max="16138" width="2.5703125" style="20" customWidth="1"/>
    <col min="16139" max="16140" width="10.5703125" style="20" customWidth="1"/>
    <col min="16141" max="16141" width="2.5703125" style="20" customWidth="1"/>
    <col min="16142" max="16143" width="10.5703125" style="20" customWidth="1"/>
    <col min="16144" max="16144" width="2.5703125" style="20" customWidth="1"/>
    <col min="16145" max="16145" width="12.140625" style="20" bestFit="1" customWidth="1"/>
    <col min="16146" max="16146" width="10.5703125" style="20" customWidth="1"/>
    <col min="16147" max="16147" width="2.5703125" style="20" customWidth="1"/>
    <col min="16148" max="16149" width="10.5703125" style="20" customWidth="1"/>
    <col min="16150" max="16150" width="2.7109375" style="20" customWidth="1"/>
    <col min="16151" max="16152" width="9.28515625" style="20" bestFit="1" customWidth="1"/>
    <col min="16153" max="16153" width="2.7109375" style="20" customWidth="1"/>
    <col min="16154" max="16155" width="10.42578125" style="20" bestFit="1" customWidth="1"/>
    <col min="16156" max="16156" width="2.5703125" style="20" customWidth="1"/>
    <col min="16157" max="16158" width="10.42578125" style="20" customWidth="1"/>
    <col min="16159" max="16159" width="2.5703125" style="20" customWidth="1"/>
    <col min="16160" max="16161" width="10.42578125" style="20" customWidth="1"/>
    <col min="16162" max="16162" width="2.7109375" style="20" customWidth="1"/>
    <col min="16163" max="16163" width="11.5703125" style="20" bestFit="1" customWidth="1"/>
    <col min="16164" max="16164" width="10.42578125" style="20" bestFit="1" customWidth="1"/>
    <col min="16165" max="16165" width="6.42578125" style="20" bestFit="1" customWidth="1"/>
    <col min="16166" max="16166" width="5.85546875" style="20" bestFit="1" customWidth="1"/>
    <col min="16167" max="16167" width="10.42578125" style="20" bestFit="1" customWidth="1"/>
    <col min="16168" max="16168" width="8.7109375" style="20" bestFit="1" customWidth="1"/>
    <col min="16169" max="16169" width="2.7109375" style="20" customWidth="1"/>
    <col min="16170" max="16170" width="5.85546875" style="20" bestFit="1" customWidth="1"/>
    <col min="16171" max="16171" width="12.7109375" style="20" bestFit="1" customWidth="1"/>
    <col min="16172" max="16172" width="11.5703125" style="20" bestFit="1" customWidth="1"/>
    <col min="16173" max="16173" width="2.7109375" style="20" customWidth="1"/>
    <col min="16174" max="16174" width="12.7109375" style="20" bestFit="1" customWidth="1"/>
    <col min="16175" max="16175" width="9.140625" style="20"/>
    <col min="16176" max="16176" width="21.7109375" style="20" bestFit="1" customWidth="1"/>
    <col min="16177" max="16177" width="9.140625" style="20"/>
    <col min="16178" max="16178" width="10.7109375" style="20" customWidth="1"/>
    <col min="16179" max="16179" width="10" style="20" bestFit="1" customWidth="1"/>
    <col min="16180" max="16384" width="9.140625" style="20"/>
  </cols>
  <sheetData>
    <row r="2" spans="1:51" ht="15.75" x14ac:dyDescent="0.25">
      <c r="D2" s="159"/>
      <c r="E2" s="164"/>
      <c r="F2" s="164"/>
      <c r="G2" s="164"/>
      <c r="H2" s="164"/>
      <c r="I2" s="164"/>
      <c r="J2" s="164"/>
      <c r="K2" s="160"/>
      <c r="L2" s="86"/>
      <c r="M2" s="86"/>
      <c r="N2" s="86"/>
      <c r="O2" s="21"/>
      <c r="P2" s="159" t="s">
        <v>37</v>
      </c>
      <c r="Q2" s="164"/>
      <c r="R2" s="164"/>
      <c r="S2" s="164"/>
      <c r="T2" s="164"/>
      <c r="U2" s="164"/>
      <c r="V2" s="164"/>
      <c r="W2" s="164"/>
      <c r="X2" s="164"/>
      <c r="Y2" s="164"/>
      <c r="Z2" s="164"/>
      <c r="AA2" s="164"/>
      <c r="AB2" s="164"/>
      <c r="AC2" s="164"/>
      <c r="AD2" s="164"/>
      <c r="AE2" s="164"/>
      <c r="AF2" s="164"/>
      <c r="AG2" s="164"/>
      <c r="AH2" s="164"/>
      <c r="AI2" s="160"/>
      <c r="AJ2" s="21"/>
      <c r="AM2" s="159" t="s">
        <v>38</v>
      </c>
      <c r="AN2" s="160"/>
      <c r="AQ2" s="159" t="s">
        <v>39</v>
      </c>
      <c r="AR2" s="160"/>
      <c r="AT2" s="22" t="s">
        <v>39</v>
      </c>
      <c r="AX2" s="142" t="s">
        <v>472</v>
      </c>
    </row>
    <row r="3" spans="1:51" ht="15.75" x14ac:dyDescent="0.25">
      <c r="D3" s="161" t="s">
        <v>40</v>
      </c>
      <c r="E3" s="162"/>
      <c r="F3" s="85"/>
      <c r="G3" s="162" t="s">
        <v>225</v>
      </c>
      <c r="H3" s="162"/>
      <c r="I3" s="85"/>
      <c r="J3" s="162" t="s">
        <v>226</v>
      </c>
      <c r="K3" s="163"/>
      <c r="L3" s="86"/>
      <c r="M3" s="86"/>
      <c r="N3" s="86"/>
      <c r="O3" s="21"/>
      <c r="P3" s="161" t="s">
        <v>227</v>
      </c>
      <c r="Q3" s="162"/>
      <c r="R3" s="85"/>
      <c r="S3" s="162" t="s">
        <v>228</v>
      </c>
      <c r="T3" s="162"/>
      <c r="U3" s="85"/>
      <c r="V3" s="162" t="s">
        <v>229</v>
      </c>
      <c r="W3" s="162"/>
      <c r="X3" s="85"/>
      <c r="Y3" s="162" t="s">
        <v>230</v>
      </c>
      <c r="Z3" s="162"/>
      <c r="AA3" s="85"/>
      <c r="AB3" s="162" t="s">
        <v>233</v>
      </c>
      <c r="AC3" s="162"/>
      <c r="AD3" s="85"/>
      <c r="AE3" s="162" t="s">
        <v>231</v>
      </c>
      <c r="AF3" s="162"/>
      <c r="AG3" s="85"/>
      <c r="AH3" s="162" t="s">
        <v>234</v>
      </c>
      <c r="AI3" s="163"/>
      <c r="AJ3" s="21"/>
      <c r="AM3" s="161" t="s">
        <v>232</v>
      </c>
      <c r="AN3" s="163"/>
      <c r="AQ3" s="161"/>
      <c r="AR3" s="163"/>
      <c r="AT3" s="23" t="s">
        <v>41</v>
      </c>
      <c r="AV3" s="84"/>
      <c r="AX3" s="26" t="s">
        <v>232</v>
      </c>
      <c r="AY3" s="84"/>
    </row>
    <row r="4" spans="1:51" ht="15.75" x14ac:dyDescent="0.25">
      <c r="D4" s="24" t="s">
        <v>42</v>
      </c>
      <c r="E4" s="24" t="s">
        <v>43</v>
      </c>
      <c r="F4" s="24"/>
      <c r="G4" s="24" t="s">
        <v>42</v>
      </c>
      <c r="H4" s="24" t="s">
        <v>43</v>
      </c>
      <c r="I4" s="24"/>
      <c r="J4" s="24" t="s">
        <v>42</v>
      </c>
      <c r="K4" s="24" t="s">
        <v>43</v>
      </c>
      <c r="L4" s="87"/>
      <c r="M4" s="86"/>
      <c r="N4" s="86"/>
      <c r="O4" s="25"/>
      <c r="P4" s="26" t="s">
        <v>42</v>
      </c>
      <c r="Q4" s="24" t="s">
        <v>43</v>
      </c>
      <c r="R4" s="24"/>
      <c r="S4" s="24" t="s">
        <v>42</v>
      </c>
      <c r="T4" s="24" t="s">
        <v>43</v>
      </c>
      <c r="U4" s="24"/>
      <c r="V4" s="27" t="s">
        <v>42</v>
      </c>
      <c r="W4" s="27" t="s">
        <v>43</v>
      </c>
      <c r="X4" s="27"/>
      <c r="Y4" s="24" t="s">
        <v>42</v>
      </c>
      <c r="Z4" s="24" t="s">
        <v>43</v>
      </c>
      <c r="AA4" s="24"/>
      <c r="AB4" s="24" t="s">
        <v>42</v>
      </c>
      <c r="AC4" s="24" t="s">
        <v>43</v>
      </c>
      <c r="AD4" s="24"/>
      <c r="AE4" s="24" t="s">
        <v>42</v>
      </c>
      <c r="AF4" s="24" t="s">
        <v>43</v>
      </c>
      <c r="AG4" s="24"/>
      <c r="AH4" s="24" t="s">
        <v>42</v>
      </c>
      <c r="AI4" s="24" t="s">
        <v>43</v>
      </c>
      <c r="AJ4" s="25"/>
      <c r="AM4" s="24" t="s">
        <v>42</v>
      </c>
      <c r="AN4" s="24" t="s">
        <v>43</v>
      </c>
      <c r="AQ4" s="24" t="s">
        <v>42</v>
      </c>
      <c r="AR4" s="24" t="s">
        <v>43</v>
      </c>
      <c r="AT4" s="26" t="s">
        <v>44</v>
      </c>
      <c r="AX4" s="142"/>
    </row>
    <row r="5" spans="1:51" x14ac:dyDescent="0.25">
      <c r="A5" s="28">
        <v>44652</v>
      </c>
      <c r="B5" s="20">
        <v>2022</v>
      </c>
      <c r="D5" s="29">
        <v>20500</v>
      </c>
      <c r="E5" s="29">
        <v>8965</v>
      </c>
      <c r="F5" s="29"/>
      <c r="G5" s="29">
        <f>D5*0.83</f>
        <v>17015</v>
      </c>
      <c r="H5" s="29">
        <f>E5*0.83</f>
        <v>7440.95</v>
      </c>
      <c r="I5" s="29"/>
      <c r="J5" s="29">
        <f>D5*0.17</f>
        <v>3485.0000000000005</v>
      </c>
      <c r="K5" s="29">
        <f>+E5*0.17</f>
        <v>1524.0500000000002</v>
      </c>
      <c r="L5" s="32"/>
      <c r="M5" s="28">
        <v>44593</v>
      </c>
      <c r="N5" s="20">
        <v>2022</v>
      </c>
      <c r="P5" s="31">
        <v>160000</v>
      </c>
      <c r="Q5" s="29">
        <v>68896.25</v>
      </c>
      <c r="R5" s="29"/>
      <c r="S5" s="29">
        <f>P5*0.67</f>
        <v>107200</v>
      </c>
      <c r="T5" s="29">
        <f>Q5*0.67</f>
        <v>46160.487500000003</v>
      </c>
      <c r="U5" s="29"/>
      <c r="V5" s="29">
        <f>P5*0.33</f>
        <v>52800</v>
      </c>
      <c r="W5" s="29">
        <f>Q5*0.33</f>
        <v>22735.762500000001</v>
      </c>
      <c r="X5" s="29"/>
      <c r="Y5" s="29">
        <v>10000</v>
      </c>
      <c r="Z5" s="29">
        <v>7406.25</v>
      </c>
      <c r="AA5" s="29"/>
      <c r="AB5" s="29">
        <f>Y5*0.1555</f>
        <v>1555</v>
      </c>
      <c r="AC5" s="29">
        <f>Z5*0.1545</f>
        <v>1144.265625</v>
      </c>
      <c r="AD5" s="29"/>
      <c r="AE5" s="29">
        <v>35000</v>
      </c>
      <c r="AF5" s="29">
        <v>18596.88</v>
      </c>
      <c r="AG5" s="29"/>
      <c r="AH5" s="29">
        <f>AE5*0.182</f>
        <v>6370</v>
      </c>
      <c r="AI5" s="29">
        <f>AF5*0.182</f>
        <v>3384.6321600000001</v>
      </c>
      <c r="AK5" s="28">
        <v>44713</v>
      </c>
      <c r="AL5" s="20">
        <v>2022</v>
      </c>
      <c r="AM5" s="29"/>
      <c r="AN5" s="29"/>
      <c r="AQ5" s="33"/>
      <c r="AR5" s="33"/>
      <c r="AT5" s="33"/>
      <c r="AX5" s="33"/>
    </row>
    <row r="6" spans="1:51" x14ac:dyDescent="0.25">
      <c r="A6" s="28">
        <v>44835</v>
      </c>
      <c r="D6" s="29"/>
      <c r="E6" s="29">
        <v>8824.06</v>
      </c>
      <c r="F6" s="29"/>
      <c r="G6" s="29"/>
      <c r="H6" s="29">
        <f t="shared" ref="H6:H14" si="0">E6*0.83</f>
        <v>7323.9697999999989</v>
      </c>
      <c r="I6" s="29"/>
      <c r="J6" s="29"/>
      <c r="K6" s="29">
        <f t="shared" ref="K6:K14" si="1">+E6*0.17</f>
        <v>1500.0902000000001</v>
      </c>
      <c r="L6" s="32"/>
      <c r="M6" s="28">
        <v>44774</v>
      </c>
      <c r="P6" s="31"/>
      <c r="Q6" s="29">
        <v>66336.25</v>
      </c>
      <c r="R6" s="29"/>
      <c r="S6" s="29"/>
      <c r="T6" s="29">
        <f t="shared" ref="T6:T14" si="2">Q6*0.67</f>
        <v>44445.287500000006</v>
      </c>
      <c r="U6" s="29"/>
      <c r="V6" s="29">
        <f t="shared" ref="V6:W14" si="3">P6*0.33</f>
        <v>0</v>
      </c>
      <c r="W6" s="29">
        <f t="shared" si="3"/>
        <v>21890.962500000001</v>
      </c>
      <c r="X6" s="29"/>
      <c r="Y6" s="29"/>
      <c r="Z6" s="29">
        <v>7193.75</v>
      </c>
      <c r="AA6" s="29"/>
      <c r="AB6" s="29"/>
      <c r="AC6" s="29">
        <f t="shared" ref="AC6:AC14" si="4">Z6*0.1545</f>
        <v>1111.434375</v>
      </c>
      <c r="AD6" s="29"/>
      <c r="AE6" s="29"/>
      <c r="AF6" s="29">
        <v>17853.13</v>
      </c>
      <c r="AG6" s="29"/>
      <c r="AH6" s="29"/>
      <c r="AI6" s="29">
        <f t="shared" ref="AI6:AI14" si="5">AF6*0.182</f>
        <v>3249.2696599999999</v>
      </c>
      <c r="AK6" s="28">
        <v>44896</v>
      </c>
      <c r="AM6" s="90">
        <v>43227.26</v>
      </c>
      <c r="AN6" s="90">
        <v>6986.25</v>
      </c>
      <c r="AP6" s="20">
        <v>2022</v>
      </c>
      <c r="AQ6" s="29">
        <f>J5+V5+AB5+AH5+AM5+AM6</f>
        <v>107437.26000000001</v>
      </c>
      <c r="AR6" s="29">
        <f>K5+K6+W5+W6+AC5+AC6+AI5+AI6+AN5+AN6</f>
        <v>63526.717019999996</v>
      </c>
      <c r="AT6" s="29">
        <f>SUM(AQ6:AR6)</f>
        <v>170963.97701999999</v>
      </c>
      <c r="AX6" s="143">
        <f>AT6-(AM5+AN5+AM6+AN6)</f>
        <v>120750.46701999998</v>
      </c>
    </row>
    <row r="7" spans="1:51" x14ac:dyDescent="0.25">
      <c r="A7" s="28">
        <v>45017</v>
      </c>
      <c r="B7" s="20">
        <v>2023</v>
      </c>
      <c r="D7" s="29">
        <v>21000</v>
      </c>
      <c r="E7" s="29">
        <v>8824.06</v>
      </c>
      <c r="F7" s="29"/>
      <c r="G7" s="29">
        <f t="shared" ref="G7:G13" si="6">D7*0.83</f>
        <v>17430</v>
      </c>
      <c r="H7" s="29">
        <f t="shared" si="0"/>
        <v>7323.9697999999989</v>
      </c>
      <c r="I7" s="29"/>
      <c r="J7" s="29">
        <f t="shared" ref="J7:J13" si="7">D7*0.17</f>
        <v>3570.0000000000005</v>
      </c>
      <c r="K7" s="29">
        <f t="shared" si="1"/>
        <v>1500.0902000000001</v>
      </c>
      <c r="L7" s="32"/>
      <c r="M7" s="28">
        <v>44958</v>
      </c>
      <c r="N7" s="20">
        <v>2023</v>
      </c>
      <c r="P7" s="31">
        <v>165000</v>
      </c>
      <c r="Q7" s="29">
        <v>66336.25</v>
      </c>
      <c r="R7" s="29"/>
      <c r="S7" s="29">
        <f t="shared" ref="S7:S13" si="8">P7*0.67</f>
        <v>110550</v>
      </c>
      <c r="T7" s="29">
        <f t="shared" si="2"/>
        <v>44445.287500000006</v>
      </c>
      <c r="U7" s="29"/>
      <c r="V7" s="29">
        <f t="shared" si="3"/>
        <v>54450</v>
      </c>
      <c r="W7" s="29">
        <f t="shared" si="3"/>
        <v>21890.962500000001</v>
      </c>
      <c r="X7" s="29"/>
      <c r="Y7" s="29">
        <v>10000</v>
      </c>
      <c r="Z7" s="29">
        <v>7193.75</v>
      </c>
      <c r="AA7" s="29"/>
      <c r="AB7" s="29">
        <f t="shared" ref="AB7:AB13" si="9">Y7*0.1555</f>
        <v>1555</v>
      </c>
      <c r="AC7" s="29">
        <f t="shared" si="4"/>
        <v>1111.434375</v>
      </c>
      <c r="AD7" s="29"/>
      <c r="AE7" s="29">
        <v>35000</v>
      </c>
      <c r="AF7" s="29">
        <v>17853.13</v>
      </c>
      <c r="AG7" s="29"/>
      <c r="AH7" s="29">
        <f t="shared" ref="AH7:AH13" si="10">AE7*0.182</f>
        <v>6370</v>
      </c>
      <c r="AI7" s="29">
        <f t="shared" si="5"/>
        <v>3249.2696599999999</v>
      </c>
      <c r="AK7" s="28">
        <v>45078</v>
      </c>
      <c r="AL7" s="20">
        <v>2023</v>
      </c>
      <c r="AM7" s="90">
        <v>43443.67</v>
      </c>
      <c r="AN7" s="90">
        <v>6878.18</v>
      </c>
      <c r="AQ7" s="29"/>
      <c r="AR7" s="29"/>
      <c r="AT7" s="33"/>
      <c r="AX7" s="143"/>
    </row>
    <row r="8" spans="1:51" x14ac:dyDescent="0.25">
      <c r="A8" s="28">
        <v>45200</v>
      </c>
      <c r="D8" s="29"/>
      <c r="E8" s="29">
        <v>8679.69</v>
      </c>
      <c r="F8" s="29"/>
      <c r="G8" s="29"/>
      <c r="H8" s="29">
        <f t="shared" si="0"/>
        <v>7204.1427000000003</v>
      </c>
      <c r="I8" s="29"/>
      <c r="J8" s="29"/>
      <c r="K8" s="29">
        <f t="shared" si="1"/>
        <v>1475.5473000000002</v>
      </c>
      <c r="L8" s="32"/>
      <c r="M8" s="28">
        <v>45139</v>
      </c>
      <c r="P8" s="31"/>
      <c r="Q8" s="29">
        <v>63613.75</v>
      </c>
      <c r="R8" s="29"/>
      <c r="S8" s="29"/>
      <c r="T8" s="29">
        <f t="shared" si="2"/>
        <v>42621.212500000001</v>
      </c>
      <c r="U8" s="29"/>
      <c r="V8" s="29">
        <f t="shared" si="3"/>
        <v>0</v>
      </c>
      <c r="W8" s="29">
        <f t="shared" si="3"/>
        <v>20992.537500000002</v>
      </c>
      <c r="X8" s="29"/>
      <c r="Y8" s="29"/>
      <c r="Z8" s="29">
        <v>6981.25</v>
      </c>
      <c r="AA8" s="29"/>
      <c r="AB8" s="29"/>
      <c r="AC8" s="29">
        <f t="shared" si="4"/>
        <v>1078.6031250000001</v>
      </c>
      <c r="AD8" s="29"/>
      <c r="AE8" s="29"/>
      <c r="AF8" s="29">
        <v>17109.38</v>
      </c>
      <c r="AG8" s="29"/>
      <c r="AH8" s="29"/>
      <c r="AI8" s="29">
        <f t="shared" si="5"/>
        <v>3113.9071600000002</v>
      </c>
      <c r="AK8" s="28">
        <v>45261</v>
      </c>
      <c r="AM8" s="90">
        <v>43443.67</v>
      </c>
      <c r="AN8" s="90">
        <v>6769.84</v>
      </c>
      <c r="AP8" s="20">
        <v>2023</v>
      </c>
      <c r="AQ8" s="29">
        <f>J7+V7+AB7+AH7+AM7+AM8</f>
        <v>152832.34</v>
      </c>
      <c r="AR8" s="29">
        <f>K7+K8+W7+W8+AC7+AC8+AI7+AI8+AN7+AN8</f>
        <v>68060.37182</v>
      </c>
      <c r="AT8" s="29">
        <f>SUM(AQ8:AR8)</f>
        <v>220892.71182</v>
      </c>
      <c r="AX8" s="143">
        <f t="shared" ref="AX8:AX14" si="11">AT8-(AM7+AN7+AM8+AN8)</f>
        <v>120357.35182000001</v>
      </c>
    </row>
    <row r="9" spans="1:51" x14ac:dyDescent="0.25">
      <c r="A9" s="28">
        <v>45383</v>
      </c>
      <c r="B9" s="20">
        <v>2024</v>
      </c>
      <c r="D9" s="29">
        <v>21500</v>
      </c>
      <c r="E9" s="29">
        <v>8679.69</v>
      </c>
      <c r="F9" s="29"/>
      <c r="G9" s="29">
        <f t="shared" si="6"/>
        <v>17845</v>
      </c>
      <c r="H9" s="29">
        <f t="shared" si="0"/>
        <v>7204.1427000000003</v>
      </c>
      <c r="I9" s="29"/>
      <c r="J9" s="29">
        <f t="shared" si="7"/>
        <v>3655.0000000000005</v>
      </c>
      <c r="K9" s="29">
        <f t="shared" si="1"/>
        <v>1475.5473000000002</v>
      </c>
      <c r="L9" s="32"/>
      <c r="M9" s="28">
        <v>45323</v>
      </c>
      <c r="N9" s="20">
        <v>2024</v>
      </c>
      <c r="P9" s="31">
        <v>165000</v>
      </c>
      <c r="Q9" s="29">
        <v>63613.75</v>
      </c>
      <c r="R9" s="29"/>
      <c r="S9" s="29">
        <f t="shared" si="8"/>
        <v>110550</v>
      </c>
      <c r="T9" s="29">
        <f t="shared" si="2"/>
        <v>42621.212500000001</v>
      </c>
      <c r="U9" s="29"/>
      <c r="V9" s="29">
        <f t="shared" si="3"/>
        <v>54450</v>
      </c>
      <c r="W9" s="29">
        <f t="shared" si="3"/>
        <v>20992.537500000002</v>
      </c>
      <c r="X9" s="29"/>
      <c r="Y9" s="29">
        <v>10000</v>
      </c>
      <c r="Z9" s="29">
        <v>6981.25</v>
      </c>
      <c r="AA9" s="29"/>
      <c r="AB9" s="29">
        <f t="shared" si="9"/>
        <v>1555</v>
      </c>
      <c r="AC9" s="29">
        <f t="shared" si="4"/>
        <v>1078.6031250000001</v>
      </c>
      <c r="AD9" s="29"/>
      <c r="AE9" s="29">
        <v>35000</v>
      </c>
      <c r="AF9" s="29">
        <v>17109.38</v>
      </c>
      <c r="AG9" s="29"/>
      <c r="AH9" s="29">
        <f t="shared" si="10"/>
        <v>6370</v>
      </c>
      <c r="AI9" s="29">
        <f t="shared" si="5"/>
        <v>3113.9071600000002</v>
      </c>
      <c r="AK9" s="28">
        <v>45444</v>
      </c>
      <c r="AL9" s="20">
        <v>2024</v>
      </c>
      <c r="AM9" s="90">
        <v>43552.28</v>
      </c>
      <c r="AN9" s="90">
        <v>6661.23</v>
      </c>
      <c r="AQ9" s="29"/>
      <c r="AR9" s="29"/>
      <c r="AT9" s="33"/>
      <c r="AX9" s="143"/>
    </row>
    <row r="10" spans="1:51" x14ac:dyDescent="0.25">
      <c r="A10" s="28">
        <v>45566</v>
      </c>
      <c r="D10" s="29"/>
      <c r="E10" s="29">
        <v>8531.8799999999992</v>
      </c>
      <c r="F10" s="29"/>
      <c r="G10" s="29"/>
      <c r="H10" s="29">
        <f t="shared" si="0"/>
        <v>7081.460399999999</v>
      </c>
      <c r="I10" s="29"/>
      <c r="J10" s="29"/>
      <c r="K10" s="29">
        <f t="shared" si="1"/>
        <v>1450.4195999999999</v>
      </c>
      <c r="L10" s="32"/>
      <c r="M10" s="28">
        <v>45505</v>
      </c>
      <c r="P10" s="31"/>
      <c r="Q10" s="29">
        <v>60808.75</v>
      </c>
      <c r="R10" s="29"/>
      <c r="S10" s="29"/>
      <c r="T10" s="29">
        <f t="shared" si="2"/>
        <v>40741.862500000003</v>
      </c>
      <c r="U10" s="29"/>
      <c r="V10" s="29">
        <f t="shared" si="3"/>
        <v>0</v>
      </c>
      <c r="W10" s="29">
        <f t="shared" si="3"/>
        <v>20066.887500000001</v>
      </c>
      <c r="X10" s="29"/>
      <c r="Y10" s="29"/>
      <c r="Z10" s="29">
        <v>6768.75</v>
      </c>
      <c r="AA10" s="29"/>
      <c r="AB10" s="29"/>
      <c r="AC10" s="29">
        <f t="shared" si="4"/>
        <v>1045.7718749999999</v>
      </c>
      <c r="AD10" s="29"/>
      <c r="AE10" s="29"/>
      <c r="AF10" s="29">
        <v>16365.63</v>
      </c>
      <c r="AG10" s="29"/>
      <c r="AH10" s="29"/>
      <c r="AI10" s="29">
        <f t="shared" si="5"/>
        <v>2978.5446599999996</v>
      </c>
      <c r="AK10" s="28">
        <v>45627</v>
      </c>
      <c r="AM10" s="90">
        <v>43661.16</v>
      </c>
      <c r="AN10" s="90">
        <v>6552.35</v>
      </c>
      <c r="AP10" s="20">
        <v>2024</v>
      </c>
      <c r="AQ10" s="29">
        <f>J9+V9+AB9+AH9+AM9+AM10</f>
        <v>153243.44</v>
      </c>
      <c r="AR10" s="29">
        <f>K9+K10+W9+W10+AC9+AC10+AI9+AI10+AN9+AN10</f>
        <v>65415.798719999999</v>
      </c>
      <c r="AT10" s="29">
        <f>SUM(AQ10:AR10)</f>
        <v>218659.23871999999</v>
      </c>
      <c r="AX10" s="143">
        <f t="shared" si="11"/>
        <v>118232.21871999999</v>
      </c>
    </row>
    <row r="11" spans="1:51" x14ac:dyDescent="0.25">
      <c r="A11" s="28">
        <v>45748</v>
      </c>
      <c r="B11" s="20">
        <v>2025</v>
      </c>
      <c r="D11" s="29">
        <v>22000</v>
      </c>
      <c r="E11" s="29">
        <v>8531.8799999999992</v>
      </c>
      <c r="F11" s="29"/>
      <c r="G11" s="29">
        <f t="shared" si="6"/>
        <v>18260</v>
      </c>
      <c r="H11" s="29">
        <f t="shared" si="0"/>
        <v>7081.460399999999</v>
      </c>
      <c r="I11" s="29"/>
      <c r="J11" s="29">
        <f t="shared" si="7"/>
        <v>3740.0000000000005</v>
      </c>
      <c r="K11" s="29">
        <f t="shared" si="1"/>
        <v>1450.4195999999999</v>
      </c>
      <c r="L11" s="32"/>
      <c r="M11" s="28">
        <v>45689</v>
      </c>
      <c r="N11" s="20">
        <v>2025</v>
      </c>
      <c r="P11" s="31">
        <v>175000</v>
      </c>
      <c r="Q11" s="29">
        <v>60808.75</v>
      </c>
      <c r="R11" s="29"/>
      <c r="S11" s="29">
        <f t="shared" si="8"/>
        <v>117250</v>
      </c>
      <c r="T11" s="29">
        <f t="shared" si="2"/>
        <v>40741.862500000003</v>
      </c>
      <c r="U11" s="29"/>
      <c r="V11" s="29">
        <f t="shared" si="3"/>
        <v>57750</v>
      </c>
      <c r="W11" s="29">
        <f t="shared" si="3"/>
        <v>20066.887500000001</v>
      </c>
      <c r="X11" s="29"/>
      <c r="Y11" s="29">
        <v>10000</v>
      </c>
      <c r="Z11" s="29">
        <v>6768.75</v>
      </c>
      <c r="AA11" s="29"/>
      <c r="AB11" s="29">
        <f t="shared" si="9"/>
        <v>1555</v>
      </c>
      <c r="AC11" s="29">
        <f t="shared" si="4"/>
        <v>1045.7718749999999</v>
      </c>
      <c r="AD11" s="29"/>
      <c r="AE11" s="29">
        <v>35000</v>
      </c>
      <c r="AF11" s="29">
        <v>16365.63</v>
      </c>
      <c r="AG11" s="29"/>
      <c r="AH11" s="29">
        <f t="shared" si="10"/>
        <v>6370</v>
      </c>
      <c r="AI11" s="29">
        <f t="shared" si="5"/>
        <v>2978.5446599999996</v>
      </c>
      <c r="AK11" s="28">
        <v>45809</v>
      </c>
      <c r="AL11" s="20">
        <v>2025</v>
      </c>
      <c r="AM11" s="90">
        <v>43770.31</v>
      </c>
      <c r="AN11" s="90">
        <v>6443.2</v>
      </c>
      <c r="AQ11" s="29"/>
      <c r="AR11" s="29"/>
      <c r="AT11" s="33"/>
      <c r="AX11" s="143"/>
    </row>
    <row r="12" spans="1:51" x14ac:dyDescent="0.25">
      <c r="A12" s="28">
        <v>45931</v>
      </c>
      <c r="D12" s="29"/>
      <c r="E12" s="29">
        <v>8380.6299999999992</v>
      </c>
      <c r="F12" s="29"/>
      <c r="G12" s="29"/>
      <c r="H12" s="29">
        <f t="shared" si="0"/>
        <v>6955.9228999999987</v>
      </c>
      <c r="I12" s="29"/>
      <c r="J12" s="29"/>
      <c r="K12" s="29">
        <f t="shared" si="1"/>
        <v>1424.7070999999999</v>
      </c>
      <c r="L12" s="32"/>
      <c r="M12" s="28">
        <v>45870</v>
      </c>
      <c r="P12" s="31"/>
      <c r="Q12" s="29">
        <v>57658.75</v>
      </c>
      <c r="R12" s="29"/>
      <c r="S12" s="29"/>
      <c r="T12" s="29">
        <f t="shared" si="2"/>
        <v>38631.362500000003</v>
      </c>
      <c r="U12" s="29"/>
      <c r="V12" s="29">
        <f t="shared" si="3"/>
        <v>0</v>
      </c>
      <c r="W12" s="29">
        <f t="shared" si="3"/>
        <v>19027.387500000001</v>
      </c>
      <c r="X12" s="29"/>
      <c r="Y12" s="29"/>
      <c r="Z12" s="29">
        <v>6556.25</v>
      </c>
      <c r="AA12" s="29"/>
      <c r="AB12" s="29"/>
      <c r="AC12" s="29">
        <f t="shared" si="4"/>
        <v>1012.940625</v>
      </c>
      <c r="AD12" s="29"/>
      <c r="AE12" s="29"/>
      <c r="AF12" s="29">
        <v>15621.88</v>
      </c>
      <c r="AG12" s="29"/>
      <c r="AH12" s="29"/>
      <c r="AI12" s="29">
        <f t="shared" si="5"/>
        <v>2843.1821599999998</v>
      </c>
      <c r="AK12" s="28">
        <v>45992</v>
      </c>
      <c r="AM12" s="90">
        <v>43770.31</v>
      </c>
      <c r="AN12" s="90">
        <v>6333.77</v>
      </c>
      <c r="AP12" s="20">
        <v>2025</v>
      </c>
      <c r="AQ12" s="29">
        <f>J11+V11+AB11+AH11+AM11+AM12</f>
        <v>156955.62</v>
      </c>
      <c r="AR12" s="29">
        <f>K11+K12+W11+W12+AC11+AC12+AI11+AI12+AN11+AN12</f>
        <v>62626.811019999994</v>
      </c>
      <c r="AT12" s="29">
        <f>SUM(AQ12:AR12)</f>
        <v>219582.43101999999</v>
      </c>
      <c r="AX12" s="143">
        <f t="shared" si="11"/>
        <v>119264.84101999999</v>
      </c>
    </row>
    <row r="13" spans="1:51" x14ac:dyDescent="0.25">
      <c r="A13" s="28">
        <v>46113</v>
      </c>
      <c r="B13" s="20">
        <v>2026</v>
      </c>
      <c r="D13" s="29">
        <v>22500</v>
      </c>
      <c r="E13" s="29">
        <v>8380.6299999999992</v>
      </c>
      <c r="F13" s="29"/>
      <c r="G13" s="29">
        <f t="shared" si="6"/>
        <v>18675</v>
      </c>
      <c r="H13" s="29">
        <f t="shared" si="0"/>
        <v>6955.9228999999987</v>
      </c>
      <c r="I13" s="29"/>
      <c r="J13" s="29">
        <f t="shared" si="7"/>
        <v>3825.0000000000005</v>
      </c>
      <c r="K13" s="29">
        <f t="shared" si="1"/>
        <v>1424.7070999999999</v>
      </c>
      <c r="L13" s="32"/>
      <c r="M13" s="28">
        <v>46054</v>
      </c>
      <c r="N13" s="20">
        <v>2026</v>
      </c>
      <c r="P13" s="31">
        <v>180000</v>
      </c>
      <c r="Q13" s="29">
        <v>57658.75</v>
      </c>
      <c r="R13" s="29"/>
      <c r="S13" s="29">
        <f t="shared" si="8"/>
        <v>120600</v>
      </c>
      <c r="T13" s="29">
        <f t="shared" si="2"/>
        <v>38631.362500000003</v>
      </c>
      <c r="U13" s="29"/>
      <c r="V13" s="29">
        <f t="shared" si="3"/>
        <v>59400</v>
      </c>
      <c r="W13" s="29">
        <f t="shared" si="3"/>
        <v>19027.387500000001</v>
      </c>
      <c r="X13" s="29"/>
      <c r="Y13" s="29">
        <v>10000</v>
      </c>
      <c r="Z13" s="29">
        <v>6556.25</v>
      </c>
      <c r="AA13" s="29"/>
      <c r="AB13" s="29">
        <f t="shared" si="9"/>
        <v>1555</v>
      </c>
      <c r="AC13" s="29">
        <f t="shared" si="4"/>
        <v>1012.940625</v>
      </c>
      <c r="AD13" s="29"/>
      <c r="AE13" s="29">
        <v>40000</v>
      </c>
      <c r="AF13" s="29">
        <v>15621.88</v>
      </c>
      <c r="AG13" s="29"/>
      <c r="AH13" s="29">
        <f t="shared" si="10"/>
        <v>7280</v>
      </c>
      <c r="AI13" s="29">
        <f t="shared" si="5"/>
        <v>2843.1821599999998</v>
      </c>
      <c r="AK13" s="28">
        <v>46174</v>
      </c>
      <c r="AL13" s="20">
        <v>2026</v>
      </c>
      <c r="AM13" s="90">
        <v>43989.43</v>
      </c>
      <c r="AN13" s="90">
        <v>6224.08</v>
      </c>
      <c r="AQ13" s="29"/>
      <c r="AR13" s="29"/>
      <c r="AT13" s="33"/>
      <c r="AX13" s="143"/>
    </row>
    <row r="14" spans="1:51" x14ac:dyDescent="0.25">
      <c r="A14" s="28">
        <v>46296</v>
      </c>
      <c r="D14" s="29"/>
      <c r="E14" s="29">
        <v>8225.94</v>
      </c>
      <c r="F14" s="29"/>
      <c r="G14" s="29"/>
      <c r="H14" s="29">
        <f t="shared" si="0"/>
        <v>6827.5302000000001</v>
      </c>
      <c r="I14" s="29"/>
      <c r="J14" s="29"/>
      <c r="K14" s="29">
        <f t="shared" si="1"/>
        <v>1398.4098000000001</v>
      </c>
      <c r="L14" s="32"/>
      <c r="M14" s="28">
        <v>46235</v>
      </c>
      <c r="P14" s="31"/>
      <c r="Q14" s="29">
        <v>54418.75</v>
      </c>
      <c r="R14" s="29"/>
      <c r="S14" s="29"/>
      <c r="T14" s="29">
        <f t="shared" si="2"/>
        <v>36460.5625</v>
      </c>
      <c r="U14" s="29"/>
      <c r="V14" s="29"/>
      <c r="W14" s="29">
        <f t="shared" si="3"/>
        <v>17958.1875</v>
      </c>
      <c r="X14" s="29"/>
      <c r="Y14" s="29"/>
      <c r="Z14" s="29">
        <v>6343.75</v>
      </c>
      <c r="AA14" s="29"/>
      <c r="AB14" s="29"/>
      <c r="AC14" s="29">
        <f t="shared" si="4"/>
        <v>980.109375</v>
      </c>
      <c r="AD14" s="29"/>
      <c r="AE14" s="29"/>
      <c r="AF14" s="29">
        <v>14771.88</v>
      </c>
      <c r="AG14" s="29"/>
      <c r="AH14" s="29"/>
      <c r="AI14" s="29">
        <f t="shared" si="5"/>
        <v>2688.4821599999996</v>
      </c>
      <c r="AK14" s="28"/>
      <c r="AM14" s="90">
        <v>44099.41</v>
      </c>
      <c r="AN14" s="90">
        <v>6114.1</v>
      </c>
      <c r="AP14" s="20">
        <v>2026</v>
      </c>
      <c r="AQ14" s="29">
        <f>J13+V13+AB13+AH13+AM13+AM14</f>
        <v>160148.84</v>
      </c>
      <c r="AR14" s="29">
        <f>K13+K14+W13+W14+AC13+AC14+AI13+AI14+AN13+AN14</f>
        <v>59671.586220000005</v>
      </c>
      <c r="AT14" s="29">
        <f>SUM(AQ14:AR14)</f>
        <v>219820.42621999999</v>
      </c>
      <c r="AX14" s="143">
        <f t="shared" si="11"/>
        <v>119393.40621999998</v>
      </c>
    </row>
    <row r="15" spans="1:51" x14ac:dyDescent="0.25">
      <c r="A15" s="28"/>
      <c r="D15" s="29"/>
      <c r="E15" s="29"/>
      <c r="F15" s="29"/>
      <c r="G15" s="29"/>
      <c r="H15" s="29"/>
      <c r="I15" s="29"/>
      <c r="J15" s="29"/>
      <c r="K15" s="29"/>
      <c r="L15" s="32"/>
      <c r="M15" s="32"/>
      <c r="N15" s="32"/>
      <c r="P15" s="31"/>
      <c r="Q15" s="29"/>
      <c r="R15" s="29"/>
      <c r="S15" s="29"/>
      <c r="T15" s="29"/>
      <c r="U15" s="29"/>
      <c r="V15" s="29"/>
      <c r="W15" s="29"/>
      <c r="X15" s="29"/>
      <c r="Y15" s="29"/>
      <c r="Z15" s="29"/>
      <c r="AA15" s="29"/>
      <c r="AB15" s="29"/>
      <c r="AC15" s="29"/>
      <c r="AD15" s="29"/>
      <c r="AE15" s="29"/>
      <c r="AF15" s="29"/>
      <c r="AG15" s="29"/>
      <c r="AH15" s="29"/>
      <c r="AI15" s="29"/>
      <c r="AK15" s="28"/>
      <c r="AM15" s="33"/>
      <c r="AN15" s="33"/>
      <c r="AQ15" s="33"/>
      <c r="AR15" s="33"/>
      <c r="AT15" s="33"/>
      <c r="AU15" s="20" t="s">
        <v>45</v>
      </c>
      <c r="AV15" s="38">
        <f>SUM(AT5:AT14)</f>
        <v>1049918.7848</v>
      </c>
      <c r="AX15" s="143">
        <f>SUM(AX6:AX14)</f>
        <v>597998.28479999991</v>
      </c>
    </row>
    <row r="16" spans="1:51" x14ac:dyDescent="0.25">
      <c r="A16" s="28"/>
      <c r="D16" s="29"/>
      <c r="E16" s="29"/>
      <c r="F16" s="29"/>
      <c r="G16" s="29"/>
      <c r="H16" s="29"/>
      <c r="I16" s="29"/>
      <c r="J16" s="29"/>
      <c r="K16" s="29"/>
      <c r="L16" s="32"/>
      <c r="M16" s="32"/>
      <c r="N16" s="32"/>
      <c r="P16" s="29"/>
      <c r="Q16" s="29"/>
      <c r="R16" s="29"/>
      <c r="S16" s="29"/>
      <c r="T16" s="29"/>
      <c r="U16" s="29"/>
      <c r="V16" s="29"/>
      <c r="W16" s="29"/>
      <c r="X16" s="29"/>
      <c r="Y16" s="29"/>
      <c r="Z16" s="29"/>
      <c r="AA16" s="29"/>
      <c r="AB16" s="29"/>
      <c r="AC16" s="29"/>
      <c r="AD16" s="29"/>
      <c r="AE16" s="29"/>
      <c r="AF16" s="29"/>
      <c r="AG16" s="29"/>
      <c r="AH16" s="29"/>
      <c r="AI16" s="29"/>
      <c r="AK16" s="28"/>
      <c r="AM16" s="33"/>
      <c r="AN16" s="33"/>
      <c r="AQ16" s="29"/>
      <c r="AR16" s="29"/>
      <c r="AT16" s="29"/>
      <c r="AU16" s="20" t="s">
        <v>46</v>
      </c>
      <c r="AV16" s="19">
        <f>AV15/5</f>
        <v>209983.75696</v>
      </c>
      <c r="AX16" s="143">
        <f>AX15/5</f>
        <v>119599.65695999998</v>
      </c>
    </row>
    <row r="17" spans="1:50" x14ac:dyDescent="0.25">
      <c r="A17" s="28"/>
      <c r="D17" s="29"/>
      <c r="E17" s="29"/>
      <c r="F17" s="29"/>
      <c r="G17" s="29"/>
      <c r="H17" s="29"/>
      <c r="I17" s="29"/>
      <c r="J17" s="29"/>
      <c r="K17" s="29"/>
      <c r="L17" s="32"/>
      <c r="M17" s="32"/>
      <c r="N17" s="32"/>
      <c r="P17" s="29"/>
      <c r="Q17" s="29"/>
      <c r="R17" s="29"/>
      <c r="S17" s="29"/>
      <c r="T17" s="29"/>
      <c r="U17" s="29"/>
      <c r="V17" s="29"/>
      <c r="W17" s="29"/>
      <c r="X17" s="29"/>
      <c r="Y17" s="29"/>
      <c r="Z17" s="29"/>
      <c r="AA17" s="29"/>
      <c r="AB17" s="29"/>
      <c r="AC17" s="29"/>
      <c r="AD17" s="29"/>
      <c r="AE17" s="29"/>
      <c r="AF17" s="29"/>
      <c r="AG17" s="29"/>
      <c r="AH17" s="29"/>
      <c r="AI17" s="29"/>
      <c r="AK17" s="28"/>
      <c r="AM17" s="33"/>
      <c r="AN17" s="33"/>
      <c r="AQ17" s="33"/>
      <c r="AR17" s="33"/>
      <c r="AT17" s="33"/>
      <c r="AU17" s="20" t="s">
        <v>47</v>
      </c>
      <c r="AV17" s="19">
        <f>AV16*0.2</f>
        <v>41996.751392000006</v>
      </c>
      <c r="AX17" s="143">
        <f>AX16*0.2</f>
        <v>23919.931391999999</v>
      </c>
    </row>
    <row r="18" spans="1:50" x14ac:dyDescent="0.25">
      <c r="A18" s="28"/>
      <c r="D18" s="29"/>
      <c r="E18" s="29"/>
      <c r="F18" s="29"/>
      <c r="G18" s="29"/>
      <c r="H18" s="29"/>
      <c r="I18" s="29"/>
      <c r="J18" s="29"/>
      <c r="K18" s="29"/>
      <c r="L18" s="32"/>
      <c r="M18" s="32"/>
      <c r="N18" s="32"/>
      <c r="P18" s="29"/>
      <c r="Q18" s="29"/>
      <c r="R18" s="29"/>
      <c r="S18" s="29"/>
      <c r="T18" s="29"/>
      <c r="U18" s="29"/>
      <c r="V18" s="29"/>
      <c r="W18" s="29"/>
      <c r="X18" s="29"/>
      <c r="Y18" s="29"/>
      <c r="Z18" s="29"/>
      <c r="AA18" s="29"/>
      <c r="AB18" s="29"/>
      <c r="AC18" s="29"/>
      <c r="AD18" s="29"/>
      <c r="AE18" s="29"/>
      <c r="AF18" s="29"/>
      <c r="AG18" s="29"/>
      <c r="AH18" s="29"/>
      <c r="AI18" s="29"/>
      <c r="AK18" s="28"/>
      <c r="AM18" s="33"/>
      <c r="AN18" s="33"/>
      <c r="AQ18" s="29"/>
      <c r="AR18" s="29"/>
      <c r="AT18" s="29"/>
      <c r="AX18" s="37"/>
    </row>
    <row r="19" spans="1:50" x14ac:dyDescent="0.25">
      <c r="A19" s="28"/>
      <c r="D19" s="29"/>
      <c r="E19" s="29"/>
      <c r="F19" s="29"/>
      <c r="G19" s="29"/>
      <c r="H19" s="29"/>
      <c r="I19" s="29"/>
      <c r="J19" s="29"/>
      <c r="K19" s="29"/>
      <c r="L19" s="32"/>
      <c r="M19" s="32"/>
      <c r="N19" s="32"/>
      <c r="P19" s="29"/>
      <c r="Q19" s="29"/>
      <c r="R19" s="29"/>
      <c r="S19" s="29"/>
      <c r="T19" s="29"/>
      <c r="U19" s="29"/>
      <c r="V19" s="29"/>
      <c r="W19" s="29"/>
      <c r="X19" s="29"/>
      <c r="Y19" s="29"/>
      <c r="Z19" s="29"/>
      <c r="AA19" s="29"/>
      <c r="AB19" s="29"/>
      <c r="AC19" s="29"/>
      <c r="AD19" s="29"/>
      <c r="AE19" s="29"/>
      <c r="AF19" s="29"/>
      <c r="AG19" s="29"/>
      <c r="AH19" s="29"/>
      <c r="AI19" s="29"/>
      <c r="AK19" s="28"/>
      <c r="AM19" s="33"/>
      <c r="AN19" s="33"/>
      <c r="AQ19" s="33"/>
      <c r="AR19" s="33"/>
      <c r="AT19" s="33"/>
    </row>
    <row r="20" spans="1:50" x14ac:dyDescent="0.25">
      <c r="A20" s="28"/>
      <c r="D20" s="29"/>
      <c r="E20" s="29"/>
      <c r="F20" s="29"/>
      <c r="G20" s="29"/>
      <c r="H20" s="29"/>
      <c r="I20" s="29"/>
      <c r="J20" s="29"/>
      <c r="K20" s="29"/>
      <c r="L20" s="32"/>
      <c r="M20" s="32"/>
      <c r="N20" s="32"/>
      <c r="P20" s="29"/>
      <c r="Q20" s="29"/>
      <c r="R20" s="29"/>
      <c r="S20" s="29"/>
      <c r="T20" s="29"/>
      <c r="U20" s="29"/>
      <c r="V20" s="29"/>
      <c r="W20" s="29"/>
      <c r="X20" s="29"/>
      <c r="Y20" s="29"/>
      <c r="Z20" s="29"/>
      <c r="AA20" s="29"/>
      <c r="AB20" s="29"/>
      <c r="AC20" s="29"/>
      <c r="AD20" s="29"/>
      <c r="AE20" s="29"/>
      <c r="AF20" s="29"/>
      <c r="AG20" s="29"/>
      <c r="AH20" s="29"/>
      <c r="AI20" s="29"/>
      <c r="AK20" s="28"/>
      <c r="AM20" s="33"/>
      <c r="AN20" s="33"/>
      <c r="AQ20" s="29"/>
      <c r="AR20" s="29"/>
      <c r="AT20" s="29"/>
    </row>
    <row r="21" spans="1:50" x14ac:dyDescent="0.25">
      <c r="A21" s="28"/>
      <c r="D21" s="29"/>
      <c r="E21" s="29"/>
      <c r="F21" s="29"/>
      <c r="G21" s="29"/>
      <c r="H21" s="29"/>
      <c r="I21" s="29"/>
      <c r="J21" s="29"/>
      <c r="K21" s="29"/>
      <c r="L21" s="32"/>
      <c r="M21" s="32"/>
      <c r="N21" s="32"/>
      <c r="P21" s="29"/>
      <c r="Q21" s="29"/>
      <c r="R21" s="29"/>
      <c r="S21" s="29"/>
      <c r="T21" s="29"/>
      <c r="U21" s="29"/>
      <c r="V21" s="29"/>
      <c r="W21" s="29"/>
      <c r="X21" s="29"/>
      <c r="Y21" s="29"/>
      <c r="Z21" s="29"/>
      <c r="AA21" s="29"/>
      <c r="AB21" s="29"/>
      <c r="AC21" s="29"/>
      <c r="AD21" s="29"/>
      <c r="AE21" s="29"/>
      <c r="AF21" s="29"/>
      <c r="AG21" s="29"/>
      <c r="AH21" s="29"/>
      <c r="AI21" s="29"/>
      <c r="AK21" s="28"/>
      <c r="AM21" s="33"/>
      <c r="AN21" s="33"/>
      <c r="AQ21" s="33"/>
      <c r="AR21" s="33"/>
      <c r="AT21" s="33"/>
    </row>
    <row r="22" spans="1:50" x14ac:dyDescent="0.25">
      <c r="A22" s="28"/>
      <c r="D22" s="29"/>
      <c r="E22" s="29"/>
      <c r="F22" s="29"/>
      <c r="G22" s="29"/>
      <c r="H22" s="29"/>
      <c r="I22" s="29"/>
      <c r="J22" s="29"/>
      <c r="K22" s="29"/>
      <c r="L22" s="32"/>
      <c r="M22" s="32"/>
      <c r="N22" s="32"/>
      <c r="P22" s="29"/>
      <c r="Q22" s="29"/>
      <c r="R22" s="29"/>
      <c r="S22" s="29"/>
      <c r="T22" s="29"/>
      <c r="U22" s="29"/>
      <c r="V22" s="29"/>
      <c r="W22" s="29"/>
      <c r="X22" s="29"/>
      <c r="Y22" s="29"/>
      <c r="Z22" s="29"/>
      <c r="AA22" s="29"/>
      <c r="AB22" s="29"/>
      <c r="AC22" s="29"/>
      <c r="AD22" s="29"/>
      <c r="AE22" s="29"/>
      <c r="AF22" s="29"/>
      <c r="AG22" s="29"/>
      <c r="AH22" s="29"/>
      <c r="AI22" s="29"/>
      <c r="AK22" s="28"/>
      <c r="AM22" s="33"/>
      <c r="AN22" s="33"/>
      <c r="AQ22" s="29"/>
      <c r="AR22" s="29"/>
      <c r="AT22" s="29"/>
    </row>
    <row r="23" spans="1:50" x14ac:dyDescent="0.25">
      <c r="A23" s="28"/>
      <c r="D23" s="29"/>
      <c r="E23" s="29"/>
      <c r="F23" s="29"/>
      <c r="G23" s="29"/>
      <c r="H23" s="29"/>
      <c r="I23" s="29"/>
      <c r="J23" s="29"/>
      <c r="K23" s="29"/>
      <c r="L23" s="32"/>
      <c r="M23" s="32"/>
      <c r="N23" s="32"/>
      <c r="P23" s="29"/>
      <c r="Q23" s="29"/>
      <c r="R23" s="29"/>
      <c r="S23" s="29"/>
      <c r="T23" s="29"/>
      <c r="U23" s="29"/>
      <c r="V23" s="29"/>
      <c r="W23" s="29"/>
      <c r="X23" s="29"/>
      <c r="Y23" s="29"/>
      <c r="Z23" s="29"/>
      <c r="AA23" s="29"/>
      <c r="AB23" s="29"/>
      <c r="AC23" s="29"/>
      <c r="AD23" s="29"/>
      <c r="AE23" s="29"/>
      <c r="AF23" s="29"/>
      <c r="AG23" s="29"/>
      <c r="AH23" s="29"/>
      <c r="AI23" s="29"/>
      <c r="AK23" s="28"/>
      <c r="AM23" s="33"/>
      <c r="AN23" s="33"/>
      <c r="AQ23" s="33"/>
      <c r="AR23" s="33"/>
      <c r="AT23" s="33"/>
    </row>
    <row r="24" spans="1:50" x14ac:dyDescent="0.25">
      <c r="A24" s="28"/>
      <c r="D24" s="29"/>
      <c r="E24" s="29"/>
      <c r="F24" s="29"/>
      <c r="G24" s="29"/>
      <c r="H24" s="29"/>
      <c r="I24" s="29"/>
      <c r="J24" s="29"/>
      <c r="K24" s="29"/>
      <c r="L24" s="32"/>
      <c r="M24" s="32"/>
      <c r="N24" s="32"/>
      <c r="P24" s="29"/>
      <c r="Q24" s="29"/>
      <c r="R24" s="29"/>
      <c r="S24" s="29"/>
      <c r="T24" s="29"/>
      <c r="U24" s="29"/>
      <c r="V24" s="29"/>
      <c r="W24" s="29"/>
      <c r="X24" s="29"/>
      <c r="Y24" s="29"/>
      <c r="Z24" s="29"/>
      <c r="AA24" s="29"/>
      <c r="AB24" s="29"/>
      <c r="AC24" s="29"/>
      <c r="AD24" s="29"/>
      <c r="AE24" s="29"/>
      <c r="AF24" s="29"/>
      <c r="AG24" s="29"/>
      <c r="AH24" s="29"/>
      <c r="AI24" s="29"/>
      <c r="AM24" s="33"/>
      <c r="AN24" s="33"/>
      <c r="AQ24" s="29"/>
      <c r="AR24" s="29"/>
      <c r="AT24" s="29"/>
    </row>
    <row r="25" spans="1:50" x14ac:dyDescent="0.25">
      <c r="A25" s="28"/>
      <c r="D25" s="29"/>
      <c r="E25" s="29"/>
      <c r="F25" s="29"/>
      <c r="G25" s="29"/>
      <c r="H25" s="29"/>
      <c r="I25" s="29"/>
      <c r="J25" s="29"/>
      <c r="K25" s="29"/>
      <c r="L25" s="32"/>
      <c r="M25" s="32"/>
      <c r="N25" s="32"/>
      <c r="P25" s="29"/>
      <c r="Q25" s="29"/>
      <c r="R25" s="29"/>
      <c r="S25" s="29"/>
      <c r="T25" s="29"/>
      <c r="U25" s="29"/>
      <c r="V25" s="29"/>
      <c r="W25" s="29"/>
      <c r="X25" s="29"/>
      <c r="Y25" s="29"/>
      <c r="Z25" s="29"/>
      <c r="AA25" s="29"/>
      <c r="AB25" s="29"/>
      <c r="AC25" s="29"/>
      <c r="AD25" s="29"/>
      <c r="AE25" s="29"/>
      <c r="AF25" s="29"/>
      <c r="AG25" s="29"/>
      <c r="AH25" s="29"/>
      <c r="AI25" s="29"/>
      <c r="AM25" s="33"/>
      <c r="AN25" s="33"/>
      <c r="AQ25" s="33"/>
      <c r="AR25" s="33"/>
      <c r="AT25" s="33"/>
    </row>
    <row r="26" spans="1:50" x14ac:dyDescent="0.25">
      <c r="A26" s="28"/>
      <c r="D26" s="29"/>
      <c r="E26" s="29"/>
      <c r="F26" s="29"/>
      <c r="G26" s="29"/>
      <c r="H26" s="29"/>
      <c r="I26" s="29"/>
      <c r="J26" s="29"/>
      <c r="K26" s="29"/>
      <c r="L26" s="32"/>
      <c r="M26" s="32"/>
      <c r="N26" s="32"/>
      <c r="P26" s="29"/>
      <c r="Q26" s="29"/>
      <c r="R26" s="29"/>
      <c r="S26" s="29"/>
      <c r="T26" s="29"/>
      <c r="U26" s="29"/>
      <c r="V26" s="29"/>
      <c r="W26" s="29"/>
      <c r="X26" s="29"/>
      <c r="Y26" s="29"/>
      <c r="Z26" s="29"/>
      <c r="AA26" s="29"/>
      <c r="AB26" s="29"/>
      <c r="AC26" s="29"/>
      <c r="AD26" s="29"/>
      <c r="AE26" s="29"/>
      <c r="AF26" s="29"/>
      <c r="AG26" s="29"/>
      <c r="AH26" s="29"/>
      <c r="AI26" s="29"/>
      <c r="AM26" s="33"/>
      <c r="AN26" s="33"/>
      <c r="AQ26" s="29"/>
      <c r="AR26" s="29"/>
      <c r="AT26" s="29"/>
    </row>
    <row r="27" spans="1:50" x14ac:dyDescent="0.25">
      <c r="A27" s="28"/>
      <c r="D27" s="29"/>
      <c r="E27" s="29"/>
      <c r="F27" s="29"/>
      <c r="G27" s="29"/>
      <c r="H27" s="29"/>
      <c r="I27" s="29"/>
      <c r="J27" s="29"/>
      <c r="K27" s="29"/>
      <c r="L27" s="32"/>
      <c r="M27" s="32"/>
      <c r="N27" s="32"/>
      <c r="P27" s="29"/>
      <c r="Q27" s="29"/>
      <c r="R27" s="29"/>
      <c r="S27" s="29"/>
      <c r="T27" s="29"/>
      <c r="U27" s="29"/>
      <c r="V27" s="29"/>
      <c r="W27" s="29"/>
      <c r="X27" s="29"/>
      <c r="Y27" s="29"/>
      <c r="Z27" s="29"/>
      <c r="AA27" s="29"/>
      <c r="AB27" s="29"/>
      <c r="AC27" s="29"/>
      <c r="AD27" s="29"/>
      <c r="AE27" s="29"/>
      <c r="AF27" s="29"/>
      <c r="AG27" s="29"/>
      <c r="AH27" s="29"/>
      <c r="AI27" s="29"/>
      <c r="AM27" s="33"/>
      <c r="AN27" s="33"/>
      <c r="AQ27" s="33"/>
      <c r="AR27" s="33"/>
      <c r="AT27" s="33"/>
    </row>
    <row r="28" spans="1:50" x14ac:dyDescent="0.25">
      <c r="A28" s="28"/>
      <c r="D28" s="29"/>
      <c r="E28" s="29"/>
      <c r="F28" s="29"/>
      <c r="G28" s="29"/>
      <c r="H28" s="29"/>
      <c r="I28" s="29"/>
      <c r="J28" s="29"/>
      <c r="K28" s="29"/>
      <c r="L28" s="32"/>
      <c r="M28" s="32"/>
      <c r="N28" s="32"/>
      <c r="P28" s="29"/>
      <c r="Q28" s="29"/>
      <c r="R28" s="29"/>
      <c r="S28" s="29"/>
      <c r="T28" s="29"/>
      <c r="U28" s="29"/>
      <c r="V28" s="29"/>
      <c r="W28" s="29"/>
      <c r="X28" s="29"/>
      <c r="Y28" s="29"/>
      <c r="Z28" s="29"/>
      <c r="AA28" s="29"/>
      <c r="AB28" s="29"/>
      <c r="AC28" s="29"/>
      <c r="AD28" s="29"/>
      <c r="AE28" s="29"/>
      <c r="AF28" s="29"/>
      <c r="AG28" s="29"/>
      <c r="AH28" s="29"/>
      <c r="AI28" s="29"/>
      <c r="AM28" s="33"/>
      <c r="AN28" s="33"/>
      <c r="AQ28" s="29"/>
      <c r="AR28" s="29"/>
      <c r="AT28" s="29"/>
    </row>
    <row r="29" spans="1:50" x14ac:dyDescent="0.25">
      <c r="A29" s="28"/>
      <c r="D29" s="29"/>
      <c r="E29" s="29"/>
      <c r="F29" s="29"/>
      <c r="G29" s="29"/>
      <c r="H29" s="29"/>
      <c r="I29" s="29"/>
      <c r="J29" s="29"/>
      <c r="K29" s="29"/>
      <c r="L29" s="32"/>
      <c r="M29" s="32"/>
      <c r="N29" s="32"/>
      <c r="P29" s="29"/>
      <c r="Q29" s="29"/>
      <c r="R29" s="29"/>
      <c r="S29" s="29"/>
      <c r="T29" s="29"/>
      <c r="U29" s="29"/>
      <c r="V29" s="29"/>
      <c r="W29" s="29"/>
      <c r="X29" s="29"/>
      <c r="Y29" s="29"/>
      <c r="Z29" s="29"/>
      <c r="AA29" s="29"/>
      <c r="AB29" s="29"/>
      <c r="AC29" s="29"/>
      <c r="AD29" s="29"/>
      <c r="AE29" s="29"/>
      <c r="AF29" s="29"/>
      <c r="AG29" s="29"/>
      <c r="AH29" s="29"/>
      <c r="AI29" s="29"/>
      <c r="AM29" s="33"/>
      <c r="AN29" s="33"/>
      <c r="AQ29" s="33"/>
      <c r="AR29" s="33"/>
      <c r="AT29" s="33"/>
    </row>
    <row r="30" spans="1:50" x14ac:dyDescent="0.25">
      <c r="A30" s="28"/>
      <c r="D30" s="29"/>
      <c r="E30" s="29"/>
      <c r="F30" s="29"/>
      <c r="G30" s="29"/>
      <c r="H30" s="29"/>
      <c r="I30" s="29"/>
      <c r="J30" s="29"/>
      <c r="K30" s="29"/>
      <c r="L30" s="32"/>
      <c r="M30" s="32"/>
      <c r="N30" s="32"/>
      <c r="P30" s="29"/>
      <c r="Q30" s="29"/>
      <c r="R30" s="29"/>
      <c r="S30" s="29"/>
      <c r="T30" s="29"/>
      <c r="U30" s="29"/>
      <c r="V30" s="29"/>
      <c r="W30" s="29"/>
      <c r="X30" s="29"/>
      <c r="Y30" s="29"/>
      <c r="Z30" s="29"/>
      <c r="AA30" s="29"/>
      <c r="AB30" s="29"/>
      <c r="AC30" s="29"/>
      <c r="AD30" s="29"/>
      <c r="AE30" s="29"/>
      <c r="AF30" s="29"/>
      <c r="AG30" s="29"/>
      <c r="AH30" s="29"/>
      <c r="AI30" s="29"/>
      <c r="AM30" s="33"/>
      <c r="AN30" s="33"/>
      <c r="AQ30" s="29"/>
      <c r="AR30" s="29"/>
      <c r="AT30" s="29"/>
    </row>
    <row r="31" spans="1:50" x14ac:dyDescent="0.25">
      <c r="A31" s="28"/>
      <c r="D31" s="29"/>
      <c r="E31" s="29"/>
      <c r="F31" s="29"/>
      <c r="G31" s="29"/>
      <c r="H31" s="29"/>
      <c r="I31" s="29"/>
      <c r="J31" s="29"/>
      <c r="K31" s="29"/>
      <c r="L31" s="32"/>
      <c r="M31" s="32"/>
      <c r="N31" s="32"/>
      <c r="P31" s="29"/>
      <c r="Q31" s="29"/>
      <c r="R31" s="29"/>
      <c r="S31" s="29"/>
      <c r="T31" s="29"/>
      <c r="U31" s="29"/>
      <c r="V31" s="29"/>
      <c r="W31" s="29"/>
      <c r="X31" s="29"/>
      <c r="Y31" s="29"/>
      <c r="Z31" s="29"/>
      <c r="AA31" s="29"/>
      <c r="AB31" s="29"/>
      <c r="AC31" s="29"/>
      <c r="AD31" s="29"/>
      <c r="AE31" s="29"/>
      <c r="AF31" s="29"/>
      <c r="AG31" s="29"/>
      <c r="AH31" s="29"/>
      <c r="AI31" s="29"/>
      <c r="AM31" s="33"/>
      <c r="AN31" s="33"/>
      <c r="AQ31" s="33"/>
      <c r="AR31" s="33"/>
      <c r="AT31" s="33"/>
    </row>
    <row r="32" spans="1:50" x14ac:dyDescent="0.25">
      <c r="A32" s="28"/>
      <c r="D32" s="29"/>
      <c r="E32" s="29"/>
      <c r="F32" s="29"/>
      <c r="G32" s="29"/>
      <c r="H32" s="29"/>
      <c r="I32" s="29"/>
      <c r="J32" s="29"/>
      <c r="K32" s="29"/>
      <c r="L32" s="32"/>
      <c r="M32" s="32"/>
      <c r="N32" s="32"/>
      <c r="P32" s="29"/>
      <c r="Q32" s="29"/>
      <c r="R32" s="29"/>
      <c r="S32" s="29"/>
      <c r="T32" s="29"/>
      <c r="U32" s="29"/>
      <c r="V32" s="29"/>
      <c r="W32" s="29"/>
      <c r="X32" s="29"/>
      <c r="Y32" s="29"/>
      <c r="Z32" s="29"/>
      <c r="AA32" s="29"/>
      <c r="AB32" s="29"/>
      <c r="AC32" s="29"/>
      <c r="AD32" s="29"/>
      <c r="AE32" s="29"/>
      <c r="AF32" s="29"/>
      <c r="AG32" s="29"/>
      <c r="AH32" s="29"/>
      <c r="AI32" s="29"/>
      <c r="AM32" s="33"/>
      <c r="AN32" s="33"/>
      <c r="AQ32" s="29"/>
      <c r="AR32" s="29"/>
      <c r="AT32" s="29"/>
    </row>
    <row r="33" spans="1:46" x14ac:dyDescent="0.25">
      <c r="A33" s="28"/>
      <c r="D33" s="29"/>
      <c r="E33" s="29"/>
      <c r="F33" s="29"/>
      <c r="G33" s="29"/>
      <c r="H33" s="29"/>
      <c r="I33" s="29"/>
      <c r="J33" s="29"/>
      <c r="K33" s="29"/>
      <c r="L33" s="32"/>
      <c r="M33" s="32"/>
      <c r="N33" s="32"/>
      <c r="P33" s="29"/>
      <c r="Q33" s="29"/>
      <c r="R33" s="29"/>
      <c r="S33" s="29"/>
      <c r="T33" s="29"/>
      <c r="U33" s="29"/>
      <c r="V33" s="29"/>
      <c r="W33" s="29"/>
      <c r="X33" s="29"/>
      <c r="Y33" s="29"/>
      <c r="Z33" s="29"/>
      <c r="AA33" s="29"/>
      <c r="AB33" s="29"/>
      <c r="AC33" s="29"/>
      <c r="AD33" s="29"/>
      <c r="AE33" s="29"/>
      <c r="AF33" s="29"/>
      <c r="AG33" s="29"/>
      <c r="AH33" s="29"/>
      <c r="AI33" s="29"/>
      <c r="AM33" s="33"/>
      <c r="AN33" s="33"/>
      <c r="AQ33" s="33"/>
      <c r="AR33" s="33"/>
      <c r="AT33" s="33"/>
    </row>
    <row r="34" spans="1:46" x14ac:dyDescent="0.25">
      <c r="A34" s="28"/>
      <c r="D34" s="29"/>
      <c r="E34" s="29"/>
      <c r="F34" s="29"/>
      <c r="G34" s="29"/>
      <c r="H34" s="29"/>
      <c r="I34" s="29"/>
      <c r="J34" s="29"/>
      <c r="K34" s="29"/>
      <c r="L34" s="32"/>
      <c r="M34" s="32"/>
      <c r="N34" s="32"/>
      <c r="P34" s="33"/>
      <c r="Q34" s="34"/>
      <c r="R34" s="34"/>
      <c r="S34" s="33"/>
      <c r="T34" s="33"/>
      <c r="U34" s="33"/>
      <c r="V34" s="33"/>
      <c r="W34" s="33"/>
      <c r="X34" s="33"/>
      <c r="Y34" s="29"/>
      <c r="Z34" s="29"/>
      <c r="AA34" s="29"/>
      <c r="AB34" s="29"/>
      <c r="AC34" s="29"/>
      <c r="AD34" s="29"/>
      <c r="AE34" s="29"/>
      <c r="AF34" s="29"/>
      <c r="AG34" s="29"/>
      <c r="AH34" s="29"/>
      <c r="AI34" s="33"/>
      <c r="AM34" s="33"/>
      <c r="AN34" s="33"/>
      <c r="AQ34" s="29"/>
      <c r="AR34" s="29"/>
      <c r="AT34" s="29"/>
    </row>
    <row r="35" spans="1:46" x14ac:dyDescent="0.25">
      <c r="A35" s="28"/>
      <c r="D35" s="29"/>
      <c r="E35" s="29"/>
      <c r="F35" s="29"/>
      <c r="G35" s="29"/>
      <c r="H35" s="29"/>
      <c r="I35" s="29"/>
      <c r="J35" s="29"/>
      <c r="K35" s="29"/>
      <c r="L35" s="32"/>
      <c r="M35" s="32"/>
      <c r="N35" s="32"/>
      <c r="P35" s="33"/>
      <c r="Q35" s="34"/>
      <c r="R35" s="34"/>
      <c r="S35" s="33"/>
      <c r="T35" s="33"/>
      <c r="U35" s="33"/>
      <c r="V35" s="33"/>
      <c r="W35" s="33"/>
      <c r="X35" s="33"/>
      <c r="Y35" s="33"/>
      <c r="Z35" s="33"/>
      <c r="AA35" s="33"/>
      <c r="AB35" s="33"/>
      <c r="AC35" s="33"/>
      <c r="AD35" s="33"/>
      <c r="AE35" s="33"/>
      <c r="AF35" s="33"/>
      <c r="AG35" s="33"/>
      <c r="AH35" s="33"/>
      <c r="AI35" s="33"/>
      <c r="AM35" s="33"/>
      <c r="AN35" s="33"/>
      <c r="AQ35" s="33"/>
      <c r="AR35" s="33"/>
      <c r="AT35" s="33"/>
    </row>
    <row r="36" spans="1:46" x14ac:dyDescent="0.25">
      <c r="A36" s="28"/>
      <c r="D36" s="29"/>
      <c r="E36" s="29"/>
      <c r="F36" s="29"/>
      <c r="G36" s="29"/>
      <c r="H36" s="29"/>
      <c r="I36" s="29"/>
      <c r="J36" s="29"/>
      <c r="K36" s="29"/>
      <c r="L36" s="32"/>
      <c r="M36" s="32"/>
      <c r="N36" s="32"/>
      <c r="P36" s="33"/>
      <c r="Q36" s="34"/>
      <c r="R36" s="34"/>
      <c r="S36" s="33"/>
      <c r="T36" s="33"/>
      <c r="U36" s="33"/>
      <c r="V36" s="33"/>
      <c r="W36" s="33"/>
      <c r="X36" s="33"/>
      <c r="Y36" s="33"/>
      <c r="Z36" s="33"/>
      <c r="AA36" s="33"/>
      <c r="AB36" s="33"/>
      <c r="AC36" s="33"/>
      <c r="AD36" s="33"/>
      <c r="AE36" s="33"/>
      <c r="AF36" s="33"/>
      <c r="AG36" s="33"/>
      <c r="AH36" s="33"/>
      <c r="AI36" s="33"/>
      <c r="AM36" s="33"/>
      <c r="AN36" s="33"/>
      <c r="AQ36" s="29"/>
      <c r="AR36" s="29"/>
      <c r="AT36" s="29"/>
    </row>
    <row r="37" spans="1:46" x14ac:dyDescent="0.25">
      <c r="A37" s="28"/>
      <c r="D37" s="29"/>
      <c r="E37" s="29"/>
      <c r="F37" s="29"/>
      <c r="G37" s="29"/>
      <c r="H37" s="29"/>
      <c r="I37" s="29"/>
      <c r="J37" s="29"/>
      <c r="K37" s="29"/>
      <c r="L37" s="32"/>
      <c r="M37" s="32"/>
      <c r="N37" s="32"/>
      <c r="P37" s="33"/>
      <c r="Q37" s="34"/>
      <c r="R37" s="34"/>
      <c r="S37" s="33"/>
      <c r="T37" s="33"/>
      <c r="U37" s="33"/>
      <c r="V37" s="33"/>
      <c r="W37" s="33"/>
      <c r="X37" s="33"/>
      <c r="Y37" s="33"/>
      <c r="Z37" s="33"/>
      <c r="AA37" s="33"/>
      <c r="AB37" s="33"/>
      <c r="AC37" s="33"/>
      <c r="AD37" s="33"/>
      <c r="AE37" s="33"/>
      <c r="AF37" s="33"/>
      <c r="AG37" s="33"/>
      <c r="AH37" s="33"/>
      <c r="AI37" s="33"/>
      <c r="AM37" s="33"/>
      <c r="AN37" s="33"/>
      <c r="AQ37" s="33"/>
      <c r="AR37" s="33"/>
      <c r="AT37" s="33"/>
    </row>
    <row r="38" spans="1:46" x14ac:dyDescent="0.25">
      <c r="A38" s="28"/>
      <c r="D38" s="29"/>
      <c r="E38" s="29"/>
      <c r="F38" s="29"/>
      <c r="G38" s="29"/>
      <c r="H38" s="29"/>
      <c r="I38" s="29"/>
      <c r="J38" s="29"/>
      <c r="K38" s="29"/>
      <c r="L38" s="32"/>
      <c r="M38" s="32"/>
      <c r="N38" s="32"/>
      <c r="P38" s="33"/>
      <c r="Q38" s="34"/>
      <c r="R38" s="34"/>
      <c r="S38" s="33"/>
      <c r="T38" s="33"/>
      <c r="U38" s="33"/>
      <c r="V38" s="33"/>
      <c r="W38" s="33"/>
      <c r="X38" s="33"/>
      <c r="Y38" s="33"/>
      <c r="Z38" s="33"/>
      <c r="AA38" s="33"/>
      <c r="AB38" s="33"/>
      <c r="AC38" s="33"/>
      <c r="AD38" s="33"/>
      <c r="AE38" s="33"/>
      <c r="AF38" s="33"/>
      <c r="AG38" s="33"/>
      <c r="AH38" s="33"/>
      <c r="AI38" s="33"/>
      <c r="AM38" s="33"/>
      <c r="AN38" s="33"/>
      <c r="AQ38" s="29"/>
      <c r="AR38" s="29"/>
      <c r="AT38" s="29"/>
    </row>
    <row r="39" spans="1:46" x14ac:dyDescent="0.25">
      <c r="A39" s="28"/>
      <c r="D39" s="29"/>
      <c r="E39" s="29"/>
      <c r="F39" s="29"/>
      <c r="G39" s="29"/>
      <c r="H39" s="29"/>
      <c r="I39" s="29"/>
      <c r="J39" s="29"/>
      <c r="K39" s="29"/>
      <c r="L39" s="32"/>
      <c r="M39" s="32"/>
      <c r="N39" s="32"/>
      <c r="P39" s="33"/>
      <c r="Q39" s="34"/>
      <c r="R39" s="34"/>
      <c r="S39" s="33"/>
      <c r="T39" s="33"/>
      <c r="U39" s="33"/>
      <c r="V39" s="33"/>
      <c r="W39" s="33"/>
      <c r="X39" s="33"/>
      <c r="Y39" s="33"/>
      <c r="Z39" s="33"/>
      <c r="AA39" s="33"/>
      <c r="AB39" s="33"/>
      <c r="AC39" s="33"/>
      <c r="AD39" s="33"/>
      <c r="AE39" s="33"/>
      <c r="AF39" s="33"/>
      <c r="AG39" s="33"/>
      <c r="AH39" s="33"/>
      <c r="AI39" s="33"/>
      <c r="AM39" s="33"/>
      <c r="AN39" s="33"/>
      <c r="AQ39" s="33"/>
      <c r="AR39" s="33"/>
      <c r="AT39" s="33"/>
    </row>
    <row r="40" spans="1:46" x14ac:dyDescent="0.25">
      <c r="A40" s="28"/>
      <c r="D40" s="29"/>
      <c r="E40" s="29"/>
      <c r="F40" s="29"/>
      <c r="G40" s="29"/>
      <c r="H40" s="29"/>
      <c r="I40" s="29"/>
      <c r="J40" s="29"/>
      <c r="K40" s="29"/>
      <c r="L40" s="32"/>
      <c r="M40" s="32"/>
      <c r="N40" s="32"/>
      <c r="P40" s="33"/>
      <c r="Q40" s="34"/>
      <c r="R40" s="34"/>
      <c r="S40" s="33"/>
      <c r="T40" s="33"/>
      <c r="U40" s="33"/>
      <c r="V40" s="33"/>
      <c r="W40" s="33"/>
      <c r="X40" s="33"/>
      <c r="Y40" s="33"/>
      <c r="Z40" s="33"/>
      <c r="AA40" s="33"/>
      <c r="AB40" s="33"/>
      <c r="AC40" s="33"/>
      <c r="AD40" s="33"/>
      <c r="AE40" s="33"/>
      <c r="AF40" s="33"/>
      <c r="AG40" s="33"/>
      <c r="AH40" s="33"/>
      <c r="AI40" s="33"/>
      <c r="AM40" s="33"/>
      <c r="AN40" s="33"/>
      <c r="AQ40" s="29"/>
      <c r="AR40" s="29"/>
      <c r="AT40" s="29"/>
    </row>
    <row r="41" spans="1:46" x14ac:dyDescent="0.25">
      <c r="A41" s="28"/>
      <c r="D41" s="29"/>
      <c r="E41" s="29"/>
      <c r="F41" s="29"/>
      <c r="G41" s="29"/>
      <c r="H41" s="29"/>
      <c r="I41" s="29"/>
      <c r="J41" s="29"/>
      <c r="K41" s="29"/>
      <c r="L41" s="32"/>
      <c r="M41" s="32"/>
      <c r="N41" s="32"/>
      <c r="P41" s="33"/>
      <c r="Q41" s="34"/>
      <c r="R41" s="34"/>
      <c r="S41" s="33"/>
      <c r="T41" s="33"/>
      <c r="U41" s="33"/>
      <c r="V41" s="33"/>
      <c r="W41" s="33"/>
      <c r="X41" s="33"/>
      <c r="Y41" s="33"/>
      <c r="Z41" s="33"/>
      <c r="AA41" s="33"/>
      <c r="AB41" s="33"/>
      <c r="AC41" s="33"/>
      <c r="AD41" s="33"/>
      <c r="AE41" s="33"/>
      <c r="AF41" s="33"/>
      <c r="AG41" s="33"/>
      <c r="AH41" s="33"/>
      <c r="AI41" s="33"/>
      <c r="AM41" s="33"/>
      <c r="AN41" s="33"/>
      <c r="AQ41" s="33"/>
      <c r="AR41" s="33"/>
      <c r="AT41" s="33"/>
    </row>
    <row r="42" spans="1:46" x14ac:dyDescent="0.25">
      <c r="A42" s="28"/>
      <c r="D42" s="29"/>
      <c r="E42" s="29"/>
      <c r="F42" s="29"/>
      <c r="G42" s="29"/>
      <c r="H42" s="29"/>
      <c r="I42" s="29"/>
      <c r="J42" s="29"/>
      <c r="K42" s="29"/>
      <c r="L42" s="32"/>
      <c r="M42" s="32"/>
      <c r="N42" s="32"/>
      <c r="P42" s="33"/>
      <c r="Q42" s="34"/>
      <c r="R42" s="34"/>
      <c r="S42" s="33"/>
      <c r="T42" s="33"/>
      <c r="U42" s="33"/>
      <c r="V42" s="33"/>
      <c r="W42" s="33"/>
      <c r="X42" s="33"/>
      <c r="Y42" s="33"/>
      <c r="Z42" s="33"/>
      <c r="AA42" s="33"/>
      <c r="AB42" s="33"/>
      <c r="AC42" s="33"/>
      <c r="AD42" s="33"/>
      <c r="AE42" s="33"/>
      <c r="AF42" s="33"/>
      <c r="AG42" s="33"/>
      <c r="AH42" s="33"/>
      <c r="AI42" s="33"/>
      <c r="AM42" s="33"/>
      <c r="AN42" s="33"/>
      <c r="AQ42" s="29"/>
      <c r="AR42" s="29"/>
      <c r="AT42" s="29"/>
    </row>
    <row r="43" spans="1:46" x14ac:dyDescent="0.25">
      <c r="A43" s="28"/>
      <c r="D43" s="29"/>
      <c r="E43" s="29"/>
      <c r="F43" s="29"/>
      <c r="G43" s="29"/>
      <c r="H43" s="29"/>
      <c r="I43" s="29"/>
      <c r="J43" s="29"/>
      <c r="K43" s="29"/>
      <c r="L43" s="32"/>
      <c r="M43" s="32"/>
      <c r="N43" s="32"/>
      <c r="P43" s="33"/>
      <c r="Q43" s="34"/>
      <c r="R43" s="34"/>
      <c r="S43" s="33"/>
      <c r="T43" s="33"/>
      <c r="U43" s="33"/>
      <c r="V43" s="33"/>
      <c r="W43" s="33"/>
      <c r="X43" s="33"/>
      <c r="Y43" s="33"/>
      <c r="Z43" s="33"/>
      <c r="AA43" s="33"/>
      <c r="AB43" s="33"/>
      <c r="AC43" s="33"/>
      <c r="AD43" s="33"/>
      <c r="AE43" s="33"/>
      <c r="AF43" s="33"/>
      <c r="AG43" s="33"/>
      <c r="AH43" s="33"/>
      <c r="AI43" s="33"/>
      <c r="AM43" s="33"/>
      <c r="AN43" s="33"/>
      <c r="AQ43" s="33"/>
      <c r="AR43" s="33"/>
      <c r="AT43" s="33"/>
    </row>
    <row r="44" spans="1:46" x14ac:dyDescent="0.25">
      <c r="A44" s="28"/>
      <c r="D44" s="29"/>
      <c r="E44" s="29"/>
      <c r="F44" s="29"/>
      <c r="G44" s="29"/>
      <c r="H44" s="29"/>
      <c r="I44" s="29"/>
      <c r="J44" s="29"/>
      <c r="K44" s="29"/>
      <c r="L44" s="32"/>
      <c r="M44" s="32"/>
      <c r="N44" s="32"/>
      <c r="P44" s="33"/>
      <c r="Q44" s="34"/>
      <c r="R44" s="34"/>
      <c r="S44" s="33"/>
      <c r="T44" s="33"/>
      <c r="U44" s="33"/>
      <c r="V44" s="33"/>
      <c r="W44" s="33"/>
      <c r="X44" s="33"/>
      <c r="Y44" s="33"/>
      <c r="Z44" s="33"/>
      <c r="AA44" s="33"/>
      <c r="AB44" s="33"/>
      <c r="AC44" s="33"/>
      <c r="AD44" s="33"/>
      <c r="AE44" s="33"/>
      <c r="AF44" s="33"/>
      <c r="AG44" s="33"/>
      <c r="AH44" s="33"/>
      <c r="AI44" s="33"/>
      <c r="AM44" s="33"/>
      <c r="AN44" s="33"/>
      <c r="AQ44" s="29"/>
      <c r="AR44" s="29"/>
      <c r="AT44" s="29"/>
    </row>
    <row r="45" spans="1:46" x14ac:dyDescent="0.25">
      <c r="A45" s="28"/>
      <c r="D45" s="29"/>
      <c r="E45" s="29"/>
      <c r="F45" s="29"/>
      <c r="G45" s="29"/>
      <c r="H45" s="29"/>
      <c r="I45" s="29"/>
      <c r="J45" s="29"/>
      <c r="K45" s="29"/>
      <c r="L45" s="32"/>
      <c r="M45" s="32"/>
      <c r="N45" s="32"/>
      <c r="P45" s="33"/>
      <c r="Q45" s="34"/>
      <c r="R45" s="34"/>
      <c r="S45" s="33"/>
      <c r="T45" s="33"/>
      <c r="U45" s="33"/>
      <c r="V45" s="33"/>
      <c r="W45" s="33"/>
      <c r="X45" s="33"/>
      <c r="Y45" s="33"/>
      <c r="Z45" s="33"/>
      <c r="AA45" s="33"/>
      <c r="AB45" s="33"/>
      <c r="AC45" s="33"/>
      <c r="AD45" s="33"/>
      <c r="AE45" s="33"/>
      <c r="AF45" s="33"/>
      <c r="AG45" s="33"/>
      <c r="AH45" s="33"/>
      <c r="AI45" s="33"/>
      <c r="AM45" s="33"/>
      <c r="AN45" s="33"/>
      <c r="AQ45" s="33"/>
      <c r="AR45" s="33"/>
      <c r="AT45" s="33"/>
    </row>
    <row r="46" spans="1:46" x14ac:dyDescent="0.25">
      <c r="A46" s="28"/>
      <c r="D46" s="29"/>
      <c r="E46" s="29"/>
      <c r="F46" s="29"/>
      <c r="G46" s="29"/>
      <c r="H46" s="29"/>
      <c r="I46" s="29"/>
      <c r="J46" s="29"/>
      <c r="K46" s="29"/>
      <c r="L46" s="32"/>
      <c r="M46" s="32"/>
      <c r="N46" s="32"/>
      <c r="P46" s="33"/>
      <c r="Q46" s="34"/>
      <c r="R46" s="34"/>
      <c r="S46" s="33"/>
      <c r="T46" s="33"/>
      <c r="U46" s="33"/>
      <c r="V46" s="33"/>
      <c r="W46" s="33"/>
      <c r="X46" s="33"/>
      <c r="Y46" s="33"/>
      <c r="Z46" s="33"/>
      <c r="AA46" s="33"/>
      <c r="AB46" s="33"/>
      <c r="AC46" s="33"/>
      <c r="AD46" s="33"/>
      <c r="AE46" s="33"/>
      <c r="AF46" s="33"/>
      <c r="AG46" s="33"/>
      <c r="AH46" s="33"/>
      <c r="AI46" s="33"/>
      <c r="AM46" s="33"/>
      <c r="AN46" s="33"/>
      <c r="AQ46" s="29"/>
      <c r="AR46" s="29"/>
      <c r="AT46" s="29"/>
    </row>
    <row r="47" spans="1:46" x14ac:dyDescent="0.25">
      <c r="A47" s="28"/>
      <c r="D47" s="29"/>
      <c r="E47" s="29"/>
      <c r="F47" s="29"/>
      <c r="G47" s="29"/>
      <c r="H47" s="29"/>
      <c r="I47" s="29"/>
      <c r="J47" s="29"/>
      <c r="K47" s="29"/>
      <c r="L47" s="32"/>
      <c r="M47" s="32"/>
      <c r="N47" s="32"/>
      <c r="P47" s="33"/>
      <c r="Q47" s="34"/>
      <c r="R47" s="34"/>
      <c r="S47" s="33"/>
      <c r="T47" s="33"/>
      <c r="U47" s="33"/>
      <c r="V47" s="33"/>
      <c r="W47" s="33"/>
      <c r="X47" s="33"/>
      <c r="Y47" s="33"/>
      <c r="Z47" s="33"/>
      <c r="AA47" s="33"/>
      <c r="AB47" s="33"/>
      <c r="AC47" s="33"/>
      <c r="AD47" s="33"/>
      <c r="AE47" s="33"/>
      <c r="AF47" s="33"/>
      <c r="AG47" s="33"/>
      <c r="AH47" s="33"/>
      <c r="AI47" s="33"/>
      <c r="AM47" s="33"/>
      <c r="AN47" s="33"/>
      <c r="AQ47" s="29"/>
      <c r="AR47" s="33"/>
      <c r="AT47" s="33"/>
    </row>
    <row r="48" spans="1:46" x14ac:dyDescent="0.25">
      <c r="A48" s="28"/>
      <c r="D48" s="29"/>
      <c r="E48" s="29"/>
      <c r="F48" s="29"/>
      <c r="G48" s="29"/>
      <c r="H48" s="29"/>
      <c r="I48" s="29"/>
      <c r="J48" s="29"/>
      <c r="K48" s="29"/>
      <c r="L48" s="32"/>
      <c r="M48" s="32"/>
      <c r="N48" s="32"/>
      <c r="P48" s="33"/>
      <c r="Q48" s="34"/>
      <c r="R48" s="34"/>
      <c r="S48" s="33"/>
      <c r="T48" s="33"/>
      <c r="U48" s="33"/>
      <c r="V48" s="33"/>
      <c r="W48" s="33"/>
      <c r="X48" s="33"/>
      <c r="Y48" s="33"/>
      <c r="Z48" s="33"/>
      <c r="AA48" s="33"/>
      <c r="AB48" s="33"/>
      <c r="AC48" s="33"/>
      <c r="AD48" s="33"/>
      <c r="AE48" s="33"/>
      <c r="AF48" s="33"/>
      <c r="AG48" s="33"/>
      <c r="AH48" s="33"/>
      <c r="AI48" s="33"/>
      <c r="AM48" s="33"/>
      <c r="AN48" s="33"/>
      <c r="AQ48" s="29"/>
      <c r="AR48" s="29"/>
      <c r="AT48" s="29"/>
    </row>
    <row r="49" spans="1:46" x14ac:dyDescent="0.25">
      <c r="A49" s="28"/>
      <c r="D49" s="29"/>
      <c r="E49" s="29"/>
      <c r="F49" s="29"/>
      <c r="G49" s="29"/>
      <c r="H49" s="29"/>
      <c r="I49" s="29"/>
      <c r="J49" s="29"/>
      <c r="K49" s="29"/>
      <c r="L49" s="32"/>
      <c r="M49" s="32"/>
      <c r="N49" s="32"/>
      <c r="P49" s="33"/>
      <c r="Q49" s="34"/>
      <c r="R49" s="34"/>
      <c r="S49" s="33"/>
      <c r="T49" s="33"/>
      <c r="U49" s="33"/>
      <c r="V49" s="33"/>
      <c r="W49" s="33"/>
      <c r="X49" s="33"/>
      <c r="Y49" s="33"/>
      <c r="Z49" s="33"/>
      <c r="AA49" s="33"/>
      <c r="AB49" s="33"/>
      <c r="AC49" s="33"/>
      <c r="AD49" s="33"/>
      <c r="AE49" s="33"/>
      <c r="AF49" s="33"/>
      <c r="AG49" s="33"/>
      <c r="AH49" s="33"/>
      <c r="AI49" s="33"/>
      <c r="AM49" s="33"/>
      <c r="AN49" s="33"/>
      <c r="AQ49" s="29"/>
      <c r="AR49" s="33"/>
      <c r="AT49" s="33"/>
    </row>
    <row r="50" spans="1:46" x14ac:dyDescent="0.25">
      <c r="A50" s="28"/>
      <c r="D50" s="29"/>
      <c r="E50" s="29"/>
      <c r="F50" s="29"/>
      <c r="G50" s="29"/>
      <c r="H50" s="29"/>
      <c r="I50" s="29"/>
      <c r="J50" s="29"/>
      <c r="K50" s="29"/>
      <c r="L50" s="32"/>
      <c r="M50" s="32"/>
      <c r="N50" s="32"/>
      <c r="P50" s="33"/>
      <c r="Q50" s="34"/>
      <c r="R50" s="34"/>
      <c r="S50" s="33"/>
      <c r="T50" s="33"/>
      <c r="U50" s="33"/>
      <c r="V50" s="33"/>
      <c r="W50" s="33"/>
      <c r="X50" s="33"/>
      <c r="Y50" s="33"/>
      <c r="Z50" s="33"/>
      <c r="AA50" s="33"/>
      <c r="AB50" s="33"/>
      <c r="AC50" s="33"/>
      <c r="AD50" s="33"/>
      <c r="AE50" s="33"/>
      <c r="AF50" s="33"/>
      <c r="AG50" s="33"/>
      <c r="AH50" s="33"/>
      <c r="AI50" s="33"/>
      <c r="AM50" s="33"/>
      <c r="AN50" s="33"/>
      <c r="AQ50" s="29"/>
      <c r="AR50" s="29"/>
      <c r="AT50" s="29"/>
    </row>
    <row r="51" spans="1:46" x14ac:dyDescent="0.25">
      <c r="A51" s="28"/>
      <c r="D51" s="29"/>
      <c r="E51" s="29"/>
      <c r="F51" s="29"/>
      <c r="G51" s="29"/>
      <c r="H51" s="29"/>
      <c r="I51" s="29"/>
      <c r="J51" s="29"/>
      <c r="K51" s="29"/>
      <c r="L51" s="32"/>
      <c r="M51" s="32"/>
      <c r="N51" s="32"/>
      <c r="P51" s="33"/>
      <c r="Q51" s="34"/>
      <c r="R51" s="34"/>
      <c r="S51" s="33"/>
      <c r="T51" s="33"/>
      <c r="U51" s="33"/>
      <c r="V51" s="33"/>
      <c r="W51" s="33"/>
      <c r="X51" s="33"/>
      <c r="Y51" s="33"/>
      <c r="Z51" s="33"/>
      <c r="AA51" s="33"/>
      <c r="AB51" s="33"/>
      <c r="AC51" s="33"/>
      <c r="AD51" s="33"/>
      <c r="AE51" s="33"/>
      <c r="AF51" s="33"/>
      <c r="AG51" s="33"/>
      <c r="AH51" s="33"/>
      <c r="AI51" s="33"/>
      <c r="AM51" s="33"/>
      <c r="AN51" s="33"/>
      <c r="AQ51" s="29"/>
      <c r="AR51" s="29"/>
      <c r="AT51" s="29"/>
    </row>
    <row r="52" spans="1:46" x14ac:dyDescent="0.25">
      <c r="A52" s="28"/>
      <c r="D52" s="29"/>
      <c r="E52" s="29"/>
      <c r="F52" s="29"/>
      <c r="G52" s="29"/>
      <c r="H52" s="29"/>
      <c r="I52" s="29"/>
      <c r="J52" s="29"/>
      <c r="K52" s="29"/>
      <c r="L52" s="32"/>
      <c r="M52" s="32"/>
      <c r="N52" s="32"/>
      <c r="P52" s="33"/>
      <c r="Q52" s="34"/>
      <c r="R52" s="34"/>
      <c r="S52" s="33"/>
      <c r="T52" s="33"/>
      <c r="U52" s="33"/>
      <c r="V52" s="33"/>
      <c r="W52" s="33"/>
      <c r="X52" s="33"/>
      <c r="Y52" s="33"/>
      <c r="Z52" s="33"/>
      <c r="AA52" s="33"/>
      <c r="AB52" s="33"/>
      <c r="AC52" s="33"/>
      <c r="AD52" s="33"/>
      <c r="AE52" s="33"/>
      <c r="AF52" s="33"/>
      <c r="AG52" s="33"/>
      <c r="AH52" s="33"/>
      <c r="AI52" s="33"/>
      <c r="AM52" s="33"/>
      <c r="AN52" s="33"/>
      <c r="AQ52" s="29"/>
      <c r="AR52" s="29"/>
      <c r="AT52" s="29"/>
    </row>
    <row r="53" spans="1:46" x14ac:dyDescent="0.25">
      <c r="A53" s="28"/>
      <c r="D53" s="29"/>
      <c r="E53" s="29"/>
      <c r="F53" s="29"/>
      <c r="G53" s="29"/>
      <c r="H53" s="29"/>
      <c r="I53" s="29"/>
      <c r="J53" s="29"/>
      <c r="K53" s="29"/>
      <c r="L53" s="32"/>
      <c r="M53" s="32"/>
      <c r="N53" s="32"/>
      <c r="P53" s="33"/>
      <c r="Q53" s="34"/>
      <c r="R53" s="34"/>
      <c r="S53" s="33"/>
      <c r="T53" s="33"/>
      <c r="U53" s="33"/>
      <c r="V53" s="33"/>
      <c r="W53" s="33"/>
      <c r="X53" s="33"/>
      <c r="Y53" s="33"/>
      <c r="Z53" s="33"/>
      <c r="AA53" s="33"/>
      <c r="AB53" s="33"/>
      <c r="AC53" s="33"/>
      <c r="AD53" s="33"/>
      <c r="AE53" s="33"/>
      <c r="AF53" s="33"/>
      <c r="AG53" s="33"/>
      <c r="AH53" s="33"/>
      <c r="AI53" s="33"/>
      <c r="AM53" s="33"/>
      <c r="AN53" s="33"/>
      <c r="AQ53" s="29"/>
      <c r="AR53" s="29"/>
      <c r="AT53" s="29"/>
    </row>
    <row r="54" spans="1:46" x14ac:dyDescent="0.25">
      <c r="A54" s="28"/>
      <c r="D54" s="29"/>
      <c r="E54" s="29"/>
      <c r="F54" s="29"/>
      <c r="G54" s="29"/>
      <c r="H54" s="29"/>
      <c r="I54" s="29"/>
      <c r="J54" s="29"/>
      <c r="K54" s="29"/>
      <c r="L54" s="32"/>
      <c r="M54" s="32"/>
      <c r="N54" s="32"/>
      <c r="P54" s="33"/>
      <c r="Q54" s="34"/>
      <c r="R54" s="34"/>
      <c r="S54" s="33"/>
      <c r="T54" s="33"/>
      <c r="U54" s="33"/>
      <c r="V54" s="33"/>
      <c r="W54" s="33"/>
      <c r="X54" s="33"/>
      <c r="Y54" s="33"/>
      <c r="Z54" s="33"/>
      <c r="AA54" s="33"/>
      <c r="AB54" s="33"/>
      <c r="AC54" s="33"/>
      <c r="AD54" s="33"/>
      <c r="AE54" s="33"/>
      <c r="AF54" s="33"/>
      <c r="AG54" s="33"/>
      <c r="AH54" s="33"/>
      <c r="AI54" s="33"/>
      <c r="AM54" s="33"/>
      <c r="AN54" s="33"/>
      <c r="AQ54" s="29"/>
      <c r="AR54" s="29"/>
      <c r="AT54" s="29"/>
    </row>
    <row r="55" spans="1:46" x14ac:dyDescent="0.25">
      <c r="A55" s="28"/>
      <c r="D55" s="29"/>
      <c r="E55" s="29"/>
      <c r="F55" s="29"/>
      <c r="G55" s="29"/>
      <c r="H55" s="29"/>
      <c r="I55" s="29"/>
      <c r="J55" s="29"/>
      <c r="K55" s="29"/>
      <c r="L55" s="32"/>
      <c r="M55" s="32"/>
      <c r="N55" s="32"/>
      <c r="P55" s="33"/>
      <c r="Q55" s="34"/>
      <c r="R55" s="34"/>
      <c r="S55" s="33"/>
      <c r="T55" s="33"/>
      <c r="U55" s="33"/>
      <c r="V55" s="33"/>
      <c r="W55" s="33"/>
      <c r="X55" s="33"/>
      <c r="Y55" s="33"/>
      <c r="Z55" s="33"/>
      <c r="AA55" s="33"/>
      <c r="AB55" s="33"/>
      <c r="AC55" s="33"/>
      <c r="AD55" s="33"/>
      <c r="AE55" s="33"/>
      <c r="AF55" s="33"/>
      <c r="AG55" s="33"/>
      <c r="AH55" s="33"/>
      <c r="AI55" s="33"/>
      <c r="AM55" s="33"/>
      <c r="AN55" s="33"/>
      <c r="AQ55" s="29"/>
      <c r="AR55" s="29"/>
      <c r="AT55" s="29"/>
    </row>
    <row r="56" spans="1:46" x14ac:dyDescent="0.25">
      <c r="A56" s="28"/>
      <c r="D56" s="29"/>
      <c r="E56" s="29"/>
      <c r="F56" s="29"/>
      <c r="G56" s="29"/>
      <c r="H56" s="29"/>
      <c r="I56" s="29"/>
      <c r="J56" s="29"/>
      <c r="K56" s="29"/>
      <c r="L56" s="32"/>
      <c r="M56" s="32"/>
      <c r="N56" s="32"/>
      <c r="P56" s="33"/>
      <c r="Q56" s="34"/>
      <c r="R56" s="34"/>
      <c r="S56" s="33"/>
      <c r="T56" s="33"/>
      <c r="U56" s="33"/>
      <c r="V56" s="33"/>
      <c r="W56" s="33"/>
      <c r="X56" s="33"/>
      <c r="Y56" s="33"/>
      <c r="Z56" s="33"/>
      <c r="AA56" s="33"/>
      <c r="AB56" s="33"/>
      <c r="AC56" s="33"/>
      <c r="AD56" s="33"/>
      <c r="AE56" s="33"/>
      <c r="AF56" s="33"/>
      <c r="AG56" s="33"/>
      <c r="AH56" s="33"/>
      <c r="AI56" s="33"/>
      <c r="AM56" s="33"/>
      <c r="AN56" s="33"/>
      <c r="AQ56" s="29"/>
      <c r="AR56" s="29"/>
      <c r="AT56" s="29"/>
    </row>
    <row r="57" spans="1:46" x14ac:dyDescent="0.25">
      <c r="A57" s="28"/>
      <c r="D57" s="29"/>
      <c r="E57" s="29"/>
      <c r="F57" s="29"/>
      <c r="G57" s="29"/>
      <c r="H57" s="29"/>
      <c r="I57" s="29"/>
      <c r="J57" s="29"/>
      <c r="K57" s="29"/>
      <c r="L57" s="32"/>
      <c r="M57" s="32"/>
      <c r="N57" s="32"/>
      <c r="P57" s="33"/>
      <c r="Q57" s="34"/>
      <c r="R57" s="34"/>
      <c r="S57" s="33"/>
      <c r="T57" s="33"/>
      <c r="U57" s="33"/>
      <c r="V57" s="33"/>
      <c r="W57" s="33"/>
      <c r="X57" s="33"/>
      <c r="Y57" s="33"/>
      <c r="Z57" s="33"/>
      <c r="AA57" s="33"/>
      <c r="AB57" s="33"/>
      <c r="AC57" s="33"/>
      <c r="AD57" s="33"/>
      <c r="AE57" s="33"/>
      <c r="AF57" s="33"/>
      <c r="AG57" s="33"/>
      <c r="AH57" s="33"/>
      <c r="AI57" s="33"/>
      <c r="AM57" s="33"/>
      <c r="AN57" s="33"/>
      <c r="AQ57" s="29"/>
      <c r="AR57" s="29"/>
      <c r="AT57" s="29"/>
    </row>
    <row r="58" spans="1:46" x14ac:dyDescent="0.25">
      <c r="A58" s="28"/>
      <c r="D58" s="29"/>
      <c r="E58" s="29"/>
      <c r="F58" s="29"/>
      <c r="G58" s="29"/>
      <c r="H58" s="29"/>
      <c r="I58" s="29"/>
      <c r="J58" s="29"/>
      <c r="K58" s="29"/>
      <c r="L58" s="32"/>
      <c r="M58" s="32"/>
      <c r="N58" s="32"/>
      <c r="P58" s="33"/>
      <c r="Q58" s="34"/>
      <c r="R58" s="34"/>
      <c r="S58" s="33"/>
      <c r="T58" s="33"/>
      <c r="U58" s="33"/>
      <c r="V58" s="33"/>
      <c r="W58" s="33"/>
      <c r="X58" s="33"/>
      <c r="Y58" s="33"/>
      <c r="Z58" s="33"/>
      <c r="AA58" s="33"/>
      <c r="AB58" s="33"/>
      <c r="AC58" s="33"/>
      <c r="AD58" s="33"/>
      <c r="AE58" s="33"/>
      <c r="AF58" s="33"/>
      <c r="AG58" s="33"/>
      <c r="AH58" s="33"/>
      <c r="AI58" s="33"/>
      <c r="AM58" s="33"/>
      <c r="AN58" s="33"/>
      <c r="AQ58" s="29"/>
      <c r="AR58" s="29"/>
      <c r="AT58" s="29"/>
    </row>
    <row r="59" spans="1:46" x14ac:dyDescent="0.25">
      <c r="A59" s="28"/>
      <c r="D59" s="29"/>
      <c r="E59" s="29"/>
      <c r="F59" s="29"/>
      <c r="G59" s="29"/>
      <c r="H59" s="29"/>
      <c r="I59" s="29"/>
      <c r="J59" s="29"/>
      <c r="K59" s="29"/>
      <c r="L59" s="32"/>
      <c r="M59" s="32"/>
      <c r="N59" s="32"/>
      <c r="P59" s="33"/>
      <c r="Q59" s="34"/>
      <c r="R59" s="34"/>
      <c r="S59" s="33"/>
      <c r="T59" s="33"/>
      <c r="U59" s="33"/>
      <c r="V59" s="33"/>
      <c r="W59" s="33"/>
      <c r="X59" s="33"/>
      <c r="Y59" s="33"/>
      <c r="Z59" s="33"/>
      <c r="AA59" s="33"/>
      <c r="AB59" s="33"/>
      <c r="AC59" s="33"/>
      <c r="AD59" s="33"/>
      <c r="AE59" s="33"/>
      <c r="AF59" s="33"/>
      <c r="AG59" s="33"/>
      <c r="AH59" s="33"/>
      <c r="AI59" s="33"/>
      <c r="AM59" s="33"/>
      <c r="AN59" s="33"/>
      <c r="AQ59" s="29"/>
      <c r="AR59" s="29"/>
      <c r="AT59" s="29"/>
    </row>
    <row r="60" spans="1:46" x14ac:dyDescent="0.25">
      <c r="A60" s="28"/>
      <c r="D60" s="29"/>
      <c r="E60" s="29"/>
      <c r="F60" s="29"/>
      <c r="G60" s="29"/>
      <c r="H60" s="29"/>
      <c r="I60" s="29"/>
      <c r="J60" s="29"/>
      <c r="K60" s="29"/>
      <c r="L60" s="32"/>
      <c r="M60" s="32"/>
      <c r="N60" s="32"/>
      <c r="P60" s="33"/>
      <c r="Q60" s="34"/>
      <c r="R60" s="34"/>
      <c r="S60" s="33"/>
      <c r="T60" s="33"/>
      <c r="U60" s="33"/>
      <c r="V60" s="33"/>
      <c r="W60" s="33"/>
      <c r="X60" s="33"/>
      <c r="Y60" s="33"/>
      <c r="Z60" s="33"/>
      <c r="AA60" s="33"/>
      <c r="AB60" s="33"/>
      <c r="AC60" s="33"/>
      <c r="AD60" s="33"/>
      <c r="AE60" s="33"/>
      <c r="AF60" s="33"/>
      <c r="AG60" s="33"/>
      <c r="AH60" s="33"/>
      <c r="AI60" s="33"/>
      <c r="AM60" s="33"/>
      <c r="AN60" s="33"/>
      <c r="AQ60" s="29"/>
      <c r="AR60" s="29"/>
      <c r="AT60" s="29"/>
    </row>
    <row r="61" spans="1:46" x14ac:dyDescent="0.25">
      <c r="A61" s="28"/>
      <c r="D61" s="29"/>
      <c r="E61" s="29"/>
      <c r="F61" s="29"/>
      <c r="G61" s="29"/>
      <c r="H61" s="29"/>
      <c r="I61" s="29"/>
      <c r="J61" s="29"/>
      <c r="K61" s="29"/>
      <c r="L61" s="32"/>
      <c r="M61" s="32"/>
      <c r="N61" s="32"/>
      <c r="P61" s="33"/>
      <c r="Q61" s="34"/>
      <c r="R61" s="34"/>
      <c r="S61" s="33"/>
      <c r="T61" s="33"/>
      <c r="U61" s="33"/>
      <c r="V61" s="33"/>
      <c r="W61" s="33"/>
      <c r="X61" s="33"/>
      <c r="Y61" s="33"/>
      <c r="Z61" s="33"/>
      <c r="AA61" s="33"/>
      <c r="AB61" s="33"/>
      <c r="AC61" s="33"/>
      <c r="AD61" s="33"/>
      <c r="AE61" s="33"/>
      <c r="AF61" s="33"/>
      <c r="AG61" s="33"/>
      <c r="AH61" s="33"/>
      <c r="AI61" s="33"/>
      <c r="AM61" s="33"/>
      <c r="AN61" s="33"/>
      <c r="AQ61" s="29"/>
      <c r="AR61" s="29"/>
      <c r="AT61" s="29"/>
    </row>
    <row r="62" spans="1:46" x14ac:dyDescent="0.25">
      <c r="A62" s="28"/>
      <c r="D62" s="29"/>
      <c r="E62" s="29"/>
      <c r="F62" s="29"/>
      <c r="G62" s="29"/>
      <c r="H62" s="29"/>
      <c r="I62" s="29"/>
      <c r="J62" s="29"/>
      <c r="K62" s="29"/>
      <c r="L62" s="32"/>
      <c r="M62" s="32"/>
      <c r="N62" s="32"/>
      <c r="P62" s="33"/>
      <c r="Q62" s="34"/>
      <c r="R62" s="34"/>
      <c r="S62" s="33"/>
      <c r="T62" s="33"/>
      <c r="U62" s="33"/>
      <c r="V62" s="33"/>
      <c r="W62" s="33"/>
      <c r="X62" s="33"/>
      <c r="Y62" s="33"/>
      <c r="Z62" s="33"/>
      <c r="AA62" s="33"/>
      <c r="AB62" s="33"/>
      <c r="AC62" s="33"/>
      <c r="AD62" s="33"/>
      <c r="AE62" s="33"/>
      <c r="AF62" s="33"/>
      <c r="AG62" s="33"/>
      <c r="AH62" s="33"/>
      <c r="AI62" s="33"/>
      <c r="AM62" s="33"/>
      <c r="AN62" s="33"/>
      <c r="AQ62" s="29"/>
      <c r="AR62" s="29"/>
      <c r="AT62" s="29"/>
    </row>
    <row r="63" spans="1:46" x14ac:dyDescent="0.25">
      <c r="A63" s="28"/>
      <c r="D63" s="29"/>
      <c r="E63" s="29"/>
      <c r="F63" s="29"/>
      <c r="G63" s="29"/>
      <c r="H63" s="29"/>
      <c r="I63" s="29"/>
      <c r="J63" s="29"/>
      <c r="K63" s="29"/>
      <c r="L63" s="32"/>
      <c r="M63" s="32"/>
      <c r="N63" s="32"/>
      <c r="P63" s="33"/>
      <c r="Q63" s="34"/>
      <c r="R63" s="34"/>
      <c r="S63" s="33"/>
      <c r="T63" s="33"/>
      <c r="U63" s="33"/>
      <c r="V63" s="33"/>
      <c r="W63" s="33"/>
      <c r="X63" s="33"/>
      <c r="Y63" s="33"/>
      <c r="Z63" s="33"/>
      <c r="AA63" s="33"/>
      <c r="AB63" s="33"/>
      <c r="AC63" s="33"/>
      <c r="AD63" s="33"/>
      <c r="AE63" s="33"/>
      <c r="AF63" s="33"/>
      <c r="AG63" s="33"/>
      <c r="AH63" s="33"/>
      <c r="AI63" s="33"/>
      <c r="AM63" s="33"/>
      <c r="AN63" s="33"/>
      <c r="AQ63" s="29"/>
      <c r="AR63" s="29"/>
      <c r="AT63" s="29"/>
    </row>
    <row r="64" spans="1:46" x14ac:dyDescent="0.25">
      <c r="A64" s="28"/>
      <c r="D64" s="29"/>
      <c r="E64" s="29"/>
      <c r="F64" s="29"/>
      <c r="G64" s="29"/>
      <c r="H64" s="29"/>
      <c r="I64" s="29"/>
      <c r="J64" s="29"/>
      <c r="K64" s="29"/>
      <c r="L64" s="32"/>
      <c r="M64" s="32"/>
      <c r="N64" s="32"/>
      <c r="P64" s="33"/>
      <c r="Q64" s="34"/>
      <c r="R64" s="34"/>
      <c r="S64" s="33"/>
      <c r="T64" s="33"/>
      <c r="U64" s="33"/>
      <c r="V64" s="33"/>
      <c r="W64" s="33"/>
      <c r="X64" s="33"/>
      <c r="Y64" s="33"/>
      <c r="Z64" s="33"/>
      <c r="AA64" s="33"/>
      <c r="AB64" s="33"/>
      <c r="AC64" s="33"/>
      <c r="AD64" s="33"/>
      <c r="AE64" s="33"/>
      <c r="AF64" s="33"/>
      <c r="AG64" s="33"/>
      <c r="AH64" s="33"/>
      <c r="AI64" s="33"/>
      <c r="AM64" s="33"/>
      <c r="AN64" s="33"/>
      <c r="AQ64" s="29"/>
      <c r="AR64" s="29"/>
      <c r="AT64" s="29"/>
    </row>
    <row r="65" spans="1:46" x14ac:dyDescent="0.25">
      <c r="A65" s="28"/>
      <c r="D65" s="29"/>
      <c r="E65" s="29"/>
      <c r="F65" s="29"/>
      <c r="G65" s="29"/>
      <c r="H65" s="29"/>
      <c r="I65" s="29"/>
      <c r="J65" s="29"/>
      <c r="K65" s="29"/>
      <c r="L65" s="32"/>
      <c r="M65" s="32"/>
      <c r="N65" s="32"/>
      <c r="P65" s="33"/>
      <c r="Q65" s="34"/>
      <c r="R65" s="34"/>
      <c r="S65" s="33"/>
      <c r="T65" s="33"/>
      <c r="U65" s="33"/>
      <c r="V65" s="33"/>
      <c r="W65" s="33"/>
      <c r="X65" s="33"/>
      <c r="Y65" s="33"/>
      <c r="Z65" s="33"/>
      <c r="AA65" s="33"/>
      <c r="AB65" s="33"/>
      <c r="AC65" s="33"/>
      <c r="AD65" s="33"/>
      <c r="AE65" s="33"/>
      <c r="AF65" s="33"/>
      <c r="AG65" s="33"/>
      <c r="AH65" s="33"/>
      <c r="AI65" s="33"/>
      <c r="AM65" s="33"/>
      <c r="AN65" s="33"/>
      <c r="AQ65" s="29"/>
      <c r="AR65" s="29"/>
      <c r="AT65" s="29"/>
    </row>
    <row r="66" spans="1:46" x14ac:dyDescent="0.25">
      <c r="A66" s="28"/>
      <c r="D66" s="29"/>
      <c r="E66" s="29"/>
      <c r="F66" s="29"/>
      <c r="G66" s="29"/>
      <c r="H66" s="29"/>
      <c r="I66" s="29"/>
      <c r="J66" s="29"/>
      <c r="K66" s="29"/>
      <c r="L66" s="32"/>
      <c r="M66" s="32"/>
      <c r="N66" s="32"/>
      <c r="P66" s="33"/>
      <c r="Q66" s="34"/>
      <c r="R66" s="34"/>
      <c r="S66" s="33"/>
      <c r="T66" s="33"/>
      <c r="U66" s="33"/>
      <c r="V66" s="33"/>
      <c r="W66" s="33"/>
      <c r="X66" s="33"/>
      <c r="Y66" s="33"/>
      <c r="Z66" s="33"/>
      <c r="AA66" s="33"/>
      <c r="AB66" s="33"/>
      <c r="AC66" s="33"/>
      <c r="AD66" s="33"/>
      <c r="AE66" s="33"/>
      <c r="AF66" s="33"/>
      <c r="AG66" s="33"/>
      <c r="AH66" s="33"/>
      <c r="AI66" s="33"/>
      <c r="AM66" s="33"/>
      <c r="AN66" s="33"/>
      <c r="AQ66" s="29"/>
      <c r="AR66" s="29"/>
      <c r="AT66" s="29"/>
    </row>
    <row r="67" spans="1:46" x14ac:dyDescent="0.25">
      <c r="A67" s="28"/>
      <c r="D67" s="29"/>
      <c r="E67" s="29"/>
      <c r="F67" s="29"/>
      <c r="G67" s="29"/>
      <c r="H67" s="29"/>
      <c r="I67" s="29"/>
      <c r="J67" s="29"/>
      <c r="K67" s="29"/>
      <c r="L67" s="32"/>
      <c r="M67" s="32"/>
      <c r="N67" s="32"/>
      <c r="P67" s="33"/>
      <c r="Q67" s="34"/>
      <c r="R67" s="34"/>
      <c r="S67" s="33"/>
      <c r="T67" s="33"/>
      <c r="U67" s="33"/>
      <c r="V67" s="33"/>
      <c r="W67" s="33"/>
      <c r="X67" s="33"/>
      <c r="Y67" s="33"/>
      <c r="Z67" s="33"/>
      <c r="AA67" s="33"/>
      <c r="AB67" s="33"/>
      <c r="AC67" s="33"/>
      <c r="AD67" s="33"/>
      <c r="AE67" s="33"/>
      <c r="AF67" s="33"/>
      <c r="AG67" s="33"/>
      <c r="AH67" s="33"/>
      <c r="AI67" s="33"/>
      <c r="AM67" s="33"/>
      <c r="AN67" s="33"/>
      <c r="AQ67" s="29"/>
      <c r="AR67" s="29"/>
      <c r="AT67" s="29"/>
    </row>
    <row r="68" spans="1:46" x14ac:dyDescent="0.25">
      <c r="A68" s="28"/>
      <c r="D68" s="29"/>
      <c r="E68" s="29"/>
      <c r="F68" s="29"/>
      <c r="G68" s="29"/>
      <c r="H68" s="29"/>
      <c r="I68" s="29"/>
      <c r="J68" s="29"/>
      <c r="K68" s="29"/>
      <c r="L68" s="32"/>
      <c r="M68" s="32"/>
      <c r="N68" s="32"/>
      <c r="P68" s="33"/>
      <c r="Q68" s="34"/>
      <c r="R68" s="34"/>
      <c r="S68" s="33"/>
      <c r="T68" s="33"/>
      <c r="U68" s="33"/>
      <c r="V68" s="33"/>
      <c r="W68" s="33"/>
      <c r="X68" s="33"/>
      <c r="Y68" s="33"/>
      <c r="Z68" s="33"/>
      <c r="AA68" s="33"/>
      <c r="AB68" s="33"/>
      <c r="AC68" s="33"/>
      <c r="AD68" s="33"/>
      <c r="AE68" s="33"/>
      <c r="AF68" s="33"/>
      <c r="AG68" s="33"/>
      <c r="AH68" s="33"/>
      <c r="AI68" s="33"/>
      <c r="AM68" s="33"/>
      <c r="AN68" s="33"/>
      <c r="AQ68" s="29"/>
      <c r="AR68" s="29"/>
      <c r="AT68" s="29"/>
    </row>
    <row r="69" spans="1:46" x14ac:dyDescent="0.25">
      <c r="A69" s="28"/>
      <c r="D69" s="29"/>
      <c r="E69" s="29"/>
      <c r="F69" s="29"/>
      <c r="G69" s="29"/>
      <c r="H69" s="29"/>
      <c r="I69" s="29"/>
      <c r="J69" s="29"/>
      <c r="K69" s="29"/>
      <c r="L69" s="32"/>
      <c r="M69" s="32"/>
      <c r="N69" s="32"/>
      <c r="P69" s="33"/>
      <c r="Q69" s="34"/>
      <c r="R69" s="34"/>
      <c r="S69" s="33"/>
      <c r="T69" s="33"/>
      <c r="U69" s="33"/>
      <c r="V69" s="33"/>
      <c r="W69" s="33"/>
      <c r="X69" s="33"/>
      <c r="Y69" s="33"/>
      <c r="Z69" s="33"/>
      <c r="AA69" s="33"/>
      <c r="AB69" s="33"/>
      <c r="AC69" s="33"/>
      <c r="AD69" s="33"/>
      <c r="AE69" s="33"/>
      <c r="AF69" s="33"/>
      <c r="AG69" s="33"/>
      <c r="AH69" s="33"/>
      <c r="AI69" s="33"/>
      <c r="AM69" s="33"/>
      <c r="AN69" s="33"/>
      <c r="AQ69" s="29"/>
      <c r="AR69" s="29"/>
      <c r="AT69" s="29"/>
    </row>
    <row r="70" spans="1:46" x14ac:dyDescent="0.25">
      <c r="A70" s="28"/>
      <c r="D70" s="29"/>
      <c r="E70" s="29"/>
      <c r="F70" s="29"/>
      <c r="G70" s="29"/>
      <c r="H70" s="29"/>
      <c r="I70" s="29"/>
      <c r="J70" s="29"/>
      <c r="K70" s="29"/>
      <c r="L70" s="32"/>
      <c r="M70" s="32"/>
      <c r="N70" s="32"/>
      <c r="P70" s="33"/>
      <c r="Q70" s="34"/>
      <c r="R70" s="34"/>
      <c r="S70" s="33"/>
      <c r="T70" s="33"/>
      <c r="U70" s="33"/>
      <c r="V70" s="33"/>
      <c r="W70" s="33"/>
      <c r="X70" s="33"/>
      <c r="Y70" s="33"/>
      <c r="Z70" s="33"/>
      <c r="AA70" s="33"/>
      <c r="AB70" s="33"/>
      <c r="AC70" s="33"/>
      <c r="AD70" s="33"/>
      <c r="AE70" s="33"/>
      <c r="AF70" s="33"/>
      <c r="AG70" s="33"/>
      <c r="AH70" s="33"/>
      <c r="AI70" s="33"/>
      <c r="AM70" s="33"/>
      <c r="AN70" s="33"/>
      <c r="AQ70" s="29"/>
      <c r="AR70" s="29"/>
      <c r="AT70" s="29"/>
    </row>
    <row r="71" spans="1:46" x14ac:dyDescent="0.25">
      <c r="A71" s="28"/>
      <c r="D71" s="29"/>
      <c r="E71" s="29"/>
      <c r="F71" s="29"/>
      <c r="G71" s="29"/>
      <c r="H71" s="29"/>
      <c r="I71" s="29"/>
      <c r="J71" s="29"/>
      <c r="K71" s="29"/>
      <c r="L71" s="32"/>
      <c r="M71" s="32"/>
      <c r="N71" s="32"/>
      <c r="P71" s="33"/>
      <c r="Q71" s="34"/>
      <c r="R71" s="34"/>
      <c r="S71" s="33"/>
      <c r="T71" s="33"/>
      <c r="U71" s="33"/>
      <c r="V71" s="33"/>
      <c r="W71" s="33"/>
      <c r="X71" s="33"/>
      <c r="Y71" s="33"/>
      <c r="Z71" s="33"/>
      <c r="AA71" s="33"/>
      <c r="AB71" s="33"/>
      <c r="AC71" s="33"/>
      <c r="AD71" s="33"/>
      <c r="AE71" s="33"/>
      <c r="AF71" s="33"/>
      <c r="AG71" s="33"/>
      <c r="AH71" s="33"/>
      <c r="AI71" s="33"/>
      <c r="AM71" s="33"/>
      <c r="AN71" s="33"/>
      <c r="AQ71" s="29"/>
      <c r="AR71" s="29"/>
      <c r="AT71" s="29"/>
    </row>
    <row r="72" spans="1:46" x14ac:dyDescent="0.25">
      <c r="A72" s="28"/>
      <c r="D72" s="29"/>
      <c r="E72" s="29"/>
      <c r="F72" s="29"/>
      <c r="G72" s="29"/>
      <c r="H72" s="29"/>
      <c r="I72" s="29"/>
      <c r="J72" s="29"/>
      <c r="K72" s="29"/>
      <c r="L72" s="32"/>
      <c r="M72" s="32"/>
      <c r="N72" s="32"/>
      <c r="P72" s="33"/>
      <c r="Q72" s="34"/>
      <c r="R72" s="34"/>
      <c r="S72" s="33"/>
      <c r="T72" s="33"/>
      <c r="U72" s="33"/>
      <c r="V72" s="33"/>
      <c r="W72" s="33"/>
      <c r="X72" s="33"/>
      <c r="Y72" s="33"/>
      <c r="Z72" s="33"/>
      <c r="AA72" s="33"/>
      <c r="AB72" s="33"/>
      <c r="AC72" s="33"/>
      <c r="AD72" s="33"/>
      <c r="AE72" s="33"/>
      <c r="AF72" s="33"/>
      <c r="AG72" s="33"/>
      <c r="AH72" s="33"/>
      <c r="AI72" s="33"/>
      <c r="AM72" s="33"/>
      <c r="AN72" s="33"/>
      <c r="AQ72" s="29"/>
      <c r="AR72" s="29"/>
      <c r="AT72" s="29"/>
    </row>
    <row r="73" spans="1:46" x14ac:dyDescent="0.25">
      <c r="A73" s="28"/>
      <c r="D73" s="29"/>
      <c r="E73" s="29"/>
      <c r="F73" s="29"/>
      <c r="G73" s="29"/>
      <c r="H73" s="29"/>
      <c r="I73" s="29"/>
      <c r="J73" s="29"/>
      <c r="K73" s="29"/>
      <c r="L73" s="32"/>
      <c r="M73" s="32"/>
      <c r="N73" s="32"/>
      <c r="P73" s="33"/>
      <c r="Q73" s="34"/>
      <c r="R73" s="34"/>
      <c r="S73" s="33"/>
      <c r="T73" s="33"/>
      <c r="U73" s="33"/>
      <c r="V73" s="33"/>
      <c r="W73" s="33"/>
      <c r="X73" s="33"/>
      <c r="Y73" s="33"/>
      <c r="Z73" s="33"/>
      <c r="AA73" s="33"/>
      <c r="AB73" s="33"/>
      <c r="AC73" s="33"/>
      <c r="AD73" s="33"/>
      <c r="AE73" s="33"/>
      <c r="AF73" s="33"/>
      <c r="AG73" s="33"/>
      <c r="AH73" s="33"/>
      <c r="AI73" s="33"/>
      <c r="AM73" s="33"/>
      <c r="AN73" s="33"/>
      <c r="AQ73" s="29"/>
      <c r="AR73" s="29"/>
      <c r="AT73" s="29"/>
    </row>
    <row r="74" spans="1:46" x14ac:dyDescent="0.25">
      <c r="A74" s="28"/>
      <c r="D74" s="29"/>
      <c r="E74" s="29"/>
      <c r="F74" s="29"/>
      <c r="G74" s="29"/>
      <c r="H74" s="29"/>
      <c r="I74" s="29"/>
      <c r="J74" s="29"/>
      <c r="K74" s="29"/>
      <c r="L74" s="32"/>
      <c r="M74" s="32"/>
      <c r="N74" s="32"/>
      <c r="P74" s="33"/>
      <c r="Q74" s="34"/>
      <c r="R74" s="34"/>
      <c r="S74" s="33"/>
      <c r="T74" s="33"/>
      <c r="U74" s="33"/>
      <c r="V74" s="33"/>
      <c r="W74" s="33"/>
      <c r="X74" s="33"/>
      <c r="Y74" s="33"/>
      <c r="Z74" s="33"/>
      <c r="AA74" s="33"/>
      <c r="AB74" s="33"/>
      <c r="AC74" s="33"/>
      <c r="AD74" s="33"/>
      <c r="AE74" s="33"/>
      <c r="AF74" s="33"/>
      <c r="AG74" s="33"/>
      <c r="AH74" s="33"/>
      <c r="AI74" s="33"/>
      <c r="AM74" s="33"/>
      <c r="AN74" s="33"/>
      <c r="AQ74" s="29"/>
      <c r="AR74" s="29"/>
      <c r="AT74" s="29"/>
    </row>
    <row r="75" spans="1:46" x14ac:dyDescent="0.25">
      <c r="A75" s="28"/>
      <c r="D75" s="29"/>
      <c r="E75" s="29"/>
      <c r="F75" s="29"/>
      <c r="G75" s="29"/>
      <c r="H75" s="29"/>
      <c r="I75" s="29"/>
      <c r="J75" s="29"/>
      <c r="K75" s="29"/>
      <c r="L75" s="32"/>
      <c r="M75" s="32"/>
      <c r="N75" s="32"/>
      <c r="P75" s="33"/>
      <c r="Q75" s="34"/>
      <c r="R75" s="34"/>
      <c r="S75" s="33"/>
      <c r="T75" s="33"/>
      <c r="U75" s="33"/>
      <c r="V75" s="33"/>
      <c r="W75" s="33"/>
      <c r="X75" s="33"/>
      <c r="Y75" s="33"/>
      <c r="Z75" s="33"/>
      <c r="AA75" s="33"/>
      <c r="AB75" s="33"/>
      <c r="AC75" s="33"/>
      <c r="AD75" s="33"/>
      <c r="AE75" s="33"/>
      <c r="AF75" s="33"/>
      <c r="AG75" s="33"/>
      <c r="AH75" s="33"/>
      <c r="AI75" s="33"/>
      <c r="AM75" s="33"/>
      <c r="AN75" s="33"/>
      <c r="AQ75" s="29"/>
      <c r="AR75" s="29"/>
      <c r="AT75" s="29"/>
    </row>
    <row r="76" spans="1:46" x14ac:dyDescent="0.25">
      <c r="A76" s="28"/>
      <c r="D76" s="29"/>
      <c r="E76" s="29"/>
      <c r="F76" s="29"/>
      <c r="G76" s="29"/>
      <c r="H76" s="29"/>
      <c r="I76" s="29"/>
      <c r="J76" s="29"/>
      <c r="K76" s="29"/>
      <c r="L76" s="32"/>
      <c r="M76" s="32"/>
      <c r="N76" s="32"/>
      <c r="P76" s="33"/>
      <c r="Q76" s="34"/>
      <c r="R76" s="34"/>
      <c r="S76" s="33"/>
      <c r="T76" s="33"/>
      <c r="U76" s="33"/>
      <c r="V76" s="33"/>
      <c r="W76" s="33"/>
      <c r="X76" s="33"/>
      <c r="Y76" s="33"/>
      <c r="Z76" s="33"/>
      <c r="AA76" s="33"/>
      <c r="AB76" s="33"/>
      <c r="AC76" s="33"/>
      <c r="AD76" s="33"/>
      <c r="AE76" s="33"/>
      <c r="AF76" s="33"/>
      <c r="AG76" s="33"/>
      <c r="AH76" s="33"/>
      <c r="AI76" s="33"/>
      <c r="AM76" s="33"/>
      <c r="AN76" s="33"/>
      <c r="AQ76" s="29"/>
      <c r="AR76" s="29"/>
      <c r="AT76" s="29"/>
    </row>
    <row r="77" spans="1:46" x14ac:dyDescent="0.25">
      <c r="A77" s="28"/>
      <c r="D77" s="29"/>
      <c r="E77" s="29"/>
      <c r="F77" s="29"/>
      <c r="G77" s="29"/>
      <c r="H77" s="29"/>
      <c r="I77" s="29"/>
      <c r="J77" s="29"/>
      <c r="K77" s="29"/>
      <c r="L77" s="32"/>
      <c r="M77" s="32"/>
      <c r="N77" s="32"/>
      <c r="P77" s="33"/>
      <c r="Q77" s="34"/>
      <c r="R77" s="34"/>
      <c r="S77" s="33"/>
      <c r="T77" s="33"/>
      <c r="U77" s="33"/>
      <c r="V77" s="33"/>
      <c r="W77" s="33"/>
      <c r="X77" s="33"/>
      <c r="Y77" s="33"/>
      <c r="Z77" s="33"/>
      <c r="AA77" s="33"/>
      <c r="AB77" s="33"/>
      <c r="AC77" s="33"/>
      <c r="AD77" s="33"/>
      <c r="AE77" s="33"/>
      <c r="AF77" s="33"/>
      <c r="AG77" s="33"/>
      <c r="AH77" s="33"/>
      <c r="AI77" s="33"/>
      <c r="AM77" s="33"/>
      <c r="AN77" s="33"/>
      <c r="AQ77" s="29"/>
      <c r="AR77" s="29"/>
      <c r="AT77" s="29"/>
    </row>
    <row r="78" spans="1:46" x14ac:dyDescent="0.25">
      <c r="A78" s="28"/>
      <c r="D78" s="29"/>
      <c r="E78" s="29"/>
      <c r="F78" s="29"/>
      <c r="G78" s="29"/>
      <c r="H78" s="29"/>
      <c r="I78" s="29"/>
      <c r="J78" s="29"/>
      <c r="K78" s="29"/>
      <c r="L78" s="32"/>
      <c r="M78" s="32"/>
      <c r="N78" s="32"/>
      <c r="P78" s="33"/>
      <c r="Q78" s="34"/>
      <c r="R78" s="34"/>
      <c r="S78" s="33"/>
      <c r="T78" s="33"/>
      <c r="U78" s="33"/>
      <c r="V78" s="33"/>
      <c r="W78" s="33"/>
      <c r="X78" s="33"/>
      <c r="Y78" s="33"/>
      <c r="Z78" s="33"/>
      <c r="AA78" s="33"/>
      <c r="AB78" s="33"/>
      <c r="AC78" s="33"/>
      <c r="AD78" s="33"/>
      <c r="AE78" s="33"/>
      <c r="AF78" s="33"/>
      <c r="AG78" s="33"/>
      <c r="AH78" s="33"/>
      <c r="AI78" s="33"/>
      <c r="AM78" s="33"/>
      <c r="AN78" s="33"/>
      <c r="AQ78" s="29"/>
      <c r="AR78" s="29"/>
      <c r="AT78" s="29"/>
    </row>
    <row r="79" spans="1:46" x14ac:dyDescent="0.25">
      <c r="A79" s="28"/>
      <c r="D79" s="29"/>
      <c r="E79" s="29"/>
      <c r="F79" s="29"/>
      <c r="G79" s="29"/>
      <c r="H79" s="29"/>
      <c r="I79" s="29"/>
      <c r="J79" s="29"/>
      <c r="K79" s="29"/>
      <c r="L79" s="32"/>
      <c r="M79" s="32"/>
      <c r="N79" s="32"/>
      <c r="P79" s="33"/>
      <c r="Q79" s="34"/>
      <c r="R79" s="34"/>
      <c r="S79" s="33"/>
      <c r="T79" s="33"/>
      <c r="U79" s="33"/>
      <c r="V79" s="33"/>
      <c r="W79" s="33"/>
      <c r="X79" s="33"/>
      <c r="Y79" s="33"/>
      <c r="Z79" s="33"/>
      <c r="AA79" s="33"/>
      <c r="AB79" s="33"/>
      <c r="AC79" s="33"/>
      <c r="AD79" s="33"/>
      <c r="AE79" s="33"/>
      <c r="AF79" s="33"/>
      <c r="AG79" s="33"/>
      <c r="AH79" s="33"/>
      <c r="AI79" s="33"/>
      <c r="AM79" s="33"/>
      <c r="AN79" s="33"/>
      <c r="AQ79" s="29"/>
      <c r="AR79" s="29"/>
      <c r="AT79" s="29"/>
    </row>
    <row r="80" spans="1:46" x14ac:dyDescent="0.25">
      <c r="A80" s="28"/>
      <c r="D80" s="29"/>
      <c r="E80" s="29"/>
      <c r="F80" s="29"/>
      <c r="G80" s="29"/>
      <c r="H80" s="29"/>
      <c r="I80" s="29"/>
      <c r="J80" s="29"/>
      <c r="K80" s="29"/>
      <c r="L80" s="32"/>
      <c r="M80" s="32"/>
      <c r="N80" s="32"/>
      <c r="P80" s="33"/>
      <c r="Q80" s="34"/>
      <c r="R80" s="34"/>
      <c r="S80" s="33"/>
      <c r="T80" s="33"/>
      <c r="U80" s="33"/>
      <c r="V80" s="33"/>
      <c r="W80" s="33"/>
      <c r="X80" s="33"/>
      <c r="Y80" s="33"/>
      <c r="Z80" s="33"/>
      <c r="AA80" s="33"/>
      <c r="AB80" s="33"/>
      <c r="AC80" s="33"/>
      <c r="AD80" s="33"/>
      <c r="AE80" s="33"/>
      <c r="AF80" s="33"/>
      <c r="AG80" s="33"/>
      <c r="AH80" s="33"/>
      <c r="AI80" s="33"/>
      <c r="AM80" s="33"/>
      <c r="AN80" s="33"/>
      <c r="AQ80" s="29"/>
      <c r="AR80" s="29"/>
      <c r="AT80" s="29"/>
    </row>
    <row r="81" spans="1:46" x14ac:dyDescent="0.25">
      <c r="A81" s="28"/>
      <c r="D81" s="29"/>
      <c r="E81" s="29"/>
      <c r="F81" s="29"/>
      <c r="G81" s="29"/>
      <c r="H81" s="29"/>
      <c r="I81" s="29"/>
      <c r="J81" s="29"/>
      <c r="K81" s="29"/>
      <c r="L81" s="32"/>
      <c r="M81" s="32"/>
      <c r="N81" s="32"/>
      <c r="P81" s="33"/>
      <c r="Q81" s="34"/>
      <c r="R81" s="34"/>
      <c r="S81" s="33"/>
      <c r="T81" s="33"/>
      <c r="U81" s="33"/>
      <c r="V81" s="33"/>
      <c r="W81" s="33"/>
      <c r="X81" s="33"/>
      <c r="Y81" s="33"/>
      <c r="Z81" s="33"/>
      <c r="AA81" s="33"/>
      <c r="AB81" s="33"/>
      <c r="AC81" s="33"/>
      <c r="AD81" s="33"/>
      <c r="AE81" s="33"/>
      <c r="AF81" s="33"/>
      <c r="AG81" s="33"/>
      <c r="AH81" s="33"/>
      <c r="AI81" s="33"/>
      <c r="AM81" s="33"/>
      <c r="AN81" s="33"/>
      <c r="AQ81" s="29"/>
      <c r="AR81" s="29"/>
      <c r="AT81" s="29"/>
    </row>
    <row r="82" spans="1:46" x14ac:dyDescent="0.25">
      <c r="A82" s="28"/>
      <c r="D82" s="36"/>
      <c r="E82" s="36"/>
      <c r="F82" s="36"/>
      <c r="G82" s="36"/>
      <c r="H82" s="36"/>
      <c r="I82" s="36"/>
      <c r="J82" s="36"/>
      <c r="K82" s="36"/>
      <c r="L82" s="32"/>
      <c r="M82" s="32"/>
      <c r="N82" s="32"/>
      <c r="P82" s="33"/>
      <c r="Q82" s="34"/>
      <c r="R82" s="34"/>
      <c r="S82" s="33"/>
      <c r="T82" s="33"/>
      <c r="U82" s="33"/>
      <c r="V82" s="33"/>
      <c r="W82" s="33"/>
      <c r="X82" s="33"/>
      <c r="Y82" s="33"/>
      <c r="Z82" s="33"/>
      <c r="AA82" s="33"/>
      <c r="AB82" s="33"/>
      <c r="AC82" s="33"/>
      <c r="AD82" s="33"/>
      <c r="AE82" s="33"/>
      <c r="AF82" s="33"/>
      <c r="AG82" s="33"/>
      <c r="AH82" s="33"/>
      <c r="AI82" s="37"/>
      <c r="AM82" s="33"/>
      <c r="AN82" s="33"/>
      <c r="AQ82" s="29"/>
      <c r="AR82" s="29"/>
      <c r="AT82" s="29"/>
    </row>
    <row r="83" spans="1:46" x14ac:dyDescent="0.25">
      <c r="A83" s="28"/>
      <c r="D83" s="30"/>
      <c r="E83" s="30"/>
      <c r="F83" s="30"/>
      <c r="G83" s="30"/>
      <c r="H83" s="30"/>
      <c r="I83" s="30"/>
      <c r="J83" s="30"/>
      <c r="K83" s="30"/>
      <c r="L83" s="30"/>
      <c r="M83" s="32"/>
      <c r="N83" s="32"/>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3"/>
      <c r="AN83" s="33"/>
      <c r="AO83" s="30"/>
      <c r="AP83" s="30"/>
      <c r="AQ83" s="30"/>
      <c r="AR83" s="30"/>
      <c r="AS83" s="30"/>
      <c r="AT83" s="30"/>
    </row>
    <row r="84" spans="1:46" x14ac:dyDescent="0.25">
      <c r="M84" s="30"/>
      <c r="N84" s="30"/>
      <c r="Y84" s="35"/>
      <c r="Z84" s="35"/>
      <c r="AA84" s="35"/>
      <c r="AB84" s="35"/>
      <c r="AC84" s="35"/>
      <c r="AD84" s="35"/>
      <c r="AE84" s="35"/>
      <c r="AF84" s="35"/>
      <c r="AG84" s="35"/>
      <c r="AH84" s="35"/>
      <c r="AM84" s="30"/>
      <c r="AN84" s="30"/>
    </row>
  </sheetData>
  <mergeCells count="16">
    <mergeCell ref="AQ2:AR2"/>
    <mergeCell ref="D3:E3"/>
    <mergeCell ref="G3:H3"/>
    <mergeCell ref="J3:K3"/>
    <mergeCell ref="P3:Q3"/>
    <mergeCell ref="S3:T3"/>
    <mergeCell ref="V3:W3"/>
    <mergeCell ref="D2:K2"/>
    <mergeCell ref="P2:AI2"/>
    <mergeCell ref="AM2:AN2"/>
    <mergeCell ref="AM3:AN3"/>
    <mergeCell ref="AQ3:AR3"/>
    <mergeCell ref="Y3:Z3"/>
    <mergeCell ref="AB3:AC3"/>
    <mergeCell ref="AE3:AF3"/>
    <mergeCell ref="AH3:A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election activeCell="C12" sqref="C12"/>
    </sheetView>
  </sheetViews>
  <sheetFormatPr defaultColWidth="9.140625" defaultRowHeight="15" x14ac:dyDescent="0.25"/>
  <cols>
    <col min="1" max="1" width="54.85546875" style="9" customWidth="1"/>
    <col min="2" max="2" width="18.140625" style="9" customWidth="1"/>
    <col min="3" max="16384" width="9.140625" style="9"/>
  </cols>
  <sheetData>
    <row r="1" spans="1:2" x14ac:dyDescent="0.25">
      <c r="A1" s="157" t="s">
        <v>36</v>
      </c>
      <c r="B1" s="157"/>
    </row>
    <row r="3" spans="1:2" x14ac:dyDescent="0.25">
      <c r="A3" s="9" t="s">
        <v>20</v>
      </c>
      <c r="B3" s="44">
        <f>ScheduleOfAdjustedOperations!E27</f>
        <v>1730405.4298359375</v>
      </c>
    </row>
    <row r="4" spans="1:2" x14ac:dyDescent="0.25">
      <c r="A4" s="9" t="s">
        <v>21</v>
      </c>
      <c r="B4" s="44">
        <f>DebtServiceRequirements!AV16</f>
        <v>209983.75696</v>
      </c>
    </row>
    <row r="5" spans="1:2" x14ac:dyDescent="0.25">
      <c r="A5" s="10" t="s">
        <v>22</v>
      </c>
      <c r="B5" s="44">
        <f>B4*0.2</f>
        <v>41996.751392000006</v>
      </c>
    </row>
    <row r="6" spans="1:2" x14ac:dyDescent="0.25">
      <c r="A6" s="9" t="s">
        <v>23</v>
      </c>
      <c r="B6" s="44">
        <f>SUM(B3:B5)</f>
        <v>1982385.9381879373</v>
      </c>
    </row>
    <row r="7" spans="1:2" x14ac:dyDescent="0.25">
      <c r="A7" s="9" t="s">
        <v>51</v>
      </c>
      <c r="B7" s="44">
        <f>ScheduleOfAdjustedOperations!E16</f>
        <v>54419.75</v>
      </c>
    </row>
    <row r="8" spans="1:2" x14ac:dyDescent="0.25">
      <c r="A8" s="10" t="s">
        <v>24</v>
      </c>
      <c r="B8" s="44">
        <v>0</v>
      </c>
    </row>
    <row r="9" spans="1:2" x14ac:dyDescent="0.25">
      <c r="A9" s="10" t="s">
        <v>25</v>
      </c>
      <c r="B9" s="44">
        <v>830.31</v>
      </c>
    </row>
    <row r="10" spans="1:2" x14ac:dyDescent="0.25">
      <c r="A10" s="9" t="s">
        <v>235</v>
      </c>
      <c r="B10" s="44">
        <f>B6-(B7+B8+B9)</f>
        <v>1927135.8781879372</v>
      </c>
    </row>
    <row r="11" spans="1:2" x14ac:dyDescent="0.25">
      <c r="A11" s="9" t="s">
        <v>236</v>
      </c>
      <c r="B11" s="44">
        <f>ScheduleOfAdjustedOperations!E12</f>
        <v>1292284.73</v>
      </c>
    </row>
    <row r="12" spans="1:2" s="20" customFormat="1" x14ac:dyDescent="0.25">
      <c r="A12" s="20" t="s">
        <v>26</v>
      </c>
      <c r="B12" s="44">
        <f>B10-B11</f>
        <v>634851.14818793721</v>
      </c>
    </row>
    <row r="14" spans="1:2" ht="30" x14ac:dyDescent="0.25">
      <c r="A14" s="11" t="s">
        <v>278</v>
      </c>
      <c r="B14" s="16">
        <f>(B12/ScheduleOfAdjustedOperations!E12)*100</f>
        <v>49.126259364523889</v>
      </c>
    </row>
  </sheetData>
  <mergeCells count="1">
    <mergeCell ref="A1:B1"/>
  </mergeCells>
  <pageMargins left="1.45" right="0.7" top="2"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DFA7-4D6A-40F0-A320-01F1E4355372}">
  <dimension ref="A1:N87"/>
  <sheetViews>
    <sheetView topLeftCell="A44" workbookViewId="0">
      <selection activeCell="F54" sqref="F54"/>
    </sheetView>
  </sheetViews>
  <sheetFormatPr defaultRowHeight="15" x14ac:dyDescent="0.25"/>
  <cols>
    <col min="1" max="2" width="22.5703125" style="20" customWidth="1"/>
    <col min="3" max="3" width="14.42578125" style="20" bestFit="1" customWidth="1"/>
    <col min="4" max="4" width="15" style="20" customWidth="1"/>
    <col min="5" max="6" width="14.42578125" style="20" bestFit="1" customWidth="1"/>
    <col min="7" max="9" width="14.28515625" style="20" bestFit="1" customWidth="1"/>
    <col min="10" max="11" width="12.85546875" style="20" customWidth="1"/>
    <col min="12" max="12" width="11.28515625" style="20" customWidth="1"/>
    <col min="13" max="13" width="12.140625" style="20" customWidth="1"/>
    <col min="14" max="14" width="14.42578125" style="20" customWidth="1"/>
    <col min="15" max="16384" width="9.140625" style="20"/>
  </cols>
  <sheetData>
    <row r="1" spans="1:13" x14ac:dyDescent="0.25">
      <c r="A1" s="6" t="s">
        <v>141</v>
      </c>
      <c r="B1" s="6" t="s">
        <v>142</v>
      </c>
      <c r="C1" s="6" t="s">
        <v>143</v>
      </c>
    </row>
    <row r="2" spans="1:13" x14ac:dyDescent="0.25">
      <c r="A2" s="20" t="s">
        <v>144</v>
      </c>
      <c r="B2" s="104">
        <v>10645300</v>
      </c>
      <c r="C2" s="44">
        <v>1141</v>
      </c>
    </row>
    <row r="3" spans="1:13" x14ac:dyDescent="0.25">
      <c r="A3" s="20" t="s">
        <v>145</v>
      </c>
      <c r="B3" s="44">
        <v>10655900</v>
      </c>
      <c r="C3" s="44">
        <v>1141</v>
      </c>
    </row>
    <row r="4" spans="1:13" x14ac:dyDescent="0.25">
      <c r="A4" s="20" t="s">
        <v>146</v>
      </c>
      <c r="B4" s="44">
        <v>11435900</v>
      </c>
      <c r="C4" s="44">
        <v>1135</v>
      </c>
    </row>
    <row r="5" spans="1:13" x14ac:dyDescent="0.25">
      <c r="A5" s="20" t="s">
        <v>147</v>
      </c>
      <c r="B5" s="44">
        <v>9931000</v>
      </c>
      <c r="C5" s="44">
        <v>1140</v>
      </c>
    </row>
    <row r="6" spans="1:13" x14ac:dyDescent="0.25">
      <c r="A6" s="20" t="s">
        <v>148</v>
      </c>
      <c r="B6" s="44">
        <v>9995900</v>
      </c>
      <c r="C6" s="44">
        <v>1141</v>
      </c>
    </row>
    <row r="7" spans="1:13" x14ac:dyDescent="0.25">
      <c r="A7" s="20" t="s">
        <v>149</v>
      </c>
      <c r="B7" s="44">
        <v>11474600</v>
      </c>
      <c r="C7" s="44">
        <v>1148</v>
      </c>
    </row>
    <row r="8" spans="1:13" x14ac:dyDescent="0.25">
      <c r="A8" s="20" t="s">
        <v>150</v>
      </c>
      <c r="B8" s="44">
        <v>12429300</v>
      </c>
      <c r="C8" s="44">
        <v>1150</v>
      </c>
    </row>
    <row r="9" spans="1:13" x14ac:dyDescent="0.25">
      <c r="A9" s="20" t="s">
        <v>151</v>
      </c>
      <c r="B9" s="44">
        <v>12720000</v>
      </c>
      <c r="C9" s="44">
        <v>1153</v>
      </c>
    </row>
    <row r="10" spans="1:13" x14ac:dyDescent="0.25">
      <c r="A10" s="20" t="s">
        <v>152</v>
      </c>
      <c r="B10" s="44">
        <v>11904600</v>
      </c>
      <c r="C10" s="44">
        <v>1159</v>
      </c>
    </row>
    <row r="11" spans="1:13" x14ac:dyDescent="0.25">
      <c r="A11" s="20" t="s">
        <v>153</v>
      </c>
      <c r="B11" s="44">
        <v>12129300</v>
      </c>
      <c r="C11" s="44">
        <v>1158</v>
      </c>
    </row>
    <row r="12" spans="1:13" x14ac:dyDescent="0.25">
      <c r="A12" s="20" t="s">
        <v>154</v>
      </c>
      <c r="B12" s="44">
        <v>12685300</v>
      </c>
      <c r="C12" s="44">
        <v>1158</v>
      </c>
    </row>
    <row r="13" spans="1:13" x14ac:dyDescent="0.25">
      <c r="A13" s="20" t="s">
        <v>155</v>
      </c>
      <c r="B13" s="44">
        <v>13671000</v>
      </c>
      <c r="C13" s="44">
        <v>1158</v>
      </c>
    </row>
    <row r="14" spans="1:13" x14ac:dyDescent="0.25">
      <c r="B14" s="45">
        <f>SUM(B2:B13)</f>
        <v>139678100</v>
      </c>
      <c r="C14" s="44">
        <f>SUM(C2:C13)</f>
        <v>13782</v>
      </c>
    </row>
    <row r="15" spans="1:13" x14ac:dyDescent="0.25">
      <c r="B15" s="45"/>
      <c r="C15" s="44"/>
    </row>
    <row r="16" spans="1:13" x14ac:dyDescent="0.25">
      <c r="B16" s="157" t="s">
        <v>247</v>
      </c>
      <c r="C16" s="158"/>
      <c r="D16" s="158"/>
      <c r="E16" s="158"/>
      <c r="F16" s="158"/>
      <c r="G16" s="158"/>
      <c r="H16" s="158"/>
      <c r="I16" s="158"/>
      <c r="J16" s="158"/>
      <c r="K16" s="158"/>
      <c r="L16" s="158"/>
      <c r="M16" s="158"/>
    </row>
    <row r="17" spans="1:14" x14ac:dyDescent="0.25">
      <c r="B17" s="6" t="s">
        <v>144</v>
      </c>
      <c r="C17" s="6" t="s">
        <v>145</v>
      </c>
      <c r="D17" s="6" t="s">
        <v>146</v>
      </c>
      <c r="E17" s="6" t="s">
        <v>147</v>
      </c>
      <c r="F17" s="6" t="s">
        <v>148</v>
      </c>
      <c r="G17" s="6" t="s">
        <v>149</v>
      </c>
      <c r="H17" s="6" t="s">
        <v>150</v>
      </c>
      <c r="I17" s="6" t="s">
        <v>151</v>
      </c>
      <c r="J17" s="6" t="s">
        <v>152</v>
      </c>
      <c r="K17" s="6" t="s">
        <v>153</v>
      </c>
      <c r="L17" s="6" t="s">
        <v>154</v>
      </c>
      <c r="M17" s="6" t="s">
        <v>155</v>
      </c>
      <c r="N17" s="6" t="s">
        <v>39</v>
      </c>
    </row>
    <row r="18" spans="1:14" x14ac:dyDescent="0.25">
      <c r="A18" s="20" t="s">
        <v>156</v>
      </c>
      <c r="B18" s="49">
        <v>420600</v>
      </c>
      <c r="C18" s="44">
        <v>469700</v>
      </c>
      <c r="D18" s="44">
        <v>422100</v>
      </c>
      <c r="E18" s="44">
        <v>481000</v>
      </c>
      <c r="F18" s="44">
        <v>466200</v>
      </c>
      <c r="G18" s="44">
        <v>461500</v>
      </c>
      <c r="H18" s="44">
        <v>413900</v>
      </c>
      <c r="I18" s="44">
        <v>381700</v>
      </c>
      <c r="J18" s="44">
        <v>420300</v>
      </c>
      <c r="K18" s="44">
        <v>468400</v>
      </c>
      <c r="L18" s="44">
        <v>456000</v>
      </c>
      <c r="M18" s="44">
        <v>354000</v>
      </c>
      <c r="N18" s="45">
        <f>SUM(B18:M18)</f>
        <v>5215400</v>
      </c>
    </row>
    <row r="19" spans="1:14" x14ac:dyDescent="0.25">
      <c r="A19" s="20" t="s">
        <v>169</v>
      </c>
      <c r="B19" s="45">
        <v>3141100</v>
      </c>
      <c r="C19" s="45">
        <v>2754000</v>
      </c>
      <c r="D19" s="45">
        <v>3055200</v>
      </c>
      <c r="E19" s="45">
        <v>2758800</v>
      </c>
      <c r="F19" s="45">
        <v>3059600</v>
      </c>
      <c r="G19" s="45">
        <v>3102600</v>
      </c>
      <c r="H19" s="45">
        <v>3497500</v>
      </c>
      <c r="I19" s="45">
        <v>3425900</v>
      </c>
      <c r="J19" s="45">
        <v>3267800</v>
      </c>
      <c r="K19" s="45">
        <v>3240400</v>
      </c>
      <c r="L19" s="45">
        <v>2801600</v>
      </c>
      <c r="M19" s="45">
        <v>3624400</v>
      </c>
      <c r="N19" s="45">
        <f t="shared" ref="N19:N21" si="0">SUM(B19:M19)</f>
        <v>37728900</v>
      </c>
    </row>
    <row r="20" spans="1:14" x14ac:dyDescent="0.25">
      <c r="A20" s="20" t="s">
        <v>170</v>
      </c>
      <c r="B20" s="44">
        <v>7083600</v>
      </c>
      <c r="C20" s="44">
        <v>7432200</v>
      </c>
      <c r="D20" s="44">
        <v>7958600</v>
      </c>
      <c r="E20" s="44">
        <v>6691200</v>
      </c>
      <c r="F20" s="44">
        <v>6470100</v>
      </c>
      <c r="G20" s="44">
        <v>7910500</v>
      </c>
      <c r="H20" s="44">
        <v>8517900</v>
      </c>
      <c r="I20" s="44">
        <v>8912400</v>
      </c>
      <c r="J20" s="44">
        <v>8216500</v>
      </c>
      <c r="K20" s="44">
        <v>8420500</v>
      </c>
      <c r="L20" s="44">
        <v>9427700</v>
      </c>
      <c r="M20" s="44">
        <v>9692600</v>
      </c>
      <c r="N20" s="45">
        <f t="shared" si="0"/>
        <v>96733800</v>
      </c>
    </row>
    <row r="21" spans="1:14" x14ac:dyDescent="0.25">
      <c r="A21" s="20" t="s">
        <v>39</v>
      </c>
      <c r="B21" s="45">
        <f t="shared" ref="B21:M21" si="1">SUM(B18:B20)</f>
        <v>10645300</v>
      </c>
      <c r="C21" s="45">
        <f t="shared" si="1"/>
        <v>10655900</v>
      </c>
      <c r="D21" s="45">
        <f t="shared" si="1"/>
        <v>11435900</v>
      </c>
      <c r="E21" s="45">
        <f t="shared" si="1"/>
        <v>9931000</v>
      </c>
      <c r="F21" s="45">
        <f t="shared" si="1"/>
        <v>9995900</v>
      </c>
      <c r="G21" s="45">
        <f t="shared" si="1"/>
        <v>11474600</v>
      </c>
      <c r="H21" s="45">
        <f t="shared" si="1"/>
        <v>12429300</v>
      </c>
      <c r="I21" s="45">
        <f t="shared" si="1"/>
        <v>12720000</v>
      </c>
      <c r="J21" s="45">
        <f t="shared" si="1"/>
        <v>11904600</v>
      </c>
      <c r="K21" s="45">
        <f t="shared" si="1"/>
        <v>12129300</v>
      </c>
      <c r="L21" s="45">
        <f t="shared" si="1"/>
        <v>12685300</v>
      </c>
      <c r="M21" s="45">
        <f t="shared" si="1"/>
        <v>13671000</v>
      </c>
      <c r="N21" s="45">
        <f t="shared" si="0"/>
        <v>139678100</v>
      </c>
    </row>
    <row r="22" spans="1:14" x14ac:dyDescent="0.25">
      <c r="B22" s="45"/>
      <c r="C22" s="45"/>
      <c r="D22" s="45"/>
      <c r="E22" s="45"/>
      <c r="F22" s="45"/>
      <c r="G22" s="45"/>
      <c r="H22" s="45"/>
      <c r="I22" s="45"/>
      <c r="J22" s="45"/>
      <c r="K22" s="45"/>
      <c r="L22" s="45"/>
      <c r="M22" s="45"/>
      <c r="N22" s="45"/>
    </row>
    <row r="23" spans="1:14" x14ac:dyDescent="0.25">
      <c r="B23" s="157" t="s">
        <v>248</v>
      </c>
      <c r="C23" s="158"/>
      <c r="D23" s="158"/>
      <c r="E23" s="158"/>
      <c r="F23" s="158"/>
      <c r="G23" s="158"/>
      <c r="H23" s="158"/>
      <c r="I23" s="158"/>
      <c r="J23" s="158"/>
      <c r="K23" s="158"/>
      <c r="L23" s="158"/>
      <c r="M23" s="158"/>
    </row>
    <row r="24" spans="1:14" x14ac:dyDescent="0.25">
      <c r="A24" s="50"/>
      <c r="B24" s="93" t="s">
        <v>144</v>
      </c>
      <c r="C24" s="93" t="s">
        <v>145</v>
      </c>
      <c r="D24" s="93" t="s">
        <v>146</v>
      </c>
      <c r="E24" s="93" t="s">
        <v>147</v>
      </c>
      <c r="F24" s="93" t="s">
        <v>148</v>
      </c>
      <c r="G24" s="93" t="s">
        <v>149</v>
      </c>
      <c r="H24" s="93" t="s">
        <v>150</v>
      </c>
      <c r="I24" s="93" t="s">
        <v>151</v>
      </c>
      <c r="J24" s="93" t="s">
        <v>152</v>
      </c>
      <c r="K24" s="93" t="s">
        <v>153</v>
      </c>
      <c r="L24" s="93" t="s">
        <v>154</v>
      </c>
      <c r="M24" s="93" t="s">
        <v>155</v>
      </c>
      <c r="N24" s="50"/>
    </row>
    <row r="25" spans="1:14" x14ac:dyDescent="0.25">
      <c r="A25" s="50" t="s">
        <v>156</v>
      </c>
      <c r="B25" s="51">
        <v>447</v>
      </c>
      <c r="C25" s="51">
        <v>499</v>
      </c>
      <c r="D25" s="51">
        <v>434</v>
      </c>
      <c r="E25" s="51">
        <v>496</v>
      </c>
      <c r="F25" s="51">
        <v>486</v>
      </c>
      <c r="G25" s="51">
        <v>475</v>
      </c>
      <c r="H25" s="51">
        <v>420</v>
      </c>
      <c r="I25" s="51">
        <v>417</v>
      </c>
      <c r="J25" s="51">
        <v>435</v>
      </c>
      <c r="K25" s="51">
        <v>437</v>
      </c>
      <c r="L25" s="51">
        <v>485</v>
      </c>
      <c r="M25" s="51">
        <v>389</v>
      </c>
      <c r="N25" s="53">
        <f>SUM(B25:M25)</f>
        <v>5420</v>
      </c>
    </row>
    <row r="26" spans="1:14" x14ac:dyDescent="0.25">
      <c r="A26" s="50" t="s">
        <v>169</v>
      </c>
      <c r="B26" s="52">
        <v>660</v>
      </c>
      <c r="C26" s="52">
        <v>613</v>
      </c>
      <c r="D26" s="52">
        <v>667</v>
      </c>
      <c r="E26" s="52">
        <v>619</v>
      </c>
      <c r="F26" s="52">
        <v>630</v>
      </c>
      <c r="G26" s="52">
        <v>640</v>
      </c>
      <c r="H26" s="52">
        <v>694</v>
      </c>
      <c r="I26" s="52">
        <v>695</v>
      </c>
      <c r="J26" s="52">
        <v>682</v>
      </c>
      <c r="K26" s="52">
        <v>681</v>
      </c>
      <c r="L26" s="52">
        <v>636</v>
      </c>
      <c r="M26" s="52">
        <v>732</v>
      </c>
      <c r="N26" s="53">
        <f t="shared" ref="N26:N27" si="2">SUM(B26:M26)</f>
        <v>7949</v>
      </c>
    </row>
    <row r="27" spans="1:14" x14ac:dyDescent="0.25">
      <c r="A27" s="50" t="s">
        <v>170</v>
      </c>
      <c r="B27" s="52">
        <v>34</v>
      </c>
      <c r="C27" s="52">
        <v>29</v>
      </c>
      <c r="D27" s="52">
        <v>34</v>
      </c>
      <c r="E27" s="52">
        <v>25</v>
      </c>
      <c r="F27" s="52">
        <v>25</v>
      </c>
      <c r="G27" s="52">
        <v>33</v>
      </c>
      <c r="H27" s="52">
        <v>36</v>
      </c>
      <c r="I27" s="52">
        <v>41</v>
      </c>
      <c r="J27" s="52">
        <v>42</v>
      </c>
      <c r="K27" s="52">
        <v>40</v>
      </c>
      <c r="L27" s="52">
        <v>37</v>
      </c>
      <c r="M27" s="52">
        <v>37</v>
      </c>
      <c r="N27" s="53">
        <f t="shared" si="2"/>
        <v>413</v>
      </c>
    </row>
    <row r="28" spans="1:14" x14ac:dyDescent="0.25">
      <c r="A28" s="50"/>
      <c r="B28" s="52">
        <f>SUM(B25:B27)</f>
        <v>1141</v>
      </c>
      <c r="C28" s="52">
        <f t="shared" ref="C28:D28" si="3">SUM(C25:C27)</f>
        <v>1141</v>
      </c>
      <c r="D28" s="52">
        <f t="shared" si="3"/>
        <v>1135</v>
      </c>
      <c r="E28" s="52">
        <f t="shared" ref="E28:N28" si="4">SUM(E25:E27)</f>
        <v>1140</v>
      </c>
      <c r="F28" s="52">
        <f t="shared" si="4"/>
        <v>1141</v>
      </c>
      <c r="G28" s="52">
        <f t="shared" si="4"/>
        <v>1148</v>
      </c>
      <c r="H28" s="52">
        <f t="shared" si="4"/>
        <v>1150</v>
      </c>
      <c r="I28" s="52">
        <f t="shared" si="4"/>
        <v>1153</v>
      </c>
      <c r="J28" s="52">
        <f t="shared" si="4"/>
        <v>1159</v>
      </c>
      <c r="K28" s="52">
        <f t="shared" si="4"/>
        <v>1158</v>
      </c>
      <c r="L28" s="52">
        <f t="shared" si="4"/>
        <v>1158</v>
      </c>
      <c r="M28" s="52">
        <f t="shared" si="4"/>
        <v>1158</v>
      </c>
      <c r="N28" s="53">
        <f t="shared" si="4"/>
        <v>13782</v>
      </c>
    </row>
    <row r="29" spans="1:14" x14ac:dyDescent="0.25">
      <c r="B29" s="45"/>
      <c r="C29" s="45"/>
      <c r="D29" s="45"/>
      <c r="E29" s="45"/>
      <c r="F29" s="45"/>
      <c r="G29" s="45"/>
      <c r="H29" s="45"/>
      <c r="I29" s="45"/>
      <c r="J29" s="45"/>
      <c r="K29" s="45"/>
      <c r="L29" s="45"/>
      <c r="M29" s="45"/>
      <c r="N29" s="45"/>
    </row>
    <row r="30" spans="1:14" x14ac:dyDescent="0.25">
      <c r="B30" s="45"/>
      <c r="C30" s="45"/>
      <c r="D30" s="45"/>
      <c r="E30" s="45"/>
      <c r="F30" s="45"/>
      <c r="G30" s="45"/>
      <c r="H30" s="45"/>
      <c r="I30" s="45"/>
      <c r="J30" s="45"/>
      <c r="K30" s="45"/>
      <c r="L30" s="45"/>
      <c r="M30" s="45"/>
      <c r="N30" s="45"/>
    </row>
    <row r="31" spans="1:14" x14ac:dyDescent="0.25">
      <c r="B31" s="167" t="s">
        <v>475</v>
      </c>
      <c r="C31" s="167"/>
      <c r="D31" s="167"/>
      <c r="E31" s="167"/>
      <c r="F31" s="167"/>
      <c r="G31" s="167"/>
      <c r="H31" s="167"/>
      <c r="I31" s="167"/>
      <c r="J31" s="167"/>
      <c r="K31" s="167"/>
      <c r="L31" s="167"/>
      <c r="M31" s="167"/>
      <c r="N31" s="45"/>
    </row>
    <row r="32" spans="1:14" x14ac:dyDescent="0.25">
      <c r="B32" s="91" t="s">
        <v>144</v>
      </c>
      <c r="C32" s="91" t="s">
        <v>145</v>
      </c>
      <c r="D32" s="91" t="s">
        <v>146</v>
      </c>
      <c r="E32" s="91" t="s">
        <v>147</v>
      </c>
      <c r="F32" s="91" t="s">
        <v>148</v>
      </c>
      <c r="G32" s="91" t="s">
        <v>149</v>
      </c>
      <c r="H32" s="91" t="s">
        <v>150</v>
      </c>
      <c r="I32" s="91" t="s">
        <v>151</v>
      </c>
      <c r="J32" s="91" t="s">
        <v>152</v>
      </c>
      <c r="K32" s="91" t="s">
        <v>153</v>
      </c>
      <c r="L32" s="91" t="s">
        <v>154</v>
      </c>
      <c r="M32" s="91" t="s">
        <v>155</v>
      </c>
      <c r="N32" s="91" t="s">
        <v>39</v>
      </c>
    </row>
    <row r="33" spans="1:14" x14ac:dyDescent="0.25">
      <c r="A33" s="20" t="s">
        <v>156</v>
      </c>
      <c r="B33" s="44">
        <v>420600</v>
      </c>
      <c r="C33" s="44">
        <v>469700</v>
      </c>
      <c r="D33" s="44">
        <v>422100</v>
      </c>
      <c r="E33" s="44">
        <v>481000</v>
      </c>
      <c r="F33" s="44">
        <v>466200</v>
      </c>
      <c r="G33" s="44">
        <v>461500</v>
      </c>
      <c r="H33" s="44">
        <v>413900</v>
      </c>
      <c r="I33" s="44">
        <v>381700</v>
      </c>
      <c r="J33" s="44">
        <v>420300</v>
      </c>
      <c r="K33" s="44">
        <v>468400</v>
      </c>
      <c r="L33" s="44">
        <v>456000</v>
      </c>
      <c r="M33" s="44">
        <v>354000</v>
      </c>
      <c r="N33" s="45">
        <f>SUM(B33:M33)</f>
        <v>5215400</v>
      </c>
    </row>
    <row r="34" spans="1:14" x14ac:dyDescent="0.25">
      <c r="A34" s="20" t="s">
        <v>169</v>
      </c>
      <c r="B34" s="44">
        <v>3141100</v>
      </c>
      <c r="C34" s="44">
        <v>2754000</v>
      </c>
      <c r="D34" s="44">
        <v>3055200</v>
      </c>
      <c r="E34" s="44">
        <v>2758800</v>
      </c>
      <c r="F34" s="44">
        <v>3059600</v>
      </c>
      <c r="G34" s="44">
        <v>3102600</v>
      </c>
      <c r="H34" s="44">
        <v>3497500</v>
      </c>
      <c r="I34" s="44">
        <v>3425900</v>
      </c>
      <c r="J34" s="44">
        <v>3267800</v>
      </c>
      <c r="K34" s="44">
        <v>3240400</v>
      </c>
      <c r="L34" s="44">
        <v>2801600</v>
      </c>
      <c r="M34" s="44">
        <v>3624400</v>
      </c>
      <c r="N34" s="45">
        <f>SUM(B34:M34)</f>
        <v>37728900</v>
      </c>
    </row>
    <row r="35" spans="1:14" x14ac:dyDescent="0.25">
      <c r="A35" s="20" t="s">
        <v>170</v>
      </c>
      <c r="B35" s="44">
        <f>7083600-B67</f>
        <v>2015500</v>
      </c>
      <c r="C35" s="44">
        <f>7432200-B68</f>
        <v>2301600</v>
      </c>
      <c r="D35" s="44">
        <f>7958600-B69</f>
        <v>2814400</v>
      </c>
      <c r="E35" s="44">
        <f>6691200-B70</f>
        <v>1895600</v>
      </c>
      <c r="F35" s="44">
        <f>6470100-B71</f>
        <v>1885500</v>
      </c>
      <c r="G35" s="44">
        <f>7910500-B72</f>
        <v>2517100</v>
      </c>
      <c r="H35" s="44">
        <f>8517900-B73</f>
        <v>2592400</v>
      </c>
      <c r="I35" s="44">
        <f>8912400-B74</f>
        <v>2669200</v>
      </c>
      <c r="J35" s="44">
        <f>8216500-B75</f>
        <v>2704800</v>
      </c>
      <c r="K35" s="44">
        <f>8420500-B76</f>
        <v>3066500</v>
      </c>
      <c r="L35" s="44">
        <f>9427700-B77</f>
        <v>2567500</v>
      </c>
      <c r="M35" s="44">
        <f>9692600-B78</f>
        <v>2436800</v>
      </c>
      <c r="N35" s="45">
        <f>SUM(B35:M35)</f>
        <v>29466900</v>
      </c>
    </row>
    <row r="36" spans="1:14" x14ac:dyDescent="0.25">
      <c r="A36" s="20" t="s">
        <v>39</v>
      </c>
      <c r="B36" s="45">
        <f>SUM(B33:B35)</f>
        <v>5577200</v>
      </c>
      <c r="C36" s="45">
        <f t="shared" ref="C36:M36" si="5">SUM(C33:C35)</f>
        <v>5525300</v>
      </c>
      <c r="D36" s="45">
        <f t="shared" si="5"/>
        <v>6291700</v>
      </c>
      <c r="E36" s="45">
        <f t="shared" si="5"/>
        <v>5135400</v>
      </c>
      <c r="F36" s="45">
        <f t="shared" si="5"/>
        <v>5411300</v>
      </c>
      <c r="G36" s="45">
        <f t="shared" si="5"/>
        <v>6081200</v>
      </c>
      <c r="H36" s="45">
        <f t="shared" si="5"/>
        <v>6503800</v>
      </c>
      <c r="I36" s="45">
        <f t="shared" si="5"/>
        <v>6476800</v>
      </c>
      <c r="J36" s="45">
        <f t="shared" si="5"/>
        <v>6392900</v>
      </c>
      <c r="K36" s="45">
        <f t="shared" si="5"/>
        <v>6775300</v>
      </c>
      <c r="L36" s="45">
        <f t="shared" si="5"/>
        <v>5825100</v>
      </c>
      <c r="M36" s="45">
        <f t="shared" si="5"/>
        <v>6415200</v>
      </c>
      <c r="N36" s="45">
        <f>SUM(B36:M36)</f>
        <v>72411200</v>
      </c>
    </row>
    <row r="37" spans="1:14" x14ac:dyDescent="0.25">
      <c r="B37" s="45"/>
      <c r="C37" s="45"/>
      <c r="D37" s="45"/>
      <c r="E37" s="45"/>
      <c r="F37" s="45"/>
      <c r="G37" s="45"/>
      <c r="H37" s="45"/>
      <c r="I37" s="45"/>
      <c r="J37" s="45"/>
      <c r="K37" s="45"/>
      <c r="L37" s="45"/>
      <c r="M37" s="45"/>
      <c r="N37" s="45"/>
    </row>
    <row r="38" spans="1:14" x14ac:dyDescent="0.25">
      <c r="B38" s="158" t="s">
        <v>157</v>
      </c>
      <c r="C38" s="158"/>
      <c r="D38" s="158"/>
      <c r="E38" s="158"/>
      <c r="F38" s="158"/>
      <c r="G38" s="158"/>
      <c r="H38" s="158"/>
      <c r="I38" s="158"/>
      <c r="J38" s="158"/>
      <c r="K38" s="158"/>
      <c r="L38" s="158"/>
      <c r="M38" s="158"/>
    </row>
    <row r="39" spans="1:14" x14ac:dyDescent="0.25">
      <c r="A39" s="50"/>
      <c r="B39" s="6" t="s">
        <v>144</v>
      </c>
      <c r="C39" s="6" t="s">
        <v>145</v>
      </c>
      <c r="D39" s="6" t="s">
        <v>146</v>
      </c>
      <c r="E39" s="6" t="s">
        <v>147</v>
      </c>
      <c r="F39" s="6" t="s">
        <v>148</v>
      </c>
      <c r="G39" s="6" t="s">
        <v>149</v>
      </c>
      <c r="H39" s="6" t="s">
        <v>150</v>
      </c>
      <c r="I39" s="6" t="s">
        <v>151</v>
      </c>
      <c r="J39" s="6" t="s">
        <v>152</v>
      </c>
      <c r="K39" s="6" t="s">
        <v>153</v>
      </c>
      <c r="L39" s="6" t="s">
        <v>154</v>
      </c>
      <c r="M39" s="6" t="s">
        <v>155</v>
      </c>
      <c r="N39" s="50"/>
    </row>
    <row r="40" spans="1:14" x14ac:dyDescent="0.25">
      <c r="A40" s="50" t="s">
        <v>156</v>
      </c>
      <c r="B40" s="51">
        <v>447</v>
      </c>
      <c r="C40" s="51">
        <v>499</v>
      </c>
      <c r="D40" s="51">
        <v>434</v>
      </c>
      <c r="E40" s="51">
        <v>496</v>
      </c>
      <c r="F40" s="51">
        <v>486</v>
      </c>
      <c r="G40" s="51">
        <v>475</v>
      </c>
      <c r="H40" s="51">
        <v>420</v>
      </c>
      <c r="I40" s="51">
        <v>417</v>
      </c>
      <c r="J40" s="51">
        <v>435</v>
      </c>
      <c r="K40" s="51">
        <v>437</v>
      </c>
      <c r="L40" s="51">
        <v>485</v>
      </c>
      <c r="M40" s="51">
        <v>389</v>
      </c>
      <c r="N40" s="53">
        <f>SUM(B40:M40)</f>
        <v>5420</v>
      </c>
    </row>
    <row r="41" spans="1:14" x14ac:dyDescent="0.25">
      <c r="A41" s="50" t="s">
        <v>169</v>
      </c>
      <c r="B41" s="52">
        <v>660</v>
      </c>
      <c r="C41" s="52">
        <v>613</v>
      </c>
      <c r="D41" s="52">
        <v>667</v>
      </c>
      <c r="E41" s="52">
        <v>619</v>
      </c>
      <c r="F41" s="52">
        <v>630</v>
      </c>
      <c r="G41" s="52">
        <v>640</v>
      </c>
      <c r="H41" s="52">
        <v>694</v>
      </c>
      <c r="I41" s="52">
        <v>695</v>
      </c>
      <c r="J41" s="52">
        <v>682</v>
      </c>
      <c r="K41" s="52">
        <v>681</v>
      </c>
      <c r="L41" s="52">
        <v>636</v>
      </c>
      <c r="M41" s="52">
        <v>732</v>
      </c>
      <c r="N41" s="53">
        <f t="shared" ref="N41:N42" si="6">SUM(B41:M41)</f>
        <v>7949</v>
      </c>
    </row>
    <row r="42" spans="1:14" x14ac:dyDescent="0.25">
      <c r="A42" s="50" t="s">
        <v>170</v>
      </c>
      <c r="B42" s="52">
        <v>33</v>
      </c>
      <c r="C42" s="52">
        <v>28</v>
      </c>
      <c r="D42" s="52">
        <v>33</v>
      </c>
      <c r="E42" s="52">
        <v>24</v>
      </c>
      <c r="F42" s="52">
        <v>24</v>
      </c>
      <c r="G42" s="52">
        <v>32</v>
      </c>
      <c r="H42" s="52">
        <v>35</v>
      </c>
      <c r="I42" s="52">
        <v>40</v>
      </c>
      <c r="J42" s="52">
        <v>41</v>
      </c>
      <c r="K42" s="52">
        <v>39</v>
      </c>
      <c r="L42" s="52">
        <v>36</v>
      </c>
      <c r="M42" s="52">
        <v>36</v>
      </c>
      <c r="N42" s="53">
        <f t="shared" si="6"/>
        <v>401</v>
      </c>
    </row>
    <row r="43" spans="1:14" x14ac:dyDescent="0.25">
      <c r="A43" s="50"/>
      <c r="B43" s="52">
        <f>SUM(B40:B42)</f>
        <v>1140</v>
      </c>
      <c r="C43" s="52">
        <f t="shared" ref="C43:M43" si="7">SUM(C40:C42)</f>
        <v>1140</v>
      </c>
      <c r="D43" s="52">
        <f t="shared" si="7"/>
        <v>1134</v>
      </c>
      <c r="E43" s="52">
        <f t="shared" si="7"/>
        <v>1139</v>
      </c>
      <c r="F43" s="52">
        <f t="shared" si="7"/>
        <v>1140</v>
      </c>
      <c r="G43" s="52">
        <f t="shared" si="7"/>
        <v>1147</v>
      </c>
      <c r="H43" s="52">
        <f t="shared" si="7"/>
        <v>1149</v>
      </c>
      <c r="I43" s="52">
        <f t="shared" si="7"/>
        <v>1152</v>
      </c>
      <c r="J43" s="52">
        <f t="shared" si="7"/>
        <v>1158</v>
      </c>
      <c r="K43" s="52">
        <f t="shared" si="7"/>
        <v>1157</v>
      </c>
      <c r="L43" s="52">
        <f t="shared" si="7"/>
        <v>1157</v>
      </c>
      <c r="M43" s="52">
        <f t="shared" si="7"/>
        <v>1157</v>
      </c>
      <c r="N43" s="53">
        <f>SUM(N40:N42)</f>
        <v>13770</v>
      </c>
    </row>
    <row r="45" spans="1:14" x14ac:dyDescent="0.25">
      <c r="A45" s="165" t="s">
        <v>475</v>
      </c>
      <c r="B45" s="165"/>
      <c r="C45" s="165"/>
      <c r="D45" s="165"/>
      <c r="E45" s="165"/>
      <c r="F45" s="165"/>
    </row>
    <row r="46" spans="1:14" x14ac:dyDescent="0.25">
      <c r="B46" s="6" t="s">
        <v>143</v>
      </c>
      <c r="C46" s="6" t="s">
        <v>158</v>
      </c>
      <c r="D46" s="6" t="s">
        <v>172</v>
      </c>
      <c r="E46" s="6" t="s">
        <v>173</v>
      </c>
      <c r="F46" s="6" t="s">
        <v>174</v>
      </c>
    </row>
    <row r="47" spans="1:14" x14ac:dyDescent="0.25">
      <c r="A47" s="20" t="s">
        <v>156</v>
      </c>
      <c r="B47" s="45">
        <f>N40</f>
        <v>5420</v>
      </c>
      <c r="C47" s="45">
        <f>N33</f>
        <v>5215400</v>
      </c>
      <c r="D47" s="45">
        <f>N33</f>
        <v>5215400</v>
      </c>
      <c r="E47" s="45"/>
      <c r="G47" s="45">
        <f>SUM(D47:F47)</f>
        <v>5215400</v>
      </c>
    </row>
    <row r="48" spans="1:14" x14ac:dyDescent="0.25">
      <c r="A48" s="20" t="s">
        <v>169</v>
      </c>
      <c r="B48" s="44">
        <f>N41</f>
        <v>7949</v>
      </c>
      <c r="C48" s="44">
        <f>N34</f>
        <v>37728900</v>
      </c>
      <c r="D48" s="45">
        <f>B48*2000</f>
        <v>15898000</v>
      </c>
      <c r="E48" s="45">
        <f>N34-D48</f>
        <v>21830900</v>
      </c>
      <c r="G48" s="45">
        <f>SUM(D48:F48)</f>
        <v>37728900</v>
      </c>
    </row>
    <row r="49" spans="1:9" x14ac:dyDescent="0.25">
      <c r="A49" s="20" t="s">
        <v>170</v>
      </c>
      <c r="B49" s="44">
        <f>N42</f>
        <v>401</v>
      </c>
      <c r="C49" s="44">
        <f>N35</f>
        <v>29466900</v>
      </c>
      <c r="D49" s="45">
        <f>B49*2000</f>
        <v>802000</v>
      </c>
      <c r="E49" s="45">
        <f>B49*18000</f>
        <v>7218000</v>
      </c>
      <c r="F49" s="45">
        <f>N35-(D49+E49)</f>
        <v>21446900</v>
      </c>
      <c r="G49" s="45">
        <f>SUM(D49:F49)</f>
        <v>29466900</v>
      </c>
    </row>
    <row r="50" spans="1:9" x14ac:dyDescent="0.25">
      <c r="A50" s="20" t="s">
        <v>176</v>
      </c>
      <c r="B50" s="44">
        <f>SUM(B47:B49)</f>
        <v>13770</v>
      </c>
      <c r="C50" s="44">
        <f>SUM(C47:C49)</f>
        <v>72411200</v>
      </c>
      <c r="D50" s="45">
        <f>SUM(D47:D49)</f>
        <v>21915400</v>
      </c>
      <c r="E50" s="45">
        <f>SUM(E48:E49)</f>
        <v>29048900</v>
      </c>
      <c r="F50" s="45">
        <f>SUM(F49)</f>
        <v>21446900</v>
      </c>
      <c r="G50" s="45">
        <f>SUM(G47:G49)</f>
        <v>72411200</v>
      </c>
      <c r="I50" s="45"/>
    </row>
    <row r="51" spans="1:9" x14ac:dyDescent="0.25">
      <c r="D51" s="45"/>
      <c r="F51" s="45"/>
    </row>
    <row r="52" spans="1:9" x14ac:dyDescent="0.25">
      <c r="A52" s="165" t="s">
        <v>476</v>
      </c>
      <c r="B52" s="166"/>
      <c r="C52" s="166"/>
      <c r="D52" s="166"/>
      <c r="E52" s="166"/>
      <c r="F52" s="166"/>
    </row>
    <row r="53" spans="1:9" x14ac:dyDescent="0.25">
      <c r="A53" s="6"/>
      <c r="B53" s="6" t="s">
        <v>143</v>
      </c>
      <c r="C53" s="6" t="s">
        <v>158</v>
      </c>
      <c r="D53" s="165" t="s">
        <v>165</v>
      </c>
      <c r="E53" s="165"/>
      <c r="F53" s="6" t="s">
        <v>166</v>
      </c>
    </row>
    <row r="54" spans="1:9" x14ac:dyDescent="0.25">
      <c r="A54" s="20" t="s">
        <v>156</v>
      </c>
      <c r="B54" s="45">
        <f>B50</f>
        <v>13770</v>
      </c>
      <c r="C54" s="45">
        <f>D50</f>
        <v>21915400</v>
      </c>
      <c r="D54" s="46">
        <v>24.19</v>
      </c>
      <c r="E54" s="20" t="s">
        <v>167</v>
      </c>
      <c r="F54" s="17">
        <f>B54*D54</f>
        <v>333096.30000000005</v>
      </c>
    </row>
    <row r="55" spans="1:9" x14ac:dyDescent="0.25">
      <c r="A55" s="20" t="s">
        <v>169</v>
      </c>
      <c r="B55" s="44"/>
      <c r="C55" s="44">
        <f>E50</f>
        <v>29048900</v>
      </c>
      <c r="D55" s="47">
        <v>8.4399999999999996E-3</v>
      </c>
      <c r="E55" s="20" t="s">
        <v>168</v>
      </c>
      <c r="F55" s="17">
        <f>C55*D55</f>
        <v>245172.71599999999</v>
      </c>
    </row>
    <row r="56" spans="1:9" x14ac:dyDescent="0.25">
      <c r="A56" s="20" t="s">
        <v>170</v>
      </c>
      <c r="C56" s="45">
        <f>F50</f>
        <v>21446900</v>
      </c>
      <c r="D56" s="20">
        <v>7.4999999999999997E-3</v>
      </c>
      <c r="E56" s="20" t="s">
        <v>168</v>
      </c>
      <c r="F56" s="48">
        <f>D56*C56</f>
        <v>160851.75</v>
      </c>
    </row>
    <row r="57" spans="1:9" x14ac:dyDescent="0.25">
      <c r="A57" s="20" t="s">
        <v>176</v>
      </c>
      <c r="B57" s="44">
        <f>SUM(B54:B56)</f>
        <v>13770</v>
      </c>
      <c r="C57" s="45">
        <f>SUM(C54:C56)</f>
        <v>72411200</v>
      </c>
      <c r="F57" s="48">
        <f>SUM(F54:F56)</f>
        <v>739120.76600000006</v>
      </c>
    </row>
    <row r="58" spans="1:9" x14ac:dyDescent="0.25">
      <c r="E58" s="45"/>
    </row>
    <row r="59" spans="1:9" x14ac:dyDescent="0.25">
      <c r="A59" s="165"/>
      <c r="B59" s="166"/>
      <c r="C59" s="166"/>
      <c r="D59" s="166"/>
      <c r="E59" s="166"/>
      <c r="F59" s="166"/>
    </row>
    <row r="61" spans="1:9" x14ac:dyDescent="0.25">
      <c r="A61" s="165" t="s">
        <v>477</v>
      </c>
      <c r="B61" s="165"/>
      <c r="C61" s="165"/>
      <c r="D61" s="165"/>
      <c r="E61" s="165"/>
      <c r="F61" s="165"/>
    </row>
    <row r="62" spans="1:9" x14ac:dyDescent="0.25">
      <c r="B62" s="6" t="s">
        <v>143</v>
      </c>
      <c r="C62" s="6" t="s">
        <v>178</v>
      </c>
      <c r="D62" s="6" t="s">
        <v>179</v>
      </c>
      <c r="E62" s="6" t="s">
        <v>39</v>
      </c>
    </row>
    <row r="63" spans="1:9" x14ac:dyDescent="0.25">
      <c r="A63" s="20" t="s">
        <v>164</v>
      </c>
      <c r="B63" s="20">
        <v>12</v>
      </c>
      <c r="C63" s="44">
        <f>12*1300000</f>
        <v>15600000</v>
      </c>
      <c r="D63" s="45">
        <f>C79</f>
        <v>51666900</v>
      </c>
      <c r="E63" s="44">
        <f>C63+D63</f>
        <v>67266900</v>
      </c>
    </row>
    <row r="64" spans="1:9" x14ac:dyDescent="0.25">
      <c r="A64" s="20" t="s">
        <v>39</v>
      </c>
      <c r="B64" s="20">
        <f>SUM(B63:B63)</f>
        <v>12</v>
      </c>
      <c r="C64" s="44">
        <f>SUM(C63:C63)</f>
        <v>15600000</v>
      </c>
      <c r="D64" s="44">
        <f>SUM(D63)</f>
        <v>51666900</v>
      </c>
      <c r="E64" s="44">
        <f>SUM(E63:E63)</f>
        <v>67266900</v>
      </c>
    </row>
    <row r="66" spans="1:4" x14ac:dyDescent="0.25">
      <c r="A66" s="6" t="s">
        <v>159</v>
      </c>
      <c r="B66" s="6" t="s">
        <v>160</v>
      </c>
      <c r="C66" s="6" t="s">
        <v>161</v>
      </c>
      <c r="D66" s="6" t="s">
        <v>162</v>
      </c>
    </row>
    <row r="67" spans="1:4" x14ac:dyDescent="0.25">
      <c r="A67" s="20" t="s">
        <v>144</v>
      </c>
      <c r="B67" s="44">
        <v>5068100</v>
      </c>
      <c r="C67" s="44">
        <f>IF((B67-1300000)&lt;0,0,(B67-1300000))</f>
        <v>3768100</v>
      </c>
      <c r="D67" s="20">
        <v>0</v>
      </c>
    </row>
    <row r="68" spans="1:4" x14ac:dyDescent="0.25">
      <c r="A68" s="20" t="s">
        <v>145</v>
      </c>
      <c r="B68" s="44">
        <v>5130600</v>
      </c>
      <c r="C68" s="44">
        <f t="shared" ref="C68:C78" si="8">IF((B68-1300000)&lt;0,0,(B68-1300000))</f>
        <v>3830600</v>
      </c>
      <c r="D68" s="20">
        <v>0</v>
      </c>
    </row>
    <row r="69" spans="1:4" x14ac:dyDescent="0.25">
      <c r="A69" s="20" t="s">
        <v>146</v>
      </c>
      <c r="B69" s="44">
        <v>5144200</v>
      </c>
      <c r="C69" s="44">
        <f t="shared" si="8"/>
        <v>3844200</v>
      </c>
      <c r="D69" s="20">
        <v>0</v>
      </c>
    </row>
    <row r="70" spans="1:4" x14ac:dyDescent="0.25">
      <c r="A70" s="20" t="s">
        <v>147</v>
      </c>
      <c r="B70" s="44">
        <v>4795600</v>
      </c>
      <c r="C70" s="44">
        <f t="shared" si="8"/>
        <v>3495600</v>
      </c>
      <c r="D70" s="20">
        <v>0</v>
      </c>
    </row>
    <row r="71" spans="1:4" x14ac:dyDescent="0.25">
      <c r="A71" s="20" t="s">
        <v>148</v>
      </c>
      <c r="B71" s="44">
        <v>4584600</v>
      </c>
      <c r="C71" s="44">
        <f t="shared" si="8"/>
        <v>3284600</v>
      </c>
      <c r="D71" s="20">
        <v>0</v>
      </c>
    </row>
    <row r="72" spans="1:4" x14ac:dyDescent="0.25">
      <c r="A72" s="20" t="s">
        <v>149</v>
      </c>
      <c r="B72" s="44">
        <v>5393400</v>
      </c>
      <c r="C72" s="44">
        <f t="shared" si="8"/>
        <v>4093400</v>
      </c>
      <c r="D72" s="20">
        <v>0</v>
      </c>
    </row>
    <row r="73" spans="1:4" x14ac:dyDescent="0.25">
      <c r="A73" s="20" t="s">
        <v>150</v>
      </c>
      <c r="B73" s="44">
        <v>5925500</v>
      </c>
      <c r="C73" s="44">
        <f t="shared" si="8"/>
        <v>4625500</v>
      </c>
      <c r="D73" s="20">
        <v>0</v>
      </c>
    </row>
    <row r="74" spans="1:4" x14ac:dyDescent="0.25">
      <c r="A74" s="20" t="s">
        <v>151</v>
      </c>
      <c r="B74" s="44">
        <v>6243200</v>
      </c>
      <c r="C74" s="44">
        <f t="shared" si="8"/>
        <v>4943200</v>
      </c>
      <c r="D74" s="20">
        <v>0</v>
      </c>
    </row>
    <row r="75" spans="1:4" x14ac:dyDescent="0.25">
      <c r="A75" s="20" t="s">
        <v>152</v>
      </c>
      <c r="B75" s="44">
        <v>5511700</v>
      </c>
      <c r="C75" s="44">
        <f t="shared" si="8"/>
        <v>4211700</v>
      </c>
      <c r="D75" s="20">
        <v>0</v>
      </c>
    </row>
    <row r="76" spans="1:4" x14ac:dyDescent="0.25">
      <c r="A76" s="20" t="s">
        <v>153</v>
      </c>
      <c r="B76" s="44">
        <v>5354000</v>
      </c>
      <c r="C76" s="44">
        <f t="shared" si="8"/>
        <v>4054000</v>
      </c>
      <c r="D76" s="20">
        <v>0</v>
      </c>
    </row>
    <row r="77" spans="1:4" x14ac:dyDescent="0.25">
      <c r="A77" s="20" t="s">
        <v>154</v>
      </c>
      <c r="B77" s="44">
        <v>6860200</v>
      </c>
      <c r="C77" s="44">
        <f t="shared" si="8"/>
        <v>5560200</v>
      </c>
      <c r="D77" s="20">
        <v>0</v>
      </c>
    </row>
    <row r="78" spans="1:4" x14ac:dyDescent="0.25">
      <c r="A78" s="20" t="s">
        <v>155</v>
      </c>
      <c r="B78" s="44">
        <v>7255800</v>
      </c>
      <c r="C78" s="44">
        <f t="shared" si="8"/>
        <v>5955800</v>
      </c>
      <c r="D78" s="20">
        <v>0</v>
      </c>
    </row>
    <row r="79" spans="1:4" x14ac:dyDescent="0.25">
      <c r="B79" s="45">
        <f>SUM(B67:B78)</f>
        <v>67266900</v>
      </c>
      <c r="C79" s="44">
        <f>SUM(C67:C78)</f>
        <v>51666900</v>
      </c>
    </row>
    <row r="81" spans="1:6" x14ac:dyDescent="0.25">
      <c r="A81" s="157" t="s">
        <v>163</v>
      </c>
      <c r="B81" s="157"/>
      <c r="C81" s="157"/>
      <c r="D81" s="157"/>
      <c r="E81" s="157"/>
      <c r="F81" s="157"/>
    </row>
    <row r="82" spans="1:6" x14ac:dyDescent="0.25">
      <c r="B82" s="6" t="s">
        <v>143</v>
      </c>
      <c r="C82" s="6" t="s">
        <v>158</v>
      </c>
      <c r="D82" s="6" t="s">
        <v>165</v>
      </c>
      <c r="E82" s="6"/>
      <c r="F82" s="6" t="s">
        <v>166</v>
      </c>
    </row>
    <row r="83" spans="1:6" x14ac:dyDescent="0.25">
      <c r="A83" s="20" t="s">
        <v>180</v>
      </c>
      <c r="B83" s="7">
        <v>12</v>
      </c>
      <c r="C83" s="45">
        <f>C63</f>
        <v>15600000</v>
      </c>
      <c r="D83" s="17">
        <v>9703.1299999999992</v>
      </c>
      <c r="E83" s="20" t="s">
        <v>167</v>
      </c>
      <c r="F83" s="48">
        <f>12*D83</f>
        <v>116437.56</v>
      </c>
    </row>
    <row r="84" spans="1:6" x14ac:dyDescent="0.25">
      <c r="A84" s="20" t="s">
        <v>181</v>
      </c>
      <c r="C84" s="45">
        <f>D63</f>
        <v>51666900</v>
      </c>
      <c r="D84" s="20">
        <v>8.4399999999999996E-3</v>
      </c>
      <c r="E84" s="20" t="s">
        <v>168</v>
      </c>
      <c r="F84" s="17">
        <f>C84*D84</f>
        <v>436068.636</v>
      </c>
    </row>
    <row r="85" spans="1:6" x14ac:dyDescent="0.25">
      <c r="A85" s="20" t="s">
        <v>39</v>
      </c>
      <c r="C85" s="45">
        <f>SUM(C83:C84)</f>
        <v>67266900</v>
      </c>
      <c r="F85" s="48">
        <f>SUM(F83:F84)</f>
        <v>552506.196</v>
      </c>
    </row>
    <row r="87" spans="1:6" x14ac:dyDescent="0.25">
      <c r="A87" s="20" t="s">
        <v>39</v>
      </c>
      <c r="B87" s="45">
        <f>B57+B83</f>
        <v>13782</v>
      </c>
      <c r="C87" s="45">
        <f>C57+C85</f>
        <v>139678100</v>
      </c>
      <c r="F87" s="48">
        <f>F57+F85</f>
        <v>1291626.9620000001</v>
      </c>
    </row>
  </sheetData>
  <mergeCells count="10">
    <mergeCell ref="A81:F81"/>
    <mergeCell ref="B16:M16"/>
    <mergeCell ref="B38:M38"/>
    <mergeCell ref="A45:F45"/>
    <mergeCell ref="A59:F59"/>
    <mergeCell ref="A61:F61"/>
    <mergeCell ref="A52:F52"/>
    <mergeCell ref="D53:E53"/>
    <mergeCell ref="B23:M23"/>
    <mergeCell ref="B31:M3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FFD0-1FF9-4F0D-A13C-511D2E16A2D2}">
  <dimension ref="A1:N87"/>
  <sheetViews>
    <sheetView topLeftCell="A61" workbookViewId="0">
      <selection activeCell="D55" sqref="D55"/>
    </sheetView>
  </sheetViews>
  <sheetFormatPr defaultRowHeight="15" x14ac:dyDescent="0.25"/>
  <cols>
    <col min="1" max="2" width="22.5703125" style="20" customWidth="1"/>
    <col min="3" max="3" width="14.42578125" style="20" bestFit="1" customWidth="1"/>
    <col min="4" max="4" width="15" style="20" customWidth="1"/>
    <col min="5" max="6" width="14.42578125" style="20" bestFit="1" customWidth="1"/>
    <col min="7" max="9" width="14.28515625" style="20" bestFit="1" customWidth="1"/>
    <col min="10" max="11" width="12.85546875" style="20" customWidth="1"/>
    <col min="12" max="12" width="11.28515625" style="20" customWidth="1"/>
    <col min="13" max="13" width="12.140625" style="20" customWidth="1"/>
    <col min="14" max="14" width="14.42578125" style="20" customWidth="1"/>
    <col min="15" max="16384" width="9.140625" style="20"/>
  </cols>
  <sheetData>
    <row r="1" spans="1:13" x14ac:dyDescent="0.25">
      <c r="A1" s="118" t="s">
        <v>141</v>
      </c>
      <c r="B1" s="118" t="s">
        <v>142</v>
      </c>
      <c r="C1" s="118" t="s">
        <v>143</v>
      </c>
    </row>
    <row r="2" spans="1:13" x14ac:dyDescent="0.25">
      <c r="A2" s="20" t="s">
        <v>144</v>
      </c>
      <c r="B2" s="104">
        <v>10645300</v>
      </c>
      <c r="C2" s="44">
        <v>1141</v>
      </c>
    </row>
    <row r="3" spans="1:13" x14ac:dyDescent="0.25">
      <c r="A3" s="20" t="s">
        <v>145</v>
      </c>
      <c r="B3" s="44">
        <v>10655900</v>
      </c>
      <c r="C3" s="44">
        <v>1141</v>
      </c>
    </row>
    <row r="4" spans="1:13" x14ac:dyDescent="0.25">
      <c r="A4" s="20" t="s">
        <v>146</v>
      </c>
      <c r="B4" s="44">
        <v>11435900</v>
      </c>
      <c r="C4" s="44">
        <v>1135</v>
      </c>
    </row>
    <row r="5" spans="1:13" x14ac:dyDescent="0.25">
      <c r="A5" s="20" t="s">
        <v>147</v>
      </c>
      <c r="B5" s="44">
        <v>9931000</v>
      </c>
      <c r="C5" s="44">
        <v>1140</v>
      </c>
    </row>
    <row r="6" spans="1:13" x14ac:dyDescent="0.25">
      <c r="A6" s="20" t="s">
        <v>148</v>
      </c>
      <c r="B6" s="44">
        <v>9995900</v>
      </c>
      <c r="C6" s="44">
        <v>1141</v>
      </c>
    </row>
    <row r="7" spans="1:13" x14ac:dyDescent="0.25">
      <c r="A7" s="20" t="s">
        <v>149</v>
      </c>
      <c r="B7" s="44">
        <v>11474600</v>
      </c>
      <c r="C7" s="44">
        <v>1148</v>
      </c>
    </row>
    <row r="8" spans="1:13" x14ac:dyDescent="0.25">
      <c r="A8" s="20" t="s">
        <v>150</v>
      </c>
      <c r="B8" s="44">
        <v>12429300</v>
      </c>
      <c r="C8" s="44">
        <v>1150</v>
      </c>
    </row>
    <row r="9" spans="1:13" x14ac:dyDescent="0.25">
      <c r="A9" s="20" t="s">
        <v>151</v>
      </c>
      <c r="B9" s="44">
        <v>12720000</v>
      </c>
      <c r="C9" s="44">
        <v>1153</v>
      </c>
    </row>
    <row r="10" spans="1:13" x14ac:dyDescent="0.25">
      <c r="A10" s="20" t="s">
        <v>152</v>
      </c>
      <c r="B10" s="44">
        <v>11904600</v>
      </c>
      <c r="C10" s="44">
        <v>1159</v>
      </c>
    </row>
    <row r="11" spans="1:13" x14ac:dyDescent="0.25">
      <c r="A11" s="20" t="s">
        <v>153</v>
      </c>
      <c r="B11" s="44">
        <v>12129300</v>
      </c>
      <c r="C11" s="44">
        <v>1158</v>
      </c>
    </row>
    <row r="12" spans="1:13" x14ac:dyDescent="0.25">
      <c r="A12" s="20" t="s">
        <v>154</v>
      </c>
      <c r="B12" s="44">
        <v>12685300</v>
      </c>
      <c r="C12" s="44">
        <v>1158</v>
      </c>
    </row>
    <row r="13" spans="1:13" x14ac:dyDescent="0.25">
      <c r="A13" s="20" t="s">
        <v>155</v>
      </c>
      <c r="B13" s="44">
        <v>13671000</v>
      </c>
      <c r="C13" s="44">
        <v>1158</v>
      </c>
    </row>
    <row r="14" spans="1:13" x14ac:dyDescent="0.25">
      <c r="B14" s="45">
        <f>SUM(B2:B13)</f>
        <v>139678100</v>
      </c>
      <c r="C14" s="44">
        <f>SUM(C2:C13)</f>
        <v>13782</v>
      </c>
    </row>
    <row r="15" spans="1:13" x14ac:dyDescent="0.25">
      <c r="B15" s="45"/>
      <c r="C15" s="44"/>
    </row>
    <row r="16" spans="1:13" x14ac:dyDescent="0.25">
      <c r="B16" s="157" t="s">
        <v>247</v>
      </c>
      <c r="C16" s="158"/>
      <c r="D16" s="158"/>
      <c r="E16" s="158"/>
      <c r="F16" s="158"/>
      <c r="G16" s="158"/>
      <c r="H16" s="158"/>
      <c r="I16" s="158"/>
      <c r="J16" s="158"/>
      <c r="K16" s="158"/>
      <c r="L16" s="158"/>
      <c r="M16" s="158"/>
    </row>
    <row r="17" spans="1:14" x14ac:dyDescent="0.25">
      <c r="B17" s="118" t="s">
        <v>144</v>
      </c>
      <c r="C17" s="118" t="s">
        <v>145</v>
      </c>
      <c r="D17" s="118" t="s">
        <v>146</v>
      </c>
      <c r="E17" s="118" t="s">
        <v>147</v>
      </c>
      <c r="F17" s="118" t="s">
        <v>148</v>
      </c>
      <c r="G17" s="118" t="s">
        <v>149</v>
      </c>
      <c r="H17" s="118" t="s">
        <v>150</v>
      </c>
      <c r="I17" s="118" t="s">
        <v>151</v>
      </c>
      <c r="J17" s="118" t="s">
        <v>152</v>
      </c>
      <c r="K17" s="118" t="s">
        <v>153</v>
      </c>
      <c r="L17" s="118" t="s">
        <v>154</v>
      </c>
      <c r="M17" s="118" t="s">
        <v>155</v>
      </c>
      <c r="N17" s="118" t="s">
        <v>39</v>
      </c>
    </row>
    <row r="18" spans="1:14" x14ac:dyDescent="0.25">
      <c r="A18" s="20" t="s">
        <v>156</v>
      </c>
      <c r="B18" s="49">
        <v>420600</v>
      </c>
      <c r="C18" s="44">
        <v>469700</v>
      </c>
      <c r="D18" s="44">
        <v>422100</v>
      </c>
      <c r="E18" s="44">
        <v>481000</v>
      </c>
      <c r="F18" s="44">
        <v>466200</v>
      </c>
      <c r="G18" s="44">
        <v>461500</v>
      </c>
      <c r="H18" s="44">
        <v>413900</v>
      </c>
      <c r="I18" s="44">
        <v>381700</v>
      </c>
      <c r="J18" s="44">
        <v>420300</v>
      </c>
      <c r="K18" s="44">
        <v>468400</v>
      </c>
      <c r="L18" s="44">
        <v>456000</v>
      </c>
      <c r="M18" s="44">
        <v>354000</v>
      </c>
      <c r="N18" s="45">
        <f>SUM(B18:M18)</f>
        <v>5215400</v>
      </c>
    </row>
    <row r="19" spans="1:14" x14ac:dyDescent="0.25">
      <c r="A19" s="20" t="s">
        <v>169</v>
      </c>
      <c r="B19" s="45">
        <v>3141100</v>
      </c>
      <c r="C19" s="45">
        <v>2754000</v>
      </c>
      <c r="D19" s="45">
        <v>3055200</v>
      </c>
      <c r="E19" s="45">
        <v>2758800</v>
      </c>
      <c r="F19" s="45">
        <v>3059600</v>
      </c>
      <c r="G19" s="45">
        <v>3102600</v>
      </c>
      <c r="H19" s="45">
        <v>3497500</v>
      </c>
      <c r="I19" s="45">
        <v>3425900</v>
      </c>
      <c r="J19" s="45">
        <v>3267800</v>
      </c>
      <c r="K19" s="45">
        <v>3240400</v>
      </c>
      <c r="L19" s="45">
        <v>2801600</v>
      </c>
      <c r="M19" s="45">
        <v>3624400</v>
      </c>
      <c r="N19" s="45">
        <f t="shared" ref="N19:N21" si="0">SUM(B19:M19)</f>
        <v>37728900</v>
      </c>
    </row>
    <row r="20" spans="1:14" x14ac:dyDescent="0.25">
      <c r="A20" s="20" t="s">
        <v>170</v>
      </c>
      <c r="B20" s="44">
        <v>7083600</v>
      </c>
      <c r="C20" s="44">
        <v>7432200</v>
      </c>
      <c r="D20" s="44">
        <v>7958600</v>
      </c>
      <c r="E20" s="44">
        <v>6691200</v>
      </c>
      <c r="F20" s="44">
        <v>6470100</v>
      </c>
      <c r="G20" s="44">
        <v>7910500</v>
      </c>
      <c r="H20" s="44">
        <v>8517900</v>
      </c>
      <c r="I20" s="44">
        <v>8912400</v>
      </c>
      <c r="J20" s="44">
        <v>8216500</v>
      </c>
      <c r="K20" s="44">
        <v>8420500</v>
      </c>
      <c r="L20" s="44">
        <v>9427700</v>
      </c>
      <c r="M20" s="44">
        <v>9692600</v>
      </c>
      <c r="N20" s="45">
        <f t="shared" si="0"/>
        <v>96733800</v>
      </c>
    </row>
    <row r="21" spans="1:14" x14ac:dyDescent="0.25">
      <c r="A21" s="20" t="s">
        <v>39</v>
      </c>
      <c r="B21" s="45">
        <f t="shared" ref="B21:M21" si="1">SUM(B18:B20)</f>
        <v>10645300</v>
      </c>
      <c r="C21" s="45">
        <f t="shared" si="1"/>
        <v>10655900</v>
      </c>
      <c r="D21" s="45">
        <f t="shared" si="1"/>
        <v>11435900</v>
      </c>
      <c r="E21" s="45">
        <f t="shared" si="1"/>
        <v>9931000</v>
      </c>
      <c r="F21" s="45">
        <f t="shared" si="1"/>
        <v>9995900</v>
      </c>
      <c r="G21" s="45">
        <f t="shared" si="1"/>
        <v>11474600</v>
      </c>
      <c r="H21" s="45">
        <f t="shared" si="1"/>
        <v>12429300</v>
      </c>
      <c r="I21" s="45">
        <f t="shared" si="1"/>
        <v>12720000</v>
      </c>
      <c r="J21" s="45">
        <f t="shared" si="1"/>
        <v>11904600</v>
      </c>
      <c r="K21" s="45">
        <f t="shared" si="1"/>
        <v>12129300</v>
      </c>
      <c r="L21" s="45">
        <f t="shared" si="1"/>
        <v>12685300</v>
      </c>
      <c r="M21" s="45">
        <f t="shared" si="1"/>
        <v>13671000</v>
      </c>
      <c r="N21" s="45">
        <f t="shared" si="0"/>
        <v>139678100</v>
      </c>
    </row>
    <row r="22" spans="1:14" x14ac:dyDescent="0.25">
      <c r="B22" s="45"/>
      <c r="C22" s="45"/>
      <c r="D22" s="45"/>
      <c r="E22" s="45"/>
      <c r="F22" s="45"/>
      <c r="G22" s="45"/>
      <c r="H22" s="45"/>
      <c r="I22" s="45"/>
      <c r="J22" s="45"/>
      <c r="K22" s="45"/>
      <c r="L22" s="45"/>
      <c r="M22" s="45"/>
      <c r="N22" s="45"/>
    </row>
    <row r="23" spans="1:14" x14ac:dyDescent="0.25">
      <c r="B23" s="157" t="s">
        <v>248</v>
      </c>
      <c r="C23" s="158"/>
      <c r="D23" s="158"/>
      <c r="E23" s="158"/>
      <c r="F23" s="158"/>
      <c r="G23" s="158"/>
      <c r="H23" s="158"/>
      <c r="I23" s="158"/>
      <c r="J23" s="158"/>
      <c r="K23" s="158"/>
      <c r="L23" s="158"/>
      <c r="M23" s="158"/>
    </row>
    <row r="24" spans="1:14" x14ac:dyDescent="0.25">
      <c r="A24" s="50"/>
      <c r="B24" s="118" t="s">
        <v>144</v>
      </c>
      <c r="C24" s="118" t="s">
        <v>145</v>
      </c>
      <c r="D24" s="118" t="s">
        <v>146</v>
      </c>
      <c r="E24" s="118" t="s">
        <v>147</v>
      </c>
      <c r="F24" s="118" t="s">
        <v>148</v>
      </c>
      <c r="G24" s="118" t="s">
        <v>149</v>
      </c>
      <c r="H24" s="118" t="s">
        <v>150</v>
      </c>
      <c r="I24" s="118" t="s">
        <v>151</v>
      </c>
      <c r="J24" s="118" t="s">
        <v>152</v>
      </c>
      <c r="K24" s="118" t="s">
        <v>153</v>
      </c>
      <c r="L24" s="118" t="s">
        <v>154</v>
      </c>
      <c r="M24" s="118" t="s">
        <v>155</v>
      </c>
      <c r="N24" s="50"/>
    </row>
    <row r="25" spans="1:14" x14ac:dyDescent="0.25">
      <c r="A25" s="50" t="s">
        <v>156</v>
      </c>
      <c r="B25" s="51">
        <v>447</v>
      </c>
      <c r="C25" s="51">
        <v>499</v>
      </c>
      <c r="D25" s="51">
        <v>434</v>
      </c>
      <c r="E25" s="51">
        <v>496</v>
      </c>
      <c r="F25" s="51">
        <v>486</v>
      </c>
      <c r="G25" s="51">
        <v>475</v>
      </c>
      <c r="H25" s="51">
        <v>420</v>
      </c>
      <c r="I25" s="51">
        <v>417</v>
      </c>
      <c r="J25" s="51">
        <v>435</v>
      </c>
      <c r="K25" s="51">
        <v>437</v>
      </c>
      <c r="L25" s="51">
        <v>485</v>
      </c>
      <c r="M25" s="51">
        <v>389</v>
      </c>
      <c r="N25" s="53">
        <f>SUM(B25:M25)</f>
        <v>5420</v>
      </c>
    </row>
    <row r="26" spans="1:14" x14ac:dyDescent="0.25">
      <c r="A26" s="50" t="s">
        <v>169</v>
      </c>
      <c r="B26" s="52">
        <v>660</v>
      </c>
      <c r="C26" s="52">
        <v>613</v>
      </c>
      <c r="D26" s="52">
        <v>667</v>
      </c>
      <c r="E26" s="52">
        <v>619</v>
      </c>
      <c r="F26" s="52">
        <v>630</v>
      </c>
      <c r="G26" s="52">
        <v>640</v>
      </c>
      <c r="H26" s="52">
        <v>694</v>
      </c>
      <c r="I26" s="52">
        <v>695</v>
      </c>
      <c r="J26" s="52">
        <v>682</v>
      </c>
      <c r="K26" s="52">
        <v>681</v>
      </c>
      <c r="L26" s="52">
        <v>636</v>
      </c>
      <c r="M26" s="52">
        <v>732</v>
      </c>
      <c r="N26" s="53">
        <f t="shared" ref="N26:N27" si="2">SUM(B26:M26)</f>
        <v>7949</v>
      </c>
    </row>
    <row r="27" spans="1:14" x14ac:dyDescent="0.25">
      <c r="A27" s="50" t="s">
        <v>170</v>
      </c>
      <c r="B27" s="52">
        <v>34</v>
      </c>
      <c r="C27" s="52">
        <v>29</v>
      </c>
      <c r="D27" s="52">
        <v>34</v>
      </c>
      <c r="E27" s="52">
        <v>25</v>
      </c>
      <c r="F27" s="52">
        <v>25</v>
      </c>
      <c r="G27" s="52">
        <v>33</v>
      </c>
      <c r="H27" s="52">
        <v>36</v>
      </c>
      <c r="I27" s="52">
        <v>41</v>
      </c>
      <c r="J27" s="52">
        <v>42</v>
      </c>
      <c r="K27" s="52">
        <v>40</v>
      </c>
      <c r="L27" s="52">
        <v>37</v>
      </c>
      <c r="M27" s="52">
        <v>37</v>
      </c>
      <c r="N27" s="53">
        <f t="shared" si="2"/>
        <v>413</v>
      </c>
    </row>
    <row r="28" spans="1:14" x14ac:dyDescent="0.25">
      <c r="A28" s="50"/>
      <c r="B28" s="52">
        <f>SUM(B25:B27)</f>
        <v>1141</v>
      </c>
      <c r="C28" s="52">
        <f t="shared" ref="C28:N28" si="3">SUM(C25:C27)</f>
        <v>1141</v>
      </c>
      <c r="D28" s="52">
        <f t="shared" si="3"/>
        <v>1135</v>
      </c>
      <c r="E28" s="52">
        <f t="shared" si="3"/>
        <v>1140</v>
      </c>
      <c r="F28" s="52">
        <f t="shared" si="3"/>
        <v>1141</v>
      </c>
      <c r="G28" s="52">
        <f t="shared" si="3"/>
        <v>1148</v>
      </c>
      <c r="H28" s="52">
        <f t="shared" si="3"/>
        <v>1150</v>
      </c>
      <c r="I28" s="52">
        <f t="shared" si="3"/>
        <v>1153</v>
      </c>
      <c r="J28" s="52">
        <f t="shared" si="3"/>
        <v>1159</v>
      </c>
      <c r="K28" s="52">
        <f t="shared" si="3"/>
        <v>1158</v>
      </c>
      <c r="L28" s="52">
        <f t="shared" si="3"/>
        <v>1158</v>
      </c>
      <c r="M28" s="52">
        <f t="shared" si="3"/>
        <v>1158</v>
      </c>
      <c r="N28" s="53">
        <f t="shared" si="3"/>
        <v>13782</v>
      </c>
    </row>
    <row r="29" spans="1:14" x14ac:dyDescent="0.25">
      <c r="B29" s="45"/>
      <c r="C29" s="45"/>
      <c r="D29" s="45"/>
      <c r="E29" s="45"/>
      <c r="F29" s="45"/>
      <c r="G29" s="45"/>
      <c r="H29" s="45"/>
      <c r="I29" s="45"/>
      <c r="J29" s="45"/>
      <c r="K29" s="45"/>
      <c r="L29" s="45"/>
      <c r="M29" s="45"/>
      <c r="N29" s="45"/>
    </row>
    <row r="30" spans="1:14" x14ac:dyDescent="0.25">
      <c r="B30" s="45"/>
      <c r="C30" s="45"/>
      <c r="D30" s="45"/>
      <c r="E30" s="45"/>
      <c r="F30" s="45"/>
      <c r="G30" s="45"/>
      <c r="H30" s="45"/>
      <c r="I30" s="45"/>
      <c r="J30" s="45"/>
      <c r="K30" s="45"/>
      <c r="L30" s="45"/>
      <c r="M30" s="45"/>
      <c r="N30" s="45"/>
    </row>
    <row r="31" spans="1:14" x14ac:dyDescent="0.25">
      <c r="B31" s="167" t="s">
        <v>171</v>
      </c>
      <c r="C31" s="167"/>
      <c r="D31" s="167"/>
      <c r="E31" s="167"/>
      <c r="F31" s="167"/>
      <c r="G31" s="167"/>
      <c r="H31" s="167"/>
      <c r="I31" s="167"/>
      <c r="J31" s="167"/>
      <c r="K31" s="167"/>
      <c r="L31" s="167"/>
      <c r="M31" s="167"/>
      <c r="N31" s="45"/>
    </row>
    <row r="32" spans="1:14" x14ac:dyDescent="0.25">
      <c r="B32" s="117" t="s">
        <v>144</v>
      </c>
      <c r="C32" s="117" t="s">
        <v>145</v>
      </c>
      <c r="D32" s="117" t="s">
        <v>146</v>
      </c>
      <c r="E32" s="117" t="s">
        <v>147</v>
      </c>
      <c r="F32" s="117" t="s">
        <v>148</v>
      </c>
      <c r="G32" s="117" t="s">
        <v>149</v>
      </c>
      <c r="H32" s="117" t="s">
        <v>150</v>
      </c>
      <c r="I32" s="117" t="s">
        <v>151</v>
      </c>
      <c r="J32" s="117" t="s">
        <v>152</v>
      </c>
      <c r="K32" s="117" t="s">
        <v>153</v>
      </c>
      <c r="L32" s="117" t="s">
        <v>154</v>
      </c>
      <c r="M32" s="117" t="s">
        <v>155</v>
      </c>
      <c r="N32" s="117" t="s">
        <v>39</v>
      </c>
    </row>
    <row r="33" spans="1:14" x14ac:dyDescent="0.25">
      <c r="A33" s="20" t="s">
        <v>156</v>
      </c>
      <c r="B33" s="44">
        <v>420600</v>
      </c>
      <c r="C33" s="44">
        <v>469700</v>
      </c>
      <c r="D33" s="44">
        <v>422100</v>
      </c>
      <c r="E33" s="44">
        <v>481000</v>
      </c>
      <c r="F33" s="44">
        <v>466200</v>
      </c>
      <c r="G33" s="44">
        <v>461500</v>
      </c>
      <c r="H33" s="44">
        <v>413900</v>
      </c>
      <c r="I33" s="44">
        <v>381700</v>
      </c>
      <c r="J33" s="44">
        <v>420300</v>
      </c>
      <c r="K33" s="44">
        <v>468400</v>
      </c>
      <c r="L33" s="44">
        <v>456000</v>
      </c>
      <c r="M33" s="44">
        <v>354000</v>
      </c>
      <c r="N33" s="45">
        <f>SUM(B33:M33)</f>
        <v>5215400</v>
      </c>
    </row>
    <row r="34" spans="1:14" x14ac:dyDescent="0.25">
      <c r="A34" s="20" t="s">
        <v>169</v>
      </c>
      <c r="B34" s="44">
        <v>3141100</v>
      </c>
      <c r="C34" s="44">
        <v>2754000</v>
      </c>
      <c r="D34" s="44">
        <v>3055200</v>
      </c>
      <c r="E34" s="44">
        <v>2758800</v>
      </c>
      <c r="F34" s="44">
        <v>3059600</v>
      </c>
      <c r="G34" s="44">
        <v>3102600</v>
      </c>
      <c r="H34" s="44">
        <v>3497500</v>
      </c>
      <c r="I34" s="44">
        <v>3425900</v>
      </c>
      <c r="J34" s="44">
        <v>3267800</v>
      </c>
      <c r="K34" s="44">
        <v>3240400</v>
      </c>
      <c r="L34" s="44">
        <v>2801600</v>
      </c>
      <c r="M34" s="44">
        <v>3624400</v>
      </c>
      <c r="N34" s="45">
        <f>SUM(B34:M34)</f>
        <v>37728900</v>
      </c>
    </row>
    <row r="35" spans="1:14" x14ac:dyDescent="0.25">
      <c r="A35" s="20" t="s">
        <v>170</v>
      </c>
      <c r="B35" s="44">
        <f>7083600-B67</f>
        <v>2015500</v>
      </c>
      <c r="C35" s="44">
        <f>7432200-B68</f>
        <v>2301600</v>
      </c>
      <c r="D35" s="44">
        <f>7958600-B69</f>
        <v>2814400</v>
      </c>
      <c r="E35" s="44">
        <f>6691200-B70</f>
        <v>1895600</v>
      </c>
      <c r="F35" s="44">
        <f>6470100-B71</f>
        <v>1885500</v>
      </c>
      <c r="G35" s="44">
        <f>7910500-B72</f>
        <v>2517100</v>
      </c>
      <c r="H35" s="44">
        <f>8517900-B73</f>
        <v>2592400</v>
      </c>
      <c r="I35" s="44">
        <f>8912400-B74</f>
        <v>2669200</v>
      </c>
      <c r="J35" s="44">
        <f>8216500-B75</f>
        <v>2704800</v>
      </c>
      <c r="K35" s="44">
        <f>8420500-B76</f>
        <v>3066500</v>
      </c>
      <c r="L35" s="44">
        <f>9427700-B77</f>
        <v>2567500</v>
      </c>
      <c r="M35" s="44">
        <f>9692600-B78</f>
        <v>2436800</v>
      </c>
      <c r="N35" s="45">
        <f>SUM(B35:M35)</f>
        <v>29466900</v>
      </c>
    </row>
    <row r="36" spans="1:14" x14ac:dyDescent="0.25">
      <c r="A36" s="20" t="s">
        <v>39</v>
      </c>
      <c r="B36" s="45">
        <f>SUM(B33:B35)</f>
        <v>5577200</v>
      </c>
      <c r="C36" s="45">
        <f t="shared" ref="C36:M36" si="4">SUM(C33:C35)</f>
        <v>5525300</v>
      </c>
      <c r="D36" s="45">
        <f t="shared" si="4"/>
        <v>6291700</v>
      </c>
      <c r="E36" s="45">
        <f t="shared" si="4"/>
        <v>5135400</v>
      </c>
      <c r="F36" s="45">
        <f t="shared" si="4"/>
        <v>5411300</v>
      </c>
      <c r="G36" s="45">
        <f t="shared" si="4"/>
        <v>6081200</v>
      </c>
      <c r="H36" s="45">
        <f t="shared" si="4"/>
        <v>6503800</v>
      </c>
      <c r="I36" s="45">
        <f t="shared" si="4"/>
        <v>6476800</v>
      </c>
      <c r="J36" s="45">
        <f t="shared" si="4"/>
        <v>6392900</v>
      </c>
      <c r="K36" s="45">
        <f t="shared" si="4"/>
        <v>6775300</v>
      </c>
      <c r="L36" s="45">
        <f t="shared" si="4"/>
        <v>5825100</v>
      </c>
      <c r="M36" s="45">
        <f t="shared" si="4"/>
        <v>6415200</v>
      </c>
      <c r="N36" s="45">
        <f>SUM(B36:M36)</f>
        <v>72411200</v>
      </c>
    </row>
    <row r="37" spans="1:14" x14ac:dyDescent="0.25">
      <c r="B37" s="45"/>
      <c r="C37" s="45"/>
      <c r="D37" s="45"/>
      <c r="E37" s="45"/>
      <c r="F37" s="45"/>
      <c r="G37" s="45"/>
      <c r="H37" s="45"/>
      <c r="I37" s="45"/>
      <c r="J37" s="45"/>
      <c r="K37" s="45"/>
      <c r="L37" s="45"/>
      <c r="M37" s="45"/>
      <c r="N37" s="45"/>
    </row>
    <row r="38" spans="1:14" x14ac:dyDescent="0.25">
      <c r="B38" s="158" t="s">
        <v>157</v>
      </c>
      <c r="C38" s="158"/>
      <c r="D38" s="158"/>
      <c r="E38" s="158"/>
      <c r="F38" s="158"/>
      <c r="G38" s="158"/>
      <c r="H38" s="158"/>
      <c r="I38" s="158"/>
      <c r="J38" s="158"/>
      <c r="K38" s="158"/>
      <c r="L38" s="158"/>
      <c r="M38" s="158"/>
    </row>
    <row r="39" spans="1:14" x14ac:dyDescent="0.25">
      <c r="A39" s="50"/>
      <c r="B39" s="118" t="s">
        <v>144</v>
      </c>
      <c r="C39" s="118" t="s">
        <v>145</v>
      </c>
      <c r="D39" s="118" t="s">
        <v>146</v>
      </c>
      <c r="E39" s="118" t="s">
        <v>147</v>
      </c>
      <c r="F39" s="118" t="s">
        <v>148</v>
      </c>
      <c r="G39" s="118" t="s">
        <v>149</v>
      </c>
      <c r="H39" s="118" t="s">
        <v>150</v>
      </c>
      <c r="I39" s="118" t="s">
        <v>151</v>
      </c>
      <c r="J39" s="118" t="s">
        <v>152</v>
      </c>
      <c r="K39" s="118" t="s">
        <v>153</v>
      </c>
      <c r="L39" s="118" t="s">
        <v>154</v>
      </c>
      <c r="M39" s="118" t="s">
        <v>155</v>
      </c>
      <c r="N39" s="50"/>
    </row>
    <row r="40" spans="1:14" x14ac:dyDescent="0.25">
      <c r="A40" s="50" t="s">
        <v>156</v>
      </c>
      <c r="B40" s="51">
        <v>447</v>
      </c>
      <c r="C40" s="51">
        <v>499</v>
      </c>
      <c r="D40" s="51">
        <v>434</v>
      </c>
      <c r="E40" s="51">
        <v>496</v>
      </c>
      <c r="F40" s="51">
        <v>486</v>
      </c>
      <c r="G40" s="51">
        <v>475</v>
      </c>
      <c r="H40" s="51">
        <v>420</v>
      </c>
      <c r="I40" s="51">
        <v>417</v>
      </c>
      <c r="J40" s="51">
        <v>435</v>
      </c>
      <c r="K40" s="51">
        <v>437</v>
      </c>
      <c r="L40" s="51">
        <v>485</v>
      </c>
      <c r="M40" s="51">
        <v>389</v>
      </c>
      <c r="N40" s="53">
        <f>SUM(B40:M40)</f>
        <v>5420</v>
      </c>
    </row>
    <row r="41" spans="1:14" x14ac:dyDescent="0.25">
      <c r="A41" s="50" t="s">
        <v>169</v>
      </c>
      <c r="B41" s="52">
        <v>660</v>
      </c>
      <c r="C41" s="52">
        <v>613</v>
      </c>
      <c r="D41" s="52">
        <v>667</v>
      </c>
      <c r="E41" s="52">
        <v>619</v>
      </c>
      <c r="F41" s="52">
        <v>630</v>
      </c>
      <c r="G41" s="52">
        <v>640</v>
      </c>
      <c r="H41" s="52">
        <v>694</v>
      </c>
      <c r="I41" s="52">
        <v>695</v>
      </c>
      <c r="J41" s="52">
        <v>682</v>
      </c>
      <c r="K41" s="52">
        <v>681</v>
      </c>
      <c r="L41" s="52">
        <v>636</v>
      </c>
      <c r="M41" s="52">
        <v>732</v>
      </c>
      <c r="N41" s="53">
        <f t="shared" ref="N41:N42" si="5">SUM(B41:M41)</f>
        <v>7949</v>
      </c>
    </row>
    <row r="42" spans="1:14" x14ac:dyDescent="0.25">
      <c r="A42" s="50" t="s">
        <v>170</v>
      </c>
      <c r="B42" s="52">
        <v>33</v>
      </c>
      <c r="C42" s="52">
        <v>28</v>
      </c>
      <c r="D42" s="52">
        <v>33</v>
      </c>
      <c r="E42" s="52">
        <v>24</v>
      </c>
      <c r="F42" s="52">
        <v>24</v>
      </c>
      <c r="G42" s="52">
        <v>32</v>
      </c>
      <c r="H42" s="52">
        <v>35</v>
      </c>
      <c r="I42" s="52">
        <v>40</v>
      </c>
      <c r="J42" s="52">
        <v>41</v>
      </c>
      <c r="K42" s="52">
        <v>39</v>
      </c>
      <c r="L42" s="52">
        <v>36</v>
      </c>
      <c r="M42" s="52">
        <v>36</v>
      </c>
      <c r="N42" s="53">
        <f t="shared" si="5"/>
        <v>401</v>
      </c>
    </row>
    <row r="43" spans="1:14" x14ac:dyDescent="0.25">
      <c r="A43" s="50"/>
      <c r="B43" s="52">
        <f>SUM(B40:B42)</f>
        <v>1140</v>
      </c>
      <c r="C43" s="52">
        <f t="shared" ref="C43:M43" si="6">SUM(C40:C42)</f>
        <v>1140</v>
      </c>
      <c r="D43" s="52">
        <f t="shared" si="6"/>
        <v>1134</v>
      </c>
      <c r="E43" s="52">
        <f t="shared" si="6"/>
        <v>1139</v>
      </c>
      <c r="F43" s="52">
        <f t="shared" si="6"/>
        <v>1140</v>
      </c>
      <c r="G43" s="52">
        <f t="shared" si="6"/>
        <v>1147</v>
      </c>
      <c r="H43" s="52">
        <f t="shared" si="6"/>
        <v>1149</v>
      </c>
      <c r="I43" s="52">
        <f t="shared" si="6"/>
        <v>1152</v>
      </c>
      <c r="J43" s="52">
        <f t="shared" si="6"/>
        <v>1158</v>
      </c>
      <c r="K43" s="52">
        <f t="shared" si="6"/>
        <v>1157</v>
      </c>
      <c r="L43" s="52">
        <f t="shared" si="6"/>
        <v>1157</v>
      </c>
      <c r="M43" s="52">
        <f t="shared" si="6"/>
        <v>1157</v>
      </c>
      <c r="N43" s="53">
        <f>SUM(N40:N42)</f>
        <v>13770</v>
      </c>
    </row>
    <row r="45" spans="1:14" x14ac:dyDescent="0.25">
      <c r="A45" s="165" t="s">
        <v>175</v>
      </c>
      <c r="B45" s="165"/>
      <c r="C45" s="165"/>
      <c r="D45" s="165"/>
      <c r="E45" s="165"/>
      <c r="F45" s="165"/>
    </row>
    <row r="46" spans="1:14" x14ac:dyDescent="0.25">
      <c r="B46" s="118" t="s">
        <v>143</v>
      </c>
      <c r="C46" s="118" t="s">
        <v>158</v>
      </c>
      <c r="D46" s="118" t="s">
        <v>172</v>
      </c>
      <c r="E46" s="118" t="s">
        <v>173</v>
      </c>
      <c r="F46" s="118" t="s">
        <v>174</v>
      </c>
    </row>
    <row r="47" spans="1:14" x14ac:dyDescent="0.25">
      <c r="A47" s="20" t="s">
        <v>156</v>
      </c>
      <c r="B47" s="45">
        <f>N40</f>
        <v>5420</v>
      </c>
      <c r="C47" s="45">
        <f>N33</f>
        <v>5215400</v>
      </c>
      <c r="D47" s="45">
        <f>N33</f>
        <v>5215400</v>
      </c>
      <c r="E47" s="45"/>
      <c r="G47" s="45">
        <f>SUM(D47:F47)</f>
        <v>5215400</v>
      </c>
    </row>
    <row r="48" spans="1:14" x14ac:dyDescent="0.25">
      <c r="A48" s="20" t="s">
        <v>169</v>
      </c>
      <c r="B48" s="44">
        <f>N41</f>
        <v>7949</v>
      </c>
      <c r="C48" s="44">
        <f>N34</f>
        <v>37728900</v>
      </c>
      <c r="D48" s="45">
        <f>B48*2000</f>
        <v>15898000</v>
      </c>
      <c r="E48" s="45">
        <f>N34-D48</f>
        <v>21830900</v>
      </c>
      <c r="G48" s="45">
        <f>SUM(D48:F48)</f>
        <v>37728900</v>
      </c>
    </row>
    <row r="49" spans="1:9" x14ac:dyDescent="0.25">
      <c r="A49" s="20" t="s">
        <v>170</v>
      </c>
      <c r="B49" s="44">
        <f>N42</f>
        <v>401</v>
      </c>
      <c r="C49" s="44">
        <f>N35</f>
        <v>29466900</v>
      </c>
      <c r="D49" s="45">
        <f>B49*2000</f>
        <v>802000</v>
      </c>
      <c r="E49" s="45">
        <f>B49*18000</f>
        <v>7218000</v>
      </c>
      <c r="F49" s="45">
        <f>N35-(D49+E49)</f>
        <v>21446900</v>
      </c>
      <c r="G49" s="45">
        <f>SUM(D49:F49)</f>
        <v>29466900</v>
      </c>
    </row>
    <row r="50" spans="1:9" x14ac:dyDescent="0.25">
      <c r="A50" s="20" t="s">
        <v>176</v>
      </c>
      <c r="B50" s="44">
        <f>SUM(B47:B49)</f>
        <v>13770</v>
      </c>
      <c r="C50" s="44">
        <f>SUM(C47:C49)</f>
        <v>72411200</v>
      </c>
      <c r="D50" s="45">
        <f>SUM(D47:D49)</f>
        <v>21915400</v>
      </c>
      <c r="E50" s="45">
        <f>SUM(E48:E49)</f>
        <v>29048900</v>
      </c>
      <c r="F50" s="45">
        <f>SUM(F49)</f>
        <v>21446900</v>
      </c>
      <c r="G50" s="45">
        <f>SUM(G47:G49)</f>
        <v>72411200</v>
      </c>
      <c r="I50" s="45"/>
    </row>
    <row r="51" spans="1:9" x14ac:dyDescent="0.25">
      <c r="D51" s="45"/>
      <c r="F51" s="45"/>
    </row>
    <row r="52" spans="1:9" x14ac:dyDescent="0.25">
      <c r="A52" s="165" t="s">
        <v>177</v>
      </c>
      <c r="B52" s="166"/>
      <c r="C52" s="166"/>
      <c r="D52" s="166"/>
      <c r="E52" s="166"/>
      <c r="F52" s="166"/>
    </row>
    <row r="53" spans="1:9" x14ac:dyDescent="0.25">
      <c r="A53" s="118"/>
      <c r="B53" s="118" t="s">
        <v>143</v>
      </c>
      <c r="C53" s="118" t="s">
        <v>158</v>
      </c>
      <c r="D53" s="165" t="s">
        <v>165</v>
      </c>
      <c r="E53" s="165"/>
      <c r="F53" s="118" t="s">
        <v>166</v>
      </c>
    </row>
    <row r="54" spans="1:9" x14ac:dyDescent="0.25">
      <c r="A54" s="20" t="s">
        <v>156</v>
      </c>
      <c r="B54" s="45">
        <f>B50</f>
        <v>13770</v>
      </c>
      <c r="C54" s="45">
        <f>D50</f>
        <v>21915400</v>
      </c>
      <c r="D54" s="46">
        <f>(('RevReq Calculation'!B14/100)+1)*24.19</f>
        <v>36.073642140278331</v>
      </c>
      <c r="E54" s="20" t="s">
        <v>167</v>
      </c>
      <c r="F54" s="17">
        <f>B54*D54</f>
        <v>496734.05227163259</v>
      </c>
    </row>
    <row r="55" spans="1:9" x14ac:dyDescent="0.25">
      <c r="A55" s="20" t="s">
        <v>169</v>
      </c>
      <c r="B55" s="44"/>
      <c r="C55" s="44">
        <f>E50</f>
        <v>29048900</v>
      </c>
      <c r="D55" s="141">
        <f>(('RevReq Calculation'!B14/100)+1)*0.00844</f>
        <v>1.2586256290365815E-2</v>
      </c>
      <c r="E55" s="20" t="s">
        <v>168</v>
      </c>
      <c r="F55" s="17">
        <f>C55*D55</f>
        <v>365616.90035320754</v>
      </c>
    </row>
    <row r="56" spans="1:9" x14ac:dyDescent="0.25">
      <c r="A56" s="20" t="s">
        <v>170</v>
      </c>
      <c r="C56" s="45">
        <f>F50</f>
        <v>21446900</v>
      </c>
      <c r="D56" s="144">
        <f>(('RevReq Calculation'!B14/100)+1)*0.0075</f>
        <v>1.118446945233929E-2</v>
      </c>
      <c r="E56" s="20" t="s">
        <v>168</v>
      </c>
      <c r="F56" s="48">
        <f>D56*C56</f>
        <v>239872.19789737553</v>
      </c>
    </row>
    <row r="57" spans="1:9" x14ac:dyDescent="0.25">
      <c r="A57" s="20" t="s">
        <v>176</v>
      </c>
      <c r="B57" s="44">
        <f>SUM(B54:B56)</f>
        <v>13770</v>
      </c>
      <c r="C57" s="45">
        <f>SUM(C54:C56)</f>
        <v>72411200</v>
      </c>
      <c r="F57" s="48">
        <f>SUM(F54:F56)</f>
        <v>1102223.1505222158</v>
      </c>
    </row>
    <row r="58" spans="1:9" x14ac:dyDescent="0.25">
      <c r="E58" s="45"/>
    </row>
    <row r="59" spans="1:9" x14ac:dyDescent="0.25">
      <c r="A59" s="165"/>
      <c r="B59" s="166"/>
      <c r="C59" s="166"/>
      <c r="D59" s="166"/>
      <c r="E59" s="166"/>
      <c r="F59" s="166"/>
    </row>
    <row r="61" spans="1:9" x14ac:dyDescent="0.25">
      <c r="A61" s="165" t="s">
        <v>163</v>
      </c>
      <c r="B61" s="165"/>
      <c r="C61" s="165"/>
      <c r="D61" s="165"/>
      <c r="E61" s="165"/>
      <c r="F61" s="165"/>
    </row>
    <row r="62" spans="1:9" x14ac:dyDescent="0.25">
      <c r="B62" s="118" t="s">
        <v>143</v>
      </c>
      <c r="C62" s="118" t="s">
        <v>178</v>
      </c>
      <c r="D62" s="118" t="s">
        <v>179</v>
      </c>
      <c r="E62" s="118" t="s">
        <v>39</v>
      </c>
    </row>
    <row r="63" spans="1:9" x14ac:dyDescent="0.25">
      <c r="A63" s="20" t="s">
        <v>164</v>
      </c>
      <c r="B63" s="20">
        <v>12</v>
      </c>
      <c r="C63" s="44">
        <f>12*1300000</f>
        <v>15600000</v>
      </c>
      <c r="D63" s="45">
        <f>C79</f>
        <v>51666900</v>
      </c>
      <c r="E63" s="44">
        <f>C63+D63</f>
        <v>67266900</v>
      </c>
    </row>
    <row r="64" spans="1:9" x14ac:dyDescent="0.25">
      <c r="A64" s="20" t="s">
        <v>39</v>
      </c>
      <c r="B64" s="20">
        <f>SUM(B63:B63)</f>
        <v>12</v>
      </c>
      <c r="C64" s="44">
        <f>SUM(C63:C63)</f>
        <v>15600000</v>
      </c>
      <c r="D64" s="44">
        <f>SUM(D63)</f>
        <v>51666900</v>
      </c>
      <c r="E64" s="44">
        <f>SUM(E63:E63)</f>
        <v>67266900</v>
      </c>
    </row>
    <row r="66" spans="1:4" x14ac:dyDescent="0.25">
      <c r="A66" s="118" t="s">
        <v>159</v>
      </c>
      <c r="B66" s="118" t="s">
        <v>160</v>
      </c>
      <c r="C66" s="118" t="s">
        <v>161</v>
      </c>
      <c r="D66" s="118" t="s">
        <v>162</v>
      </c>
    </row>
    <row r="67" spans="1:4" x14ac:dyDescent="0.25">
      <c r="A67" s="20" t="s">
        <v>144</v>
      </c>
      <c r="B67" s="44">
        <v>5068100</v>
      </c>
      <c r="C67" s="44">
        <f>IF((B67-1300000)&lt;0,0,(B67-1300000))</f>
        <v>3768100</v>
      </c>
      <c r="D67" s="20">
        <v>0</v>
      </c>
    </row>
    <row r="68" spans="1:4" x14ac:dyDescent="0.25">
      <c r="A68" s="20" t="s">
        <v>145</v>
      </c>
      <c r="B68" s="44">
        <v>5130600</v>
      </c>
      <c r="C68" s="44">
        <f t="shared" ref="C68:C78" si="7">IF((B68-1300000)&lt;0,0,(B68-1300000))</f>
        <v>3830600</v>
      </c>
      <c r="D68" s="20">
        <v>0</v>
      </c>
    </row>
    <row r="69" spans="1:4" x14ac:dyDescent="0.25">
      <c r="A69" s="20" t="s">
        <v>146</v>
      </c>
      <c r="B69" s="44">
        <v>5144200</v>
      </c>
      <c r="C69" s="44">
        <f t="shared" si="7"/>
        <v>3844200</v>
      </c>
      <c r="D69" s="20">
        <v>0</v>
      </c>
    </row>
    <row r="70" spans="1:4" x14ac:dyDescent="0.25">
      <c r="A70" s="20" t="s">
        <v>147</v>
      </c>
      <c r="B70" s="44">
        <v>4795600</v>
      </c>
      <c r="C70" s="44">
        <f t="shared" si="7"/>
        <v>3495600</v>
      </c>
      <c r="D70" s="20">
        <v>0</v>
      </c>
    </row>
    <row r="71" spans="1:4" x14ac:dyDescent="0.25">
      <c r="A71" s="20" t="s">
        <v>148</v>
      </c>
      <c r="B71" s="44">
        <v>4584600</v>
      </c>
      <c r="C71" s="44">
        <f t="shared" si="7"/>
        <v>3284600</v>
      </c>
      <c r="D71" s="20">
        <v>0</v>
      </c>
    </row>
    <row r="72" spans="1:4" x14ac:dyDescent="0.25">
      <c r="A72" s="20" t="s">
        <v>149</v>
      </c>
      <c r="B72" s="44">
        <v>5393400</v>
      </c>
      <c r="C72" s="44">
        <f t="shared" si="7"/>
        <v>4093400</v>
      </c>
      <c r="D72" s="20">
        <v>0</v>
      </c>
    </row>
    <row r="73" spans="1:4" x14ac:dyDescent="0.25">
      <c r="A73" s="20" t="s">
        <v>150</v>
      </c>
      <c r="B73" s="44">
        <v>5925500</v>
      </c>
      <c r="C73" s="44">
        <f t="shared" si="7"/>
        <v>4625500</v>
      </c>
      <c r="D73" s="20">
        <v>0</v>
      </c>
    </row>
    <row r="74" spans="1:4" x14ac:dyDescent="0.25">
      <c r="A74" s="20" t="s">
        <v>151</v>
      </c>
      <c r="B74" s="44">
        <v>6243200</v>
      </c>
      <c r="C74" s="44">
        <f t="shared" si="7"/>
        <v>4943200</v>
      </c>
      <c r="D74" s="20">
        <v>0</v>
      </c>
    </row>
    <row r="75" spans="1:4" x14ac:dyDescent="0.25">
      <c r="A75" s="20" t="s">
        <v>152</v>
      </c>
      <c r="B75" s="44">
        <v>5511700</v>
      </c>
      <c r="C75" s="44">
        <f t="shared" si="7"/>
        <v>4211700</v>
      </c>
      <c r="D75" s="20">
        <v>0</v>
      </c>
    </row>
    <row r="76" spans="1:4" x14ac:dyDescent="0.25">
      <c r="A76" s="20" t="s">
        <v>153</v>
      </c>
      <c r="B76" s="44">
        <v>5354000</v>
      </c>
      <c r="C76" s="44">
        <f t="shared" si="7"/>
        <v>4054000</v>
      </c>
      <c r="D76" s="20">
        <v>0</v>
      </c>
    </row>
    <row r="77" spans="1:4" x14ac:dyDescent="0.25">
      <c r="A77" s="20" t="s">
        <v>154</v>
      </c>
      <c r="B77" s="44">
        <v>6860200</v>
      </c>
      <c r="C77" s="44">
        <f t="shared" si="7"/>
        <v>5560200</v>
      </c>
      <c r="D77" s="20">
        <v>0</v>
      </c>
    </row>
    <row r="78" spans="1:4" x14ac:dyDescent="0.25">
      <c r="A78" s="20" t="s">
        <v>155</v>
      </c>
      <c r="B78" s="44">
        <v>7255800</v>
      </c>
      <c r="C78" s="44">
        <f t="shared" si="7"/>
        <v>5955800</v>
      </c>
      <c r="D78" s="20">
        <v>0</v>
      </c>
    </row>
    <row r="79" spans="1:4" x14ac:dyDescent="0.25">
      <c r="B79" s="45">
        <f>SUM(B67:B78)</f>
        <v>67266900</v>
      </c>
      <c r="C79" s="44">
        <f>SUM(C67:C78)</f>
        <v>51666900</v>
      </c>
    </row>
    <row r="81" spans="1:6" x14ac:dyDescent="0.25">
      <c r="A81" s="157" t="s">
        <v>163</v>
      </c>
      <c r="B81" s="157"/>
      <c r="C81" s="157"/>
      <c r="D81" s="157"/>
      <c r="E81" s="157"/>
      <c r="F81" s="157"/>
    </row>
    <row r="82" spans="1:6" x14ac:dyDescent="0.25">
      <c r="B82" s="118" t="s">
        <v>143</v>
      </c>
      <c r="C82" s="118" t="s">
        <v>158</v>
      </c>
      <c r="D82" s="118" t="s">
        <v>165</v>
      </c>
      <c r="E82" s="118"/>
      <c r="F82" s="118" t="s">
        <v>166</v>
      </c>
    </row>
    <row r="83" spans="1:6" x14ac:dyDescent="0.25">
      <c r="A83" s="20" t="s">
        <v>180</v>
      </c>
      <c r="B83" s="119">
        <v>12</v>
      </c>
      <c r="C83" s="45">
        <f>C63</f>
        <v>15600000</v>
      </c>
      <c r="D83" s="17">
        <f>(('RevReq Calculation'!B14/100)+1)*9703.13</f>
        <v>14469.914810276925</v>
      </c>
      <c r="E83" s="20" t="s">
        <v>167</v>
      </c>
      <c r="F83" s="48">
        <f>12*D83</f>
        <v>173638.9777233231</v>
      </c>
    </row>
    <row r="84" spans="1:6" x14ac:dyDescent="0.25">
      <c r="A84" s="20" t="s">
        <v>181</v>
      </c>
      <c r="C84" s="45">
        <f>D63</f>
        <v>51666900</v>
      </c>
      <c r="D84" s="20">
        <f>(('RevReq Calculation'!B14/100)+1)*0.00844</f>
        <v>1.2586256290365815E-2</v>
      </c>
      <c r="E84" s="20" t="s">
        <v>168</v>
      </c>
      <c r="F84" s="17">
        <f>C84*D84</f>
        <v>650292.84512870153</v>
      </c>
    </row>
    <row r="85" spans="1:6" x14ac:dyDescent="0.25">
      <c r="A85" s="20" t="s">
        <v>39</v>
      </c>
      <c r="C85" s="45">
        <f>SUM(C83:C84)</f>
        <v>67266900</v>
      </c>
      <c r="F85" s="48">
        <f>SUM(F83:F84)</f>
        <v>823931.82285202458</v>
      </c>
    </row>
    <row r="87" spans="1:6" x14ac:dyDescent="0.25">
      <c r="A87" s="20" t="s">
        <v>39</v>
      </c>
      <c r="B87" s="45">
        <f>B57+B83</f>
        <v>13782</v>
      </c>
      <c r="C87" s="45">
        <f>C57+C85</f>
        <v>139678100</v>
      </c>
      <c r="F87" s="48">
        <f>F57+F85</f>
        <v>1926154.9733742403</v>
      </c>
    </row>
  </sheetData>
  <mergeCells count="10">
    <mergeCell ref="D53:E53"/>
    <mergeCell ref="A59:F59"/>
    <mergeCell ref="A61:F61"/>
    <mergeCell ref="A81:F81"/>
    <mergeCell ref="B16:M16"/>
    <mergeCell ref="B23:M23"/>
    <mergeCell ref="B31:M31"/>
    <mergeCell ref="B38:M38"/>
    <mergeCell ref="A45:F45"/>
    <mergeCell ref="A52:F5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38B23-303E-48BE-82F4-B2A950C41A8D}">
  <dimension ref="A1:N93"/>
  <sheetViews>
    <sheetView topLeftCell="A39" workbookViewId="0">
      <selection activeCell="D54" sqref="D54"/>
    </sheetView>
  </sheetViews>
  <sheetFormatPr defaultRowHeight="15" x14ac:dyDescent="0.25"/>
  <cols>
    <col min="1" max="1" width="29.28515625" style="20" customWidth="1"/>
    <col min="2" max="2" width="22.5703125" style="20" customWidth="1"/>
    <col min="3" max="3" width="14.42578125" style="20" bestFit="1" customWidth="1"/>
    <col min="4" max="4" width="15" style="20" customWidth="1"/>
    <col min="5" max="6" width="14.42578125" style="20" bestFit="1" customWidth="1"/>
    <col min="7" max="9" width="14.28515625" style="20" bestFit="1" customWidth="1"/>
    <col min="10" max="11" width="12.85546875" style="20" customWidth="1"/>
    <col min="12" max="12" width="11.28515625" style="20" customWidth="1"/>
    <col min="13" max="13" width="12.140625" style="20" customWidth="1"/>
    <col min="14" max="14" width="14.42578125" style="20" customWidth="1"/>
    <col min="15" max="16384" width="9.140625" style="20"/>
  </cols>
  <sheetData>
    <row r="1" spans="1:13" x14ac:dyDescent="0.25">
      <c r="A1" s="148" t="s">
        <v>141</v>
      </c>
      <c r="B1" s="148" t="s">
        <v>142</v>
      </c>
      <c r="C1" s="148" t="s">
        <v>143</v>
      </c>
    </row>
    <row r="2" spans="1:13" x14ac:dyDescent="0.25">
      <c r="A2" s="20" t="s">
        <v>144</v>
      </c>
      <c r="B2" s="104">
        <v>10645300</v>
      </c>
      <c r="C2" s="44">
        <v>1141</v>
      </c>
    </row>
    <row r="3" spans="1:13" x14ac:dyDescent="0.25">
      <c r="A3" s="20" t="s">
        <v>145</v>
      </c>
      <c r="B3" s="44">
        <v>10655900</v>
      </c>
      <c r="C3" s="44">
        <v>1141</v>
      </c>
    </row>
    <row r="4" spans="1:13" x14ac:dyDescent="0.25">
      <c r="A4" s="20" t="s">
        <v>146</v>
      </c>
      <c r="B4" s="44">
        <v>11435900</v>
      </c>
      <c r="C4" s="44">
        <v>1135</v>
      </c>
    </row>
    <row r="5" spans="1:13" x14ac:dyDescent="0.25">
      <c r="A5" s="20" t="s">
        <v>147</v>
      </c>
      <c r="B5" s="44">
        <v>9931000</v>
      </c>
      <c r="C5" s="44">
        <v>1140</v>
      </c>
    </row>
    <row r="6" spans="1:13" x14ac:dyDescent="0.25">
      <c r="A6" s="20" t="s">
        <v>148</v>
      </c>
      <c r="B6" s="44">
        <v>9995900</v>
      </c>
      <c r="C6" s="44">
        <v>1141</v>
      </c>
    </row>
    <row r="7" spans="1:13" x14ac:dyDescent="0.25">
      <c r="A7" s="20" t="s">
        <v>149</v>
      </c>
      <c r="B7" s="44">
        <v>11474600</v>
      </c>
      <c r="C7" s="44">
        <v>1148</v>
      </c>
    </row>
    <row r="8" spans="1:13" x14ac:dyDescent="0.25">
      <c r="A8" s="20" t="s">
        <v>150</v>
      </c>
      <c r="B8" s="44">
        <v>12429300</v>
      </c>
      <c r="C8" s="44">
        <v>1150</v>
      </c>
    </row>
    <row r="9" spans="1:13" x14ac:dyDescent="0.25">
      <c r="A9" s="20" t="s">
        <v>151</v>
      </c>
      <c r="B9" s="44">
        <v>12720000</v>
      </c>
      <c r="C9" s="44">
        <v>1153</v>
      </c>
    </row>
    <row r="10" spans="1:13" x14ac:dyDescent="0.25">
      <c r="A10" s="20" t="s">
        <v>152</v>
      </c>
      <c r="B10" s="44">
        <v>11904600</v>
      </c>
      <c r="C10" s="44">
        <v>1159</v>
      </c>
    </row>
    <row r="11" spans="1:13" x14ac:dyDescent="0.25">
      <c r="A11" s="20" t="s">
        <v>153</v>
      </c>
      <c r="B11" s="44">
        <v>12129300</v>
      </c>
      <c r="C11" s="44">
        <v>1158</v>
      </c>
    </row>
    <row r="12" spans="1:13" x14ac:dyDescent="0.25">
      <c r="A12" s="20" t="s">
        <v>154</v>
      </c>
      <c r="B12" s="44">
        <v>12685300</v>
      </c>
      <c r="C12" s="44">
        <v>1158</v>
      </c>
    </row>
    <row r="13" spans="1:13" x14ac:dyDescent="0.25">
      <c r="A13" s="20" t="s">
        <v>155</v>
      </c>
      <c r="B13" s="44">
        <v>13671000</v>
      </c>
      <c r="C13" s="44">
        <v>1158</v>
      </c>
    </row>
    <row r="14" spans="1:13" x14ac:dyDescent="0.25">
      <c r="B14" s="45">
        <f>SUM(B2:B13)</f>
        <v>139678100</v>
      </c>
      <c r="C14" s="44">
        <f>SUM(C2:C13)</f>
        <v>13782</v>
      </c>
    </row>
    <row r="15" spans="1:13" x14ac:dyDescent="0.25">
      <c r="B15" s="45"/>
      <c r="C15" s="44"/>
    </row>
    <row r="16" spans="1:13" x14ac:dyDescent="0.25">
      <c r="B16" s="157" t="s">
        <v>247</v>
      </c>
      <c r="C16" s="158"/>
      <c r="D16" s="158"/>
      <c r="E16" s="158"/>
      <c r="F16" s="158"/>
      <c r="G16" s="158"/>
      <c r="H16" s="158"/>
      <c r="I16" s="158"/>
      <c r="J16" s="158"/>
      <c r="K16" s="158"/>
      <c r="L16" s="158"/>
      <c r="M16" s="158"/>
    </row>
    <row r="17" spans="1:14" x14ac:dyDescent="0.25">
      <c r="B17" s="148" t="s">
        <v>144</v>
      </c>
      <c r="C17" s="148" t="s">
        <v>145</v>
      </c>
      <c r="D17" s="148" t="s">
        <v>146</v>
      </c>
      <c r="E17" s="148" t="s">
        <v>147</v>
      </c>
      <c r="F17" s="148" t="s">
        <v>148</v>
      </c>
      <c r="G17" s="148" t="s">
        <v>149</v>
      </c>
      <c r="H17" s="148" t="s">
        <v>150</v>
      </c>
      <c r="I17" s="148" t="s">
        <v>151</v>
      </c>
      <c r="J17" s="148" t="s">
        <v>152</v>
      </c>
      <c r="K17" s="148" t="s">
        <v>153</v>
      </c>
      <c r="L17" s="148" t="s">
        <v>154</v>
      </c>
      <c r="M17" s="148" t="s">
        <v>155</v>
      </c>
      <c r="N17" s="148" t="s">
        <v>39</v>
      </c>
    </row>
    <row r="18" spans="1:14" x14ac:dyDescent="0.25">
      <c r="A18" s="20" t="s">
        <v>156</v>
      </c>
      <c r="B18" s="49">
        <v>420600</v>
      </c>
      <c r="C18" s="44">
        <v>469700</v>
      </c>
      <c r="D18" s="44">
        <v>422100</v>
      </c>
      <c r="E18" s="44">
        <v>481000</v>
      </c>
      <c r="F18" s="44">
        <v>466200</v>
      </c>
      <c r="G18" s="44">
        <v>461500</v>
      </c>
      <c r="H18" s="44">
        <v>413900</v>
      </c>
      <c r="I18" s="44">
        <v>381700</v>
      </c>
      <c r="J18" s="44">
        <v>420300</v>
      </c>
      <c r="K18" s="44">
        <v>468400</v>
      </c>
      <c r="L18" s="44">
        <v>456000</v>
      </c>
      <c r="M18" s="44">
        <v>354000</v>
      </c>
      <c r="N18" s="45">
        <f>SUM(B18:M18)</f>
        <v>5215400</v>
      </c>
    </row>
    <row r="19" spans="1:14" x14ac:dyDescent="0.25">
      <c r="A19" s="20" t="s">
        <v>169</v>
      </c>
      <c r="B19" s="45">
        <v>3141100</v>
      </c>
      <c r="C19" s="45">
        <v>2754000</v>
      </c>
      <c r="D19" s="45">
        <v>3055200</v>
      </c>
      <c r="E19" s="45">
        <v>2758800</v>
      </c>
      <c r="F19" s="45">
        <v>3059600</v>
      </c>
      <c r="G19" s="45">
        <v>3102600</v>
      </c>
      <c r="H19" s="45">
        <v>3497500</v>
      </c>
      <c r="I19" s="45">
        <v>3425900</v>
      </c>
      <c r="J19" s="45">
        <v>3267800</v>
      </c>
      <c r="K19" s="45">
        <v>3240400</v>
      </c>
      <c r="L19" s="45">
        <v>2801600</v>
      </c>
      <c r="M19" s="45">
        <v>3624400</v>
      </c>
      <c r="N19" s="45">
        <f>SUM(B19:M19)</f>
        <v>37728900</v>
      </c>
    </row>
    <row r="20" spans="1:14" x14ac:dyDescent="0.25">
      <c r="A20" s="20" t="s">
        <v>170</v>
      </c>
      <c r="B20" s="44">
        <v>7083600</v>
      </c>
      <c r="C20" s="44">
        <v>7432200</v>
      </c>
      <c r="D20" s="44">
        <v>7958600</v>
      </c>
      <c r="E20" s="44">
        <v>6691200</v>
      </c>
      <c r="F20" s="44">
        <v>6470100</v>
      </c>
      <c r="G20" s="44">
        <v>7910500</v>
      </c>
      <c r="H20" s="44">
        <v>8517900</v>
      </c>
      <c r="I20" s="44">
        <v>8912400</v>
      </c>
      <c r="J20" s="44">
        <v>8216500</v>
      </c>
      <c r="K20" s="44">
        <v>8420500</v>
      </c>
      <c r="L20" s="44">
        <v>9427700</v>
      </c>
      <c r="M20" s="44">
        <v>9692600</v>
      </c>
      <c r="N20" s="45">
        <f>SUM(B20:M20)</f>
        <v>96733800</v>
      </c>
    </row>
    <row r="21" spans="1:14" x14ac:dyDescent="0.25">
      <c r="A21" s="20" t="s">
        <v>39</v>
      </c>
      <c r="B21" s="45">
        <f t="shared" ref="B21:M21" si="0">SUM(B18:B20)</f>
        <v>10645300</v>
      </c>
      <c r="C21" s="45">
        <f t="shared" si="0"/>
        <v>10655900</v>
      </c>
      <c r="D21" s="45">
        <f t="shared" si="0"/>
        <v>11435900</v>
      </c>
      <c r="E21" s="45">
        <f t="shared" si="0"/>
        <v>9931000</v>
      </c>
      <c r="F21" s="45">
        <f t="shared" si="0"/>
        <v>9995900</v>
      </c>
      <c r="G21" s="45">
        <f t="shared" si="0"/>
        <v>11474600</v>
      </c>
      <c r="H21" s="45">
        <f t="shared" si="0"/>
        <v>12429300</v>
      </c>
      <c r="I21" s="45">
        <f t="shared" si="0"/>
        <v>12720000</v>
      </c>
      <c r="J21" s="45">
        <f t="shared" si="0"/>
        <v>11904600</v>
      </c>
      <c r="K21" s="45">
        <f t="shared" si="0"/>
        <v>12129300</v>
      </c>
      <c r="L21" s="45">
        <f t="shared" si="0"/>
        <v>12685300</v>
      </c>
      <c r="M21" s="45">
        <f t="shared" si="0"/>
        <v>13671000</v>
      </c>
      <c r="N21" s="45">
        <f>SUM(B21:M21)</f>
        <v>139678100</v>
      </c>
    </row>
    <row r="22" spans="1:14" x14ac:dyDescent="0.25">
      <c r="B22" s="45"/>
      <c r="C22" s="45"/>
      <c r="D22" s="45"/>
      <c r="E22" s="45"/>
      <c r="F22" s="45"/>
      <c r="G22" s="45"/>
      <c r="H22" s="45"/>
      <c r="I22" s="45"/>
      <c r="J22" s="45"/>
      <c r="K22" s="45"/>
      <c r="L22" s="45"/>
      <c r="M22" s="45"/>
      <c r="N22" s="45"/>
    </row>
    <row r="23" spans="1:14" x14ac:dyDescent="0.25">
      <c r="B23" s="157" t="s">
        <v>248</v>
      </c>
      <c r="C23" s="158"/>
      <c r="D23" s="158"/>
      <c r="E23" s="158"/>
      <c r="F23" s="158"/>
      <c r="G23" s="158"/>
      <c r="H23" s="158"/>
      <c r="I23" s="158"/>
      <c r="J23" s="158"/>
      <c r="K23" s="158"/>
      <c r="L23" s="158"/>
      <c r="M23" s="158"/>
    </row>
    <row r="24" spans="1:14" x14ac:dyDescent="0.25">
      <c r="A24" s="50"/>
      <c r="B24" s="148" t="s">
        <v>144</v>
      </c>
      <c r="C24" s="148" t="s">
        <v>145</v>
      </c>
      <c r="D24" s="148" t="s">
        <v>146</v>
      </c>
      <c r="E24" s="148" t="s">
        <v>147</v>
      </c>
      <c r="F24" s="148" t="s">
        <v>148</v>
      </c>
      <c r="G24" s="148" t="s">
        <v>149</v>
      </c>
      <c r="H24" s="148" t="s">
        <v>150</v>
      </c>
      <c r="I24" s="148" t="s">
        <v>151</v>
      </c>
      <c r="J24" s="148" t="s">
        <v>152</v>
      </c>
      <c r="K24" s="148" t="s">
        <v>153</v>
      </c>
      <c r="L24" s="148" t="s">
        <v>154</v>
      </c>
      <c r="M24" s="148" t="s">
        <v>155</v>
      </c>
      <c r="N24" s="50"/>
    </row>
    <row r="25" spans="1:14" x14ac:dyDescent="0.25">
      <c r="A25" s="50" t="s">
        <v>156</v>
      </c>
      <c r="B25" s="51">
        <v>447</v>
      </c>
      <c r="C25" s="51">
        <v>499</v>
      </c>
      <c r="D25" s="51">
        <v>434</v>
      </c>
      <c r="E25" s="51">
        <v>496</v>
      </c>
      <c r="F25" s="51">
        <v>486</v>
      </c>
      <c r="G25" s="51">
        <v>475</v>
      </c>
      <c r="H25" s="51">
        <v>420</v>
      </c>
      <c r="I25" s="51">
        <v>417</v>
      </c>
      <c r="J25" s="51">
        <v>435</v>
      </c>
      <c r="K25" s="51">
        <v>437</v>
      </c>
      <c r="L25" s="51">
        <v>485</v>
      </c>
      <c r="M25" s="51">
        <v>389</v>
      </c>
      <c r="N25" s="53">
        <f>SUM(B25:M25)</f>
        <v>5420</v>
      </c>
    </row>
    <row r="26" spans="1:14" x14ac:dyDescent="0.25">
      <c r="A26" s="50" t="s">
        <v>169</v>
      </c>
      <c r="B26" s="52">
        <v>660</v>
      </c>
      <c r="C26" s="52">
        <v>613</v>
      </c>
      <c r="D26" s="52">
        <v>667</v>
      </c>
      <c r="E26" s="52">
        <v>619</v>
      </c>
      <c r="F26" s="52">
        <v>630</v>
      </c>
      <c r="G26" s="52">
        <v>640</v>
      </c>
      <c r="H26" s="52">
        <v>694</v>
      </c>
      <c r="I26" s="52">
        <v>695</v>
      </c>
      <c r="J26" s="52">
        <v>682</v>
      </c>
      <c r="K26" s="52">
        <v>681</v>
      </c>
      <c r="L26" s="52">
        <v>636</v>
      </c>
      <c r="M26" s="52">
        <v>732</v>
      </c>
      <c r="N26" s="53">
        <f>SUM(B26:M26)</f>
        <v>7949</v>
      </c>
    </row>
    <row r="27" spans="1:14" x14ac:dyDescent="0.25">
      <c r="A27" s="50" t="s">
        <v>170</v>
      </c>
      <c r="B27" s="52">
        <v>34</v>
      </c>
      <c r="C27" s="52">
        <v>29</v>
      </c>
      <c r="D27" s="52">
        <v>34</v>
      </c>
      <c r="E27" s="52">
        <v>25</v>
      </c>
      <c r="F27" s="52">
        <v>25</v>
      </c>
      <c r="G27" s="52">
        <v>33</v>
      </c>
      <c r="H27" s="52">
        <v>36</v>
      </c>
      <c r="I27" s="52">
        <v>41</v>
      </c>
      <c r="J27" s="52">
        <v>42</v>
      </c>
      <c r="K27" s="52">
        <v>40</v>
      </c>
      <c r="L27" s="52">
        <v>37</v>
      </c>
      <c r="M27" s="52">
        <v>37</v>
      </c>
      <c r="N27" s="53">
        <f>SUM(B27:M27)</f>
        <v>413</v>
      </c>
    </row>
    <row r="28" spans="1:14" x14ac:dyDescent="0.25">
      <c r="A28" s="50"/>
      <c r="B28" s="52">
        <f>SUM(B25:B27)</f>
        <v>1141</v>
      </c>
      <c r="C28" s="52">
        <f t="shared" ref="C28:N28" si="1">SUM(C25:C27)</f>
        <v>1141</v>
      </c>
      <c r="D28" s="52">
        <f t="shared" si="1"/>
        <v>1135</v>
      </c>
      <c r="E28" s="52">
        <f t="shared" si="1"/>
        <v>1140</v>
      </c>
      <c r="F28" s="52">
        <f t="shared" si="1"/>
        <v>1141</v>
      </c>
      <c r="G28" s="52">
        <f t="shared" si="1"/>
        <v>1148</v>
      </c>
      <c r="H28" s="52">
        <f t="shared" si="1"/>
        <v>1150</v>
      </c>
      <c r="I28" s="52">
        <f t="shared" si="1"/>
        <v>1153</v>
      </c>
      <c r="J28" s="52">
        <f t="shared" si="1"/>
        <v>1159</v>
      </c>
      <c r="K28" s="52">
        <f t="shared" si="1"/>
        <v>1158</v>
      </c>
      <c r="L28" s="52">
        <f t="shared" si="1"/>
        <v>1158</v>
      </c>
      <c r="M28" s="52">
        <f t="shared" si="1"/>
        <v>1158</v>
      </c>
      <c r="N28" s="53">
        <f t="shared" si="1"/>
        <v>13782</v>
      </c>
    </row>
    <row r="29" spans="1:14" x14ac:dyDescent="0.25">
      <c r="B29" s="45"/>
      <c r="C29" s="45"/>
      <c r="D29" s="45"/>
      <c r="E29" s="45"/>
      <c r="F29" s="45"/>
      <c r="G29" s="45"/>
      <c r="H29" s="45"/>
      <c r="I29" s="45"/>
      <c r="J29" s="45"/>
      <c r="K29" s="45"/>
      <c r="L29" s="45"/>
      <c r="M29" s="45"/>
      <c r="N29" s="45"/>
    </row>
    <row r="30" spans="1:14" x14ac:dyDescent="0.25">
      <c r="B30" s="45"/>
      <c r="C30" s="45"/>
      <c r="D30" s="45"/>
      <c r="E30" s="45"/>
      <c r="F30" s="45"/>
      <c r="G30" s="45"/>
      <c r="H30" s="45"/>
      <c r="I30" s="45"/>
      <c r="J30" s="45"/>
      <c r="K30" s="45"/>
      <c r="L30" s="45"/>
      <c r="M30" s="45"/>
      <c r="N30" s="45"/>
    </row>
    <row r="31" spans="1:14" x14ac:dyDescent="0.25">
      <c r="B31" s="167" t="s">
        <v>171</v>
      </c>
      <c r="C31" s="167"/>
      <c r="D31" s="167"/>
      <c r="E31" s="167"/>
      <c r="F31" s="167"/>
      <c r="G31" s="167"/>
      <c r="H31" s="167"/>
      <c r="I31" s="167"/>
      <c r="J31" s="167"/>
      <c r="K31" s="167"/>
      <c r="L31" s="167"/>
      <c r="M31" s="167"/>
      <c r="N31" s="45"/>
    </row>
    <row r="32" spans="1:14" x14ac:dyDescent="0.25">
      <c r="B32" s="146" t="s">
        <v>144</v>
      </c>
      <c r="C32" s="146" t="s">
        <v>145</v>
      </c>
      <c r="D32" s="146" t="s">
        <v>146</v>
      </c>
      <c r="E32" s="146" t="s">
        <v>147</v>
      </c>
      <c r="F32" s="146" t="s">
        <v>148</v>
      </c>
      <c r="G32" s="146" t="s">
        <v>149</v>
      </c>
      <c r="H32" s="146" t="s">
        <v>150</v>
      </c>
      <c r="I32" s="146" t="s">
        <v>151</v>
      </c>
      <c r="J32" s="146" t="s">
        <v>152</v>
      </c>
      <c r="K32" s="146" t="s">
        <v>153</v>
      </c>
      <c r="L32" s="146" t="s">
        <v>154</v>
      </c>
      <c r="M32" s="146" t="s">
        <v>155</v>
      </c>
      <c r="N32" s="146" t="s">
        <v>39</v>
      </c>
    </row>
    <row r="33" spans="1:14" x14ac:dyDescent="0.25">
      <c r="A33" s="20" t="s">
        <v>156</v>
      </c>
      <c r="B33" s="44">
        <v>420600</v>
      </c>
      <c r="C33" s="44">
        <v>469700</v>
      </c>
      <c r="D33" s="44">
        <v>422100</v>
      </c>
      <c r="E33" s="44">
        <v>481000</v>
      </c>
      <c r="F33" s="44">
        <v>466200</v>
      </c>
      <c r="G33" s="44">
        <v>461500</v>
      </c>
      <c r="H33" s="44">
        <v>413900</v>
      </c>
      <c r="I33" s="44">
        <v>381700</v>
      </c>
      <c r="J33" s="44">
        <v>420300</v>
      </c>
      <c r="K33" s="44">
        <v>468400</v>
      </c>
      <c r="L33" s="44">
        <v>456000</v>
      </c>
      <c r="M33" s="44">
        <v>354000</v>
      </c>
      <c r="N33" s="45">
        <f>SUM(B33:M33)</f>
        <v>5215400</v>
      </c>
    </row>
    <row r="34" spans="1:14" x14ac:dyDescent="0.25">
      <c r="A34" s="20" t="s">
        <v>169</v>
      </c>
      <c r="B34" s="44">
        <v>3141100</v>
      </c>
      <c r="C34" s="44">
        <v>2754000</v>
      </c>
      <c r="D34" s="44">
        <v>3055200</v>
      </c>
      <c r="E34" s="44">
        <v>2758800</v>
      </c>
      <c r="F34" s="44">
        <v>3059600</v>
      </c>
      <c r="G34" s="44">
        <v>3102600</v>
      </c>
      <c r="H34" s="44">
        <v>3497500</v>
      </c>
      <c r="I34" s="44">
        <v>3425900</v>
      </c>
      <c r="J34" s="44">
        <v>3267800</v>
      </c>
      <c r="K34" s="44">
        <v>3240400</v>
      </c>
      <c r="L34" s="44">
        <v>2801600</v>
      </c>
      <c r="M34" s="44">
        <v>3624400</v>
      </c>
      <c r="N34" s="45">
        <f>SUM(B34:M34)</f>
        <v>37728900</v>
      </c>
    </row>
    <row r="35" spans="1:14" x14ac:dyDescent="0.25">
      <c r="A35" s="20" t="s">
        <v>170</v>
      </c>
      <c r="B35" s="44">
        <f>7083600-B67</f>
        <v>2015500</v>
      </c>
      <c r="C35" s="44">
        <f>7432200-B68</f>
        <v>2301600</v>
      </c>
      <c r="D35" s="44">
        <f>7958600-B69</f>
        <v>2814400</v>
      </c>
      <c r="E35" s="44">
        <f>6691200-B70</f>
        <v>1895600</v>
      </c>
      <c r="F35" s="44">
        <f>6470100-B71</f>
        <v>1885500</v>
      </c>
      <c r="G35" s="44">
        <f>7910500-B72</f>
        <v>2517100</v>
      </c>
      <c r="H35" s="44">
        <f>8517900-B73</f>
        <v>2592400</v>
      </c>
      <c r="I35" s="44">
        <f>8912400-B74</f>
        <v>2669200</v>
      </c>
      <c r="J35" s="44">
        <f>8216500-B75</f>
        <v>2704800</v>
      </c>
      <c r="K35" s="44">
        <f>8420500-B76</f>
        <v>3066500</v>
      </c>
      <c r="L35" s="44">
        <f>9427700-B77</f>
        <v>2567500</v>
      </c>
      <c r="M35" s="44">
        <f>9692600-B78</f>
        <v>2436800</v>
      </c>
      <c r="N35" s="45">
        <f>SUM(B35:M35)</f>
        <v>29466900</v>
      </c>
    </row>
    <row r="36" spans="1:14" x14ac:dyDescent="0.25">
      <c r="A36" s="20" t="s">
        <v>39</v>
      </c>
      <c r="B36" s="45">
        <f>SUM(B33:B35)</f>
        <v>5577200</v>
      </c>
      <c r="C36" s="45">
        <f t="shared" ref="C36:M36" si="2">SUM(C33:C35)</f>
        <v>5525300</v>
      </c>
      <c r="D36" s="45">
        <f t="shared" si="2"/>
        <v>6291700</v>
      </c>
      <c r="E36" s="45">
        <f t="shared" si="2"/>
        <v>5135400</v>
      </c>
      <c r="F36" s="45">
        <f t="shared" si="2"/>
        <v>5411300</v>
      </c>
      <c r="G36" s="45">
        <f t="shared" si="2"/>
        <v>6081200</v>
      </c>
      <c r="H36" s="45">
        <f t="shared" si="2"/>
        <v>6503800</v>
      </c>
      <c r="I36" s="45">
        <f t="shared" si="2"/>
        <v>6476800</v>
      </c>
      <c r="J36" s="45">
        <f t="shared" si="2"/>
        <v>6392900</v>
      </c>
      <c r="K36" s="45">
        <f t="shared" si="2"/>
        <v>6775300</v>
      </c>
      <c r="L36" s="45">
        <f t="shared" si="2"/>
        <v>5825100</v>
      </c>
      <c r="M36" s="45">
        <f t="shared" si="2"/>
        <v>6415200</v>
      </c>
      <c r="N36" s="45">
        <f>SUM(B36:M36)</f>
        <v>72411200</v>
      </c>
    </row>
    <row r="37" spans="1:14" x14ac:dyDescent="0.25">
      <c r="B37" s="45"/>
      <c r="C37" s="45"/>
      <c r="D37" s="45"/>
      <c r="E37" s="45"/>
      <c r="F37" s="45"/>
      <c r="G37" s="45"/>
      <c r="H37" s="45"/>
      <c r="I37" s="45"/>
      <c r="J37" s="45"/>
      <c r="K37" s="45"/>
      <c r="L37" s="45"/>
      <c r="M37" s="45"/>
      <c r="N37" s="45"/>
    </row>
    <row r="38" spans="1:14" x14ac:dyDescent="0.25">
      <c r="B38" s="158" t="s">
        <v>157</v>
      </c>
      <c r="C38" s="158"/>
      <c r="D38" s="158"/>
      <c r="E38" s="158"/>
      <c r="F38" s="158"/>
      <c r="G38" s="158"/>
      <c r="H38" s="158"/>
      <c r="I38" s="158"/>
      <c r="J38" s="158"/>
      <c r="K38" s="158"/>
      <c r="L38" s="158"/>
      <c r="M38" s="158"/>
    </row>
    <row r="39" spans="1:14" x14ac:dyDescent="0.25">
      <c r="A39" s="50"/>
      <c r="B39" s="148" t="s">
        <v>144</v>
      </c>
      <c r="C39" s="148" t="s">
        <v>145</v>
      </c>
      <c r="D39" s="148" t="s">
        <v>146</v>
      </c>
      <c r="E39" s="148" t="s">
        <v>147</v>
      </c>
      <c r="F39" s="148" t="s">
        <v>148</v>
      </c>
      <c r="G39" s="148" t="s">
        <v>149</v>
      </c>
      <c r="H39" s="148" t="s">
        <v>150</v>
      </c>
      <c r="I39" s="148" t="s">
        <v>151</v>
      </c>
      <c r="J39" s="148" t="s">
        <v>152</v>
      </c>
      <c r="K39" s="148" t="s">
        <v>153</v>
      </c>
      <c r="L39" s="148" t="s">
        <v>154</v>
      </c>
      <c r="M39" s="148" t="s">
        <v>155</v>
      </c>
      <c r="N39" s="50"/>
    </row>
    <row r="40" spans="1:14" x14ac:dyDescent="0.25">
      <c r="A40" s="50" t="s">
        <v>156</v>
      </c>
      <c r="B40" s="51">
        <v>447</v>
      </c>
      <c r="C40" s="51">
        <v>499</v>
      </c>
      <c r="D40" s="51">
        <v>434</v>
      </c>
      <c r="E40" s="51">
        <v>496</v>
      </c>
      <c r="F40" s="51">
        <v>486</v>
      </c>
      <c r="G40" s="51">
        <v>475</v>
      </c>
      <c r="H40" s="51">
        <v>420</v>
      </c>
      <c r="I40" s="51">
        <v>417</v>
      </c>
      <c r="J40" s="51">
        <v>435</v>
      </c>
      <c r="K40" s="51">
        <v>437</v>
      </c>
      <c r="L40" s="51">
        <v>485</v>
      </c>
      <c r="M40" s="51">
        <v>389</v>
      </c>
      <c r="N40" s="53">
        <f>SUM(B40:M40)</f>
        <v>5420</v>
      </c>
    </row>
    <row r="41" spans="1:14" x14ac:dyDescent="0.25">
      <c r="A41" s="50" t="s">
        <v>169</v>
      </c>
      <c r="B41" s="52">
        <v>660</v>
      </c>
      <c r="C41" s="52">
        <v>613</v>
      </c>
      <c r="D41" s="52">
        <v>667</v>
      </c>
      <c r="E41" s="52">
        <v>619</v>
      </c>
      <c r="F41" s="52">
        <v>630</v>
      </c>
      <c r="G41" s="52">
        <v>640</v>
      </c>
      <c r="H41" s="52">
        <v>694</v>
      </c>
      <c r="I41" s="52">
        <v>695</v>
      </c>
      <c r="J41" s="52">
        <v>682</v>
      </c>
      <c r="K41" s="52">
        <v>681</v>
      </c>
      <c r="L41" s="52">
        <v>636</v>
      </c>
      <c r="M41" s="52">
        <v>732</v>
      </c>
      <c r="N41" s="53">
        <f>SUM(B41:M41)</f>
        <v>7949</v>
      </c>
    </row>
    <row r="42" spans="1:14" x14ac:dyDescent="0.25">
      <c r="A42" s="50" t="s">
        <v>170</v>
      </c>
      <c r="B42" s="52">
        <v>33</v>
      </c>
      <c r="C42" s="52">
        <v>28</v>
      </c>
      <c r="D42" s="52">
        <v>33</v>
      </c>
      <c r="E42" s="52">
        <v>24</v>
      </c>
      <c r="F42" s="52">
        <v>24</v>
      </c>
      <c r="G42" s="52">
        <v>32</v>
      </c>
      <c r="H42" s="52">
        <v>35</v>
      </c>
      <c r="I42" s="52">
        <v>40</v>
      </c>
      <c r="J42" s="52">
        <v>41</v>
      </c>
      <c r="K42" s="52">
        <v>39</v>
      </c>
      <c r="L42" s="52">
        <v>36</v>
      </c>
      <c r="M42" s="52">
        <v>36</v>
      </c>
      <c r="N42" s="53">
        <f>SUM(B42:M42)</f>
        <v>401</v>
      </c>
    </row>
    <row r="43" spans="1:14" x14ac:dyDescent="0.25">
      <c r="A43" s="50"/>
      <c r="B43" s="52">
        <f>SUM(B40:B42)</f>
        <v>1140</v>
      </c>
      <c r="C43" s="52">
        <f t="shared" ref="C43:M43" si="3">SUM(C40:C42)</f>
        <v>1140</v>
      </c>
      <c r="D43" s="52">
        <f t="shared" si="3"/>
        <v>1134</v>
      </c>
      <c r="E43" s="52">
        <f t="shared" si="3"/>
        <v>1139</v>
      </c>
      <c r="F43" s="52">
        <f t="shared" si="3"/>
        <v>1140</v>
      </c>
      <c r="G43" s="52">
        <f t="shared" si="3"/>
        <v>1147</v>
      </c>
      <c r="H43" s="52">
        <f t="shared" si="3"/>
        <v>1149</v>
      </c>
      <c r="I43" s="52">
        <f t="shared" si="3"/>
        <v>1152</v>
      </c>
      <c r="J43" s="52">
        <f t="shared" si="3"/>
        <v>1158</v>
      </c>
      <c r="K43" s="52">
        <f t="shared" si="3"/>
        <v>1157</v>
      </c>
      <c r="L43" s="52">
        <f t="shared" si="3"/>
        <v>1157</v>
      </c>
      <c r="M43" s="52">
        <f t="shared" si="3"/>
        <v>1157</v>
      </c>
      <c r="N43" s="53">
        <f>SUM(N40:N42)</f>
        <v>13770</v>
      </c>
    </row>
    <row r="45" spans="1:14" x14ac:dyDescent="0.25">
      <c r="A45" s="165" t="s">
        <v>175</v>
      </c>
      <c r="B45" s="165"/>
      <c r="C45" s="165"/>
      <c r="D45" s="165"/>
      <c r="E45" s="165"/>
      <c r="F45" s="165"/>
    </row>
    <row r="46" spans="1:14" x14ac:dyDescent="0.25">
      <c r="B46" s="148" t="s">
        <v>143</v>
      </c>
      <c r="C46" s="148" t="s">
        <v>158</v>
      </c>
      <c r="D46" s="148" t="s">
        <v>172</v>
      </c>
      <c r="E46" s="148" t="s">
        <v>173</v>
      </c>
      <c r="F46" s="148" t="s">
        <v>174</v>
      </c>
    </row>
    <row r="47" spans="1:14" x14ac:dyDescent="0.25">
      <c r="A47" s="20" t="s">
        <v>156</v>
      </c>
      <c r="B47" s="45">
        <f>N40</f>
        <v>5420</v>
      </c>
      <c r="C47" s="45">
        <f>N33</f>
        <v>5215400</v>
      </c>
      <c r="D47" s="45">
        <f>N33</f>
        <v>5215400</v>
      </c>
      <c r="E47" s="45"/>
      <c r="G47" s="45">
        <f>SUM(D47:F47)</f>
        <v>5215400</v>
      </c>
    </row>
    <row r="48" spans="1:14" x14ac:dyDescent="0.25">
      <c r="A48" s="20" t="s">
        <v>169</v>
      </c>
      <c r="B48" s="44">
        <f>N41</f>
        <v>7949</v>
      </c>
      <c r="C48" s="44">
        <f>N34</f>
        <v>37728900</v>
      </c>
      <c r="D48" s="45">
        <f>B48*2000</f>
        <v>15898000</v>
      </c>
      <c r="E48" s="45">
        <f>N34-D48</f>
        <v>21830900</v>
      </c>
      <c r="G48" s="45">
        <f>SUM(D48:F48)</f>
        <v>37728900</v>
      </c>
    </row>
    <row r="49" spans="1:9" x14ac:dyDescent="0.25">
      <c r="A49" s="20" t="s">
        <v>170</v>
      </c>
      <c r="B49" s="44">
        <f>N42</f>
        <v>401</v>
      </c>
      <c r="C49" s="44">
        <f>N35</f>
        <v>29466900</v>
      </c>
      <c r="D49" s="45">
        <f>B49*2000</f>
        <v>802000</v>
      </c>
      <c r="E49" s="45">
        <f>B49*18000</f>
        <v>7218000</v>
      </c>
      <c r="F49" s="45">
        <f>N35-(D49+E49)</f>
        <v>21446900</v>
      </c>
      <c r="G49" s="45">
        <f>SUM(D49:F49)</f>
        <v>29466900</v>
      </c>
    </row>
    <row r="50" spans="1:9" x14ac:dyDescent="0.25">
      <c r="A50" s="20" t="s">
        <v>176</v>
      </c>
      <c r="B50" s="44">
        <f>SUM(B47:B49)</f>
        <v>13770</v>
      </c>
      <c r="C50" s="44">
        <f>SUM(C47:C49)</f>
        <v>72411200</v>
      </c>
      <c r="D50" s="45">
        <f>SUM(D47:D49)</f>
        <v>21915400</v>
      </c>
      <c r="E50" s="45">
        <f>SUM(E48:E49)</f>
        <v>29048900</v>
      </c>
      <c r="F50" s="45">
        <f>SUM(F49)</f>
        <v>21446900</v>
      </c>
      <c r="G50" s="45">
        <f>SUM(G47:G49)</f>
        <v>72411200</v>
      </c>
      <c r="I50" s="45"/>
    </row>
    <row r="51" spans="1:9" x14ac:dyDescent="0.25">
      <c r="D51" s="45"/>
      <c r="F51" s="45"/>
    </row>
    <row r="52" spans="1:9" x14ac:dyDescent="0.25">
      <c r="A52" s="165" t="s">
        <v>177</v>
      </c>
      <c r="B52" s="166"/>
      <c r="C52" s="166"/>
      <c r="D52" s="166"/>
      <c r="E52" s="166"/>
      <c r="F52" s="166"/>
    </row>
    <row r="53" spans="1:9" x14ac:dyDescent="0.25">
      <c r="A53" s="148"/>
      <c r="B53" s="148" t="s">
        <v>143</v>
      </c>
      <c r="C53" s="148" t="s">
        <v>158</v>
      </c>
      <c r="D53" s="165" t="s">
        <v>165</v>
      </c>
      <c r="E53" s="165"/>
      <c r="F53" s="148" t="s">
        <v>166</v>
      </c>
    </row>
    <row r="54" spans="1:9" x14ac:dyDescent="0.25">
      <c r="A54" s="20" t="s">
        <v>156</v>
      </c>
      <c r="B54" s="45">
        <f>B50</f>
        <v>13770</v>
      </c>
      <c r="C54" s="45">
        <f>D50</f>
        <v>21915400</v>
      </c>
      <c r="D54" s="46">
        <f>24.19*1.05458</f>
        <v>25.510290200000004</v>
      </c>
      <c r="E54" s="20" t="s">
        <v>167</v>
      </c>
      <c r="F54" s="17">
        <f>B54*D54</f>
        <v>351276.69605400006</v>
      </c>
    </row>
    <row r="55" spans="1:9" x14ac:dyDescent="0.25">
      <c r="A55" s="20" t="s">
        <v>169</v>
      </c>
      <c r="B55" s="44"/>
      <c r="C55" s="44">
        <f>E50</f>
        <v>29048900</v>
      </c>
      <c r="D55" s="141">
        <f>0.00844*1.05458</f>
        <v>8.9006551999999996E-3</v>
      </c>
      <c r="E55" s="20" t="s">
        <v>168</v>
      </c>
      <c r="F55" s="17">
        <f>C55*D55</f>
        <v>258554.24283927999</v>
      </c>
    </row>
    <row r="56" spans="1:9" x14ac:dyDescent="0.25">
      <c r="A56" s="20" t="s">
        <v>170</v>
      </c>
      <c r="C56" s="45">
        <f>F50</f>
        <v>21446900</v>
      </c>
      <c r="D56" s="144">
        <f>1.05458*0.0075</f>
        <v>7.9093500000000008E-3</v>
      </c>
      <c r="E56" s="20" t="s">
        <v>168</v>
      </c>
      <c r="F56" s="48">
        <f>D56*C56</f>
        <v>169631.03851500002</v>
      </c>
    </row>
    <row r="57" spans="1:9" x14ac:dyDescent="0.25">
      <c r="A57" s="20" t="s">
        <v>176</v>
      </c>
      <c r="B57" s="44">
        <f>SUM(B54:B56)</f>
        <v>13770</v>
      </c>
      <c r="C57" s="45">
        <f>SUM(C54:C56)</f>
        <v>72411200</v>
      </c>
      <c r="F57" s="48">
        <f>SUM(F54:F56)</f>
        <v>779461.97740828001</v>
      </c>
    </row>
    <row r="58" spans="1:9" x14ac:dyDescent="0.25">
      <c r="E58" s="45"/>
    </row>
    <row r="59" spans="1:9" x14ac:dyDescent="0.25">
      <c r="A59" s="165"/>
      <c r="B59" s="166"/>
      <c r="C59" s="166"/>
      <c r="D59" s="166"/>
      <c r="E59" s="166"/>
      <c r="F59" s="166"/>
    </row>
    <row r="61" spans="1:9" x14ac:dyDescent="0.25">
      <c r="A61" s="165" t="s">
        <v>163</v>
      </c>
      <c r="B61" s="165"/>
      <c r="C61" s="165"/>
      <c r="D61" s="165"/>
      <c r="E61" s="165"/>
      <c r="F61" s="165"/>
    </row>
    <row r="62" spans="1:9" x14ac:dyDescent="0.25">
      <c r="B62" s="148" t="s">
        <v>143</v>
      </c>
      <c r="C62" s="148" t="s">
        <v>178</v>
      </c>
      <c r="D62" s="148" t="s">
        <v>179</v>
      </c>
      <c r="E62" s="148" t="s">
        <v>39</v>
      </c>
    </row>
    <row r="63" spans="1:9" x14ac:dyDescent="0.25">
      <c r="A63" s="20" t="s">
        <v>164</v>
      </c>
      <c r="B63" s="20">
        <v>12</v>
      </c>
      <c r="C63" s="44">
        <f>12*1300000</f>
        <v>15600000</v>
      </c>
      <c r="D63" s="45">
        <f>C79</f>
        <v>51666900</v>
      </c>
      <c r="E63" s="44">
        <f>C63+D63</f>
        <v>67266900</v>
      </c>
    </row>
    <row r="64" spans="1:9" x14ac:dyDescent="0.25">
      <c r="A64" s="20" t="s">
        <v>39</v>
      </c>
      <c r="B64" s="20">
        <f>SUM(B63:B63)</f>
        <v>12</v>
      </c>
      <c r="C64" s="44">
        <f>SUM(C63:C63)</f>
        <v>15600000</v>
      </c>
      <c r="D64" s="44">
        <f>SUM(D63)</f>
        <v>51666900</v>
      </c>
      <c r="E64" s="44">
        <f>SUM(E63:E63)</f>
        <v>67266900</v>
      </c>
    </row>
    <row r="66" spans="1:4" x14ac:dyDescent="0.25">
      <c r="A66" s="148" t="s">
        <v>159</v>
      </c>
      <c r="B66" s="148" t="s">
        <v>160</v>
      </c>
      <c r="C66" s="148" t="s">
        <v>161</v>
      </c>
      <c r="D66" s="148" t="s">
        <v>162</v>
      </c>
    </row>
    <row r="67" spans="1:4" x14ac:dyDescent="0.25">
      <c r="A67" s="20" t="s">
        <v>144</v>
      </c>
      <c r="B67" s="44">
        <v>5068100</v>
      </c>
      <c r="C67" s="44">
        <f>IF((B67-1300000)&lt;0,0,(B67-1300000))</f>
        <v>3768100</v>
      </c>
      <c r="D67" s="20">
        <v>0</v>
      </c>
    </row>
    <row r="68" spans="1:4" x14ac:dyDescent="0.25">
      <c r="A68" s="20" t="s">
        <v>145</v>
      </c>
      <c r="B68" s="44">
        <v>5130600</v>
      </c>
      <c r="C68" s="44">
        <f t="shared" ref="C68:C78" si="4">IF((B68-1300000)&lt;0,0,(B68-1300000))</f>
        <v>3830600</v>
      </c>
      <c r="D68" s="20">
        <v>0</v>
      </c>
    </row>
    <row r="69" spans="1:4" x14ac:dyDescent="0.25">
      <c r="A69" s="20" t="s">
        <v>146</v>
      </c>
      <c r="B69" s="44">
        <v>5144200</v>
      </c>
      <c r="C69" s="44">
        <f t="shared" si="4"/>
        <v>3844200</v>
      </c>
      <c r="D69" s="20">
        <v>0</v>
      </c>
    </row>
    <row r="70" spans="1:4" x14ac:dyDescent="0.25">
      <c r="A70" s="20" t="s">
        <v>147</v>
      </c>
      <c r="B70" s="44">
        <v>4795600</v>
      </c>
      <c r="C70" s="44">
        <f t="shared" si="4"/>
        <v>3495600</v>
      </c>
      <c r="D70" s="20">
        <v>0</v>
      </c>
    </row>
    <row r="71" spans="1:4" x14ac:dyDescent="0.25">
      <c r="A71" s="20" t="s">
        <v>148</v>
      </c>
      <c r="B71" s="44">
        <v>4584600</v>
      </c>
      <c r="C71" s="44">
        <f t="shared" si="4"/>
        <v>3284600</v>
      </c>
      <c r="D71" s="20">
        <v>0</v>
      </c>
    </row>
    <row r="72" spans="1:4" x14ac:dyDescent="0.25">
      <c r="A72" s="20" t="s">
        <v>149</v>
      </c>
      <c r="B72" s="44">
        <v>5393400</v>
      </c>
      <c r="C72" s="44">
        <f t="shared" si="4"/>
        <v>4093400</v>
      </c>
      <c r="D72" s="20">
        <v>0</v>
      </c>
    </row>
    <row r="73" spans="1:4" x14ac:dyDescent="0.25">
      <c r="A73" s="20" t="s">
        <v>150</v>
      </c>
      <c r="B73" s="44">
        <v>5925500</v>
      </c>
      <c r="C73" s="44">
        <f t="shared" si="4"/>
        <v>4625500</v>
      </c>
      <c r="D73" s="20">
        <v>0</v>
      </c>
    </row>
    <row r="74" spans="1:4" x14ac:dyDescent="0.25">
      <c r="A74" s="20" t="s">
        <v>151</v>
      </c>
      <c r="B74" s="44">
        <v>6243200</v>
      </c>
      <c r="C74" s="44">
        <f t="shared" si="4"/>
        <v>4943200</v>
      </c>
      <c r="D74" s="20">
        <v>0</v>
      </c>
    </row>
    <row r="75" spans="1:4" x14ac:dyDescent="0.25">
      <c r="A75" s="20" t="s">
        <v>152</v>
      </c>
      <c r="B75" s="44">
        <v>5511700</v>
      </c>
      <c r="C75" s="44">
        <f t="shared" si="4"/>
        <v>4211700</v>
      </c>
      <c r="D75" s="20">
        <v>0</v>
      </c>
    </row>
    <row r="76" spans="1:4" x14ac:dyDescent="0.25">
      <c r="A76" s="20" t="s">
        <v>153</v>
      </c>
      <c r="B76" s="44">
        <v>5354000</v>
      </c>
      <c r="C76" s="44">
        <f t="shared" si="4"/>
        <v>4054000</v>
      </c>
      <c r="D76" s="20">
        <v>0</v>
      </c>
    </row>
    <row r="77" spans="1:4" x14ac:dyDescent="0.25">
      <c r="A77" s="20" t="s">
        <v>154</v>
      </c>
      <c r="B77" s="44">
        <v>6860200</v>
      </c>
      <c r="C77" s="44">
        <f t="shared" si="4"/>
        <v>5560200</v>
      </c>
      <c r="D77" s="20">
        <v>0</v>
      </c>
    </row>
    <row r="78" spans="1:4" x14ac:dyDescent="0.25">
      <c r="A78" s="20" t="s">
        <v>155</v>
      </c>
      <c r="B78" s="44">
        <v>7255800</v>
      </c>
      <c r="C78" s="44">
        <f t="shared" si="4"/>
        <v>5955800</v>
      </c>
      <c r="D78" s="20">
        <v>0</v>
      </c>
    </row>
    <row r="79" spans="1:4" x14ac:dyDescent="0.25">
      <c r="B79" s="45">
        <f>SUM(B67:B78)</f>
        <v>67266900</v>
      </c>
      <c r="C79" s="44">
        <f>SUM(C67:C78)</f>
        <v>51666900</v>
      </c>
    </row>
    <row r="81" spans="1:6" x14ac:dyDescent="0.25">
      <c r="A81" s="157" t="s">
        <v>163</v>
      </c>
      <c r="B81" s="157"/>
      <c r="C81" s="157"/>
      <c r="D81" s="157"/>
      <c r="E81" s="157"/>
      <c r="F81" s="157"/>
    </row>
    <row r="82" spans="1:6" x14ac:dyDescent="0.25">
      <c r="B82" s="148" t="s">
        <v>143</v>
      </c>
      <c r="C82" s="148" t="s">
        <v>158</v>
      </c>
      <c r="D82" s="148" t="s">
        <v>165</v>
      </c>
      <c r="E82" s="148"/>
      <c r="F82" s="148" t="s">
        <v>166</v>
      </c>
    </row>
    <row r="83" spans="1:6" x14ac:dyDescent="0.25">
      <c r="A83" s="20" t="s">
        <v>180</v>
      </c>
      <c r="B83" s="149">
        <v>12</v>
      </c>
      <c r="C83" s="45">
        <f>C63</f>
        <v>15600000</v>
      </c>
      <c r="D83" s="17">
        <f>1.05458*9703.13</f>
        <v>10232.726835400001</v>
      </c>
      <c r="E83" s="20" t="s">
        <v>167</v>
      </c>
      <c r="F83" s="48">
        <f>12*D83</f>
        <v>122792.72202480001</v>
      </c>
    </row>
    <row r="84" spans="1:6" x14ac:dyDescent="0.25">
      <c r="A84" s="20" t="s">
        <v>181</v>
      </c>
      <c r="C84" s="45">
        <f>D63</f>
        <v>51666900</v>
      </c>
      <c r="D84" s="20">
        <f>1.05458*0.00844</f>
        <v>8.9006551999999996E-3</v>
      </c>
      <c r="E84" s="20" t="s">
        <v>168</v>
      </c>
      <c r="F84" s="17">
        <f>C84*D84</f>
        <v>459869.26215287996</v>
      </c>
    </row>
    <row r="85" spans="1:6" x14ac:dyDescent="0.25">
      <c r="A85" s="20" t="s">
        <v>39</v>
      </c>
      <c r="C85" s="45">
        <f>SUM(C83:C84)</f>
        <v>67266900</v>
      </c>
      <c r="F85" s="48">
        <f>SUM(F83:F84)</f>
        <v>582661.98417767999</v>
      </c>
    </row>
    <row r="87" spans="1:6" x14ac:dyDescent="0.25">
      <c r="A87" s="20" t="s">
        <v>39</v>
      </c>
      <c r="B87" s="45">
        <f>B57+B83</f>
        <v>13782</v>
      </c>
      <c r="C87" s="45">
        <f>C57+C85</f>
        <v>139678100</v>
      </c>
      <c r="F87" s="48">
        <f>F57+F85</f>
        <v>1362123.9615859599</v>
      </c>
    </row>
    <row r="90" spans="1:6" x14ac:dyDescent="0.25">
      <c r="A90" s="103" t="s">
        <v>487</v>
      </c>
      <c r="B90" s="150">
        <v>0.33</v>
      </c>
    </row>
    <row r="91" spans="1:6" x14ac:dyDescent="0.25">
      <c r="A91" s="103" t="s">
        <v>488</v>
      </c>
      <c r="B91" s="17">
        <v>1362165.96</v>
      </c>
    </row>
    <row r="92" spans="1:6" x14ac:dyDescent="0.25">
      <c r="A92" s="103" t="s">
        <v>489</v>
      </c>
      <c r="B92" s="17" t="s">
        <v>490</v>
      </c>
    </row>
    <row r="93" spans="1:6" x14ac:dyDescent="0.25">
      <c r="A93" s="103" t="s">
        <v>491</v>
      </c>
      <c r="B93" s="151">
        <v>5.4579999999999997E-2</v>
      </c>
    </row>
  </sheetData>
  <mergeCells count="10">
    <mergeCell ref="D53:E53"/>
    <mergeCell ref="A59:F59"/>
    <mergeCell ref="A61:F61"/>
    <mergeCell ref="A81:F81"/>
    <mergeCell ref="B16:M16"/>
    <mergeCell ref="B23:M23"/>
    <mergeCell ref="B31:M31"/>
    <mergeCell ref="B38:M38"/>
    <mergeCell ref="A45:F45"/>
    <mergeCell ref="A52:F5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ScheduleOfAdjustedOperations</vt:lpstr>
      <vt:lpstr>Adjustments_General</vt:lpstr>
      <vt:lpstr>SewerOperationsAndMaintenance</vt:lpstr>
      <vt:lpstr>Adjustments</vt:lpstr>
      <vt:lpstr>DebtServiceRequirements</vt:lpstr>
      <vt:lpstr>RevReq Calculation</vt:lpstr>
      <vt:lpstr>BillingAnalysis_Current</vt:lpstr>
      <vt:lpstr>BillingAnalysis_100%RevReq</vt:lpstr>
      <vt:lpstr>BillingAnalysis_Phase1</vt:lpstr>
      <vt:lpstr>BillingAnalysis_Phase2</vt:lpstr>
      <vt:lpstr>BillingAnalysis_Phase3</vt:lpstr>
      <vt:lpstr>All District Employees</vt:lpstr>
      <vt:lpstr>Wage-Benefits</vt:lpstr>
      <vt:lpstr>Adjustment_Contract-MiscExpense</vt:lpstr>
      <vt:lpstr>ItemsRemovedFromRevenues</vt:lpstr>
      <vt:lpstr>SewerBillingAdjustments</vt:lpstr>
      <vt:lpstr>RelatedTransactions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2021-09-23T12:49:56Z</dcterms:created>
  <dcterms:modified xsi:type="dcterms:W3CDTF">2021-09-23T12:50:06Z</dcterms:modified>
</cp:coreProperties>
</file>