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checkCompatibility="1" defaultThemeVersion="124226"/>
  <xr:revisionPtr revIDLastSave="0" documentId="14_{AC88E13D-0B65-4136-92AB-5332B6DFDD26}" xr6:coauthVersionLast="36" xr6:coauthVersionMax="36" xr10:uidLastSave="{00000000-0000-0000-0000-000000000000}"/>
  <bookViews>
    <workbookView xWindow="-105" yWindow="-105" windowWidth="15225" windowHeight="7530" tabRatio="599" firstSheet="1" activeTab="4" xr2:uid="{00000000-000D-0000-FFFF-FFFF00000000}"/>
  </bookViews>
  <sheets>
    <sheet name="Schedule Of Adjusted Operations" sheetId="1" r:id="rId1"/>
    <sheet name="Adjustments" sheetId="31" r:id="rId2"/>
    <sheet name="RevReq Calculation" sheetId="25" r:id="rId3"/>
    <sheet name="All District Employees" sheetId="35" r:id="rId4"/>
    <sheet name="Wage-Benefits" sheetId="32" r:id="rId5"/>
    <sheet name="2020_UnadjustedRevenue" sheetId="33" r:id="rId6"/>
    <sheet name="2020_AdjustedRevenue" sheetId="34" r:id="rId7"/>
    <sheet name="100%RevenueReq_ProposedRates" sheetId="40" r:id="rId8"/>
    <sheet name="Phase_1_Rates" sheetId="43" r:id="rId9"/>
    <sheet name="Phase_2_Rates" sheetId="44" r:id="rId10"/>
    <sheet name="Adjustments_H2O_Usage" sheetId="36" r:id="rId11"/>
    <sheet name="DebtServiceRequirements" sheetId="30" r:id="rId12"/>
    <sheet name="Nonrecurring Charges" sheetId="29" r:id="rId13"/>
    <sheet name="Adjustment_Contract-MiscExpense" sheetId="38" r:id="rId14"/>
    <sheet name="RelatedTransactions" sheetId="41" r:id="rId15"/>
  </sheets>
  <definedNames>
    <definedName name="_xlnm._FilterDatabase" localSheetId="3" hidden="1">'All District Employees'!$A$1:$R$35</definedName>
    <definedName name="_xlnm._FilterDatabase" localSheetId="14" hidden="1">RelatedTransactions!$A$1:$F$23</definedName>
    <definedName name="_xlnm._FilterDatabase" localSheetId="4" hidden="1">'Wage-Benefits'!$A$1:$R$31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4" i="41" l="1"/>
  <c r="F120" i="44"/>
  <c r="D115" i="44"/>
  <c r="D114" i="44"/>
  <c r="F114" i="44" s="1"/>
  <c r="D109" i="44"/>
  <c r="D108" i="44"/>
  <c r="F108" i="44" s="1"/>
  <c r="D103" i="44"/>
  <c r="D98" i="44"/>
  <c r="D97" i="44"/>
  <c r="C90" i="44"/>
  <c r="C89" i="44"/>
  <c r="C88" i="44"/>
  <c r="C87" i="44"/>
  <c r="C86" i="44"/>
  <c r="C85" i="44"/>
  <c r="C84" i="44"/>
  <c r="C83" i="44"/>
  <c r="C82" i="44"/>
  <c r="C81" i="44"/>
  <c r="C80" i="44"/>
  <c r="C79" i="44"/>
  <c r="C91" i="44" s="1"/>
  <c r="D75" i="44" s="1"/>
  <c r="B76" i="44"/>
  <c r="C75" i="44"/>
  <c r="E75" i="44" s="1"/>
  <c r="E76" i="44" s="1"/>
  <c r="B70" i="44"/>
  <c r="D69" i="44"/>
  <c r="C69" i="44"/>
  <c r="D68" i="44"/>
  <c r="C68" i="44"/>
  <c r="D67" i="44"/>
  <c r="C67" i="44"/>
  <c r="D66" i="44"/>
  <c r="C66" i="44"/>
  <c r="D65" i="44"/>
  <c r="C65" i="44"/>
  <c r="D64" i="44"/>
  <c r="C64" i="44"/>
  <c r="D63" i="44"/>
  <c r="C63" i="44"/>
  <c r="D62" i="44"/>
  <c r="C62" i="44"/>
  <c r="D61" i="44"/>
  <c r="C61" i="44"/>
  <c r="D60" i="44"/>
  <c r="C60" i="44"/>
  <c r="D59" i="44"/>
  <c r="C59" i="44"/>
  <c r="D58" i="44"/>
  <c r="D70" i="44" s="1"/>
  <c r="C52" i="44" s="1"/>
  <c r="C58" i="44"/>
  <c r="C70" i="44" s="1"/>
  <c r="D53" i="44" s="1"/>
  <c r="D54" i="44" s="1"/>
  <c r="C109" i="44" s="1"/>
  <c r="F109" i="44" s="1"/>
  <c r="B54" i="44"/>
  <c r="C53" i="44"/>
  <c r="B48" i="44"/>
  <c r="B103" i="44" s="1"/>
  <c r="C47" i="44"/>
  <c r="C46" i="44"/>
  <c r="C45" i="44"/>
  <c r="B38" i="44"/>
  <c r="M33" i="44"/>
  <c r="L33" i="44"/>
  <c r="K33" i="44"/>
  <c r="J33" i="44"/>
  <c r="I33" i="44"/>
  <c r="H33" i="44"/>
  <c r="G33" i="44"/>
  <c r="F33" i="44"/>
  <c r="E33" i="44"/>
  <c r="D33" i="44"/>
  <c r="C33" i="44"/>
  <c r="B33" i="44"/>
  <c r="N33" i="44" s="1"/>
  <c r="B39" i="44" s="1"/>
  <c r="C39" i="44" s="1"/>
  <c r="N32" i="44"/>
  <c r="M27" i="44"/>
  <c r="L27" i="44"/>
  <c r="K27" i="44"/>
  <c r="J27" i="44"/>
  <c r="I27" i="44"/>
  <c r="H27" i="44"/>
  <c r="G27" i="44"/>
  <c r="F27" i="44"/>
  <c r="E27" i="44"/>
  <c r="D27" i="44"/>
  <c r="C27" i="44"/>
  <c r="B27" i="44"/>
  <c r="N26" i="44"/>
  <c r="N25" i="44"/>
  <c r="N24" i="44"/>
  <c r="N23" i="44"/>
  <c r="C44" i="44" s="1"/>
  <c r="N22" i="44"/>
  <c r="N21" i="44"/>
  <c r="N27" i="44" s="1"/>
  <c r="M19" i="44"/>
  <c r="L19" i="44"/>
  <c r="K19" i="44"/>
  <c r="J19" i="44"/>
  <c r="I19" i="44"/>
  <c r="H19" i="44"/>
  <c r="G19" i="44"/>
  <c r="F19" i="44"/>
  <c r="E19" i="44"/>
  <c r="D19" i="44"/>
  <c r="C19" i="44"/>
  <c r="B19" i="44"/>
  <c r="N19" i="44" s="1"/>
  <c r="D39" i="44" s="1"/>
  <c r="C98" i="44" s="1"/>
  <c r="F98" i="44" s="1"/>
  <c r="N18" i="44"/>
  <c r="C38" i="44" s="1"/>
  <c r="C14" i="44"/>
  <c r="B14" i="44"/>
  <c r="F120" i="43"/>
  <c r="D115" i="43"/>
  <c r="D114" i="43"/>
  <c r="F114" i="43" s="1"/>
  <c r="D109" i="43"/>
  <c r="F108" i="43"/>
  <c r="F110" i="43" s="1"/>
  <c r="D108" i="43"/>
  <c r="D103" i="43"/>
  <c r="D98" i="43"/>
  <c r="D97" i="43"/>
  <c r="C90" i="43"/>
  <c r="C89" i="43"/>
  <c r="C88" i="43"/>
  <c r="C87" i="43"/>
  <c r="C86" i="43"/>
  <c r="C85" i="43"/>
  <c r="C84" i="43"/>
  <c r="C83" i="43"/>
  <c r="C82" i="43"/>
  <c r="C81" i="43"/>
  <c r="C80" i="43"/>
  <c r="C79" i="43"/>
  <c r="C91" i="43" s="1"/>
  <c r="D75" i="43" s="1"/>
  <c r="B76" i="43"/>
  <c r="C75" i="43"/>
  <c r="E75" i="43" s="1"/>
  <c r="E76" i="43" s="1"/>
  <c r="D70" i="43"/>
  <c r="C52" i="43" s="1"/>
  <c r="B70" i="43"/>
  <c r="D69" i="43"/>
  <c r="C69" i="43"/>
  <c r="D68" i="43"/>
  <c r="C68" i="43"/>
  <c r="D67" i="43"/>
  <c r="C67" i="43"/>
  <c r="D66" i="43"/>
  <c r="C66" i="43"/>
  <c r="D65" i="43"/>
  <c r="C65" i="43"/>
  <c r="D64" i="43"/>
  <c r="C64" i="43"/>
  <c r="D63" i="43"/>
  <c r="C63" i="43"/>
  <c r="D62" i="43"/>
  <c r="C62" i="43"/>
  <c r="D61" i="43"/>
  <c r="C61" i="43"/>
  <c r="D60" i="43"/>
  <c r="C60" i="43"/>
  <c r="D59" i="43"/>
  <c r="C59" i="43"/>
  <c r="D58" i="43"/>
  <c r="C58" i="43"/>
  <c r="C70" i="43" s="1"/>
  <c r="D53" i="43" s="1"/>
  <c r="D54" i="43" s="1"/>
  <c r="C109" i="43" s="1"/>
  <c r="F109" i="43" s="1"/>
  <c r="B54" i="43"/>
  <c r="C53" i="43"/>
  <c r="E53" i="43" s="1"/>
  <c r="B48" i="43"/>
  <c r="B103" i="43" s="1"/>
  <c r="C46" i="43"/>
  <c r="C45" i="43"/>
  <c r="C44" i="43"/>
  <c r="M33" i="43"/>
  <c r="L33" i="43"/>
  <c r="K33" i="43"/>
  <c r="J33" i="43"/>
  <c r="I33" i="43"/>
  <c r="H33" i="43"/>
  <c r="G33" i="43"/>
  <c r="F33" i="43"/>
  <c r="E33" i="43"/>
  <c r="D33" i="43"/>
  <c r="C33" i="43"/>
  <c r="B33" i="43"/>
  <c r="N33" i="43" s="1"/>
  <c r="B39" i="43" s="1"/>
  <c r="C39" i="43" s="1"/>
  <c r="N32" i="43"/>
  <c r="B38" i="43" s="1"/>
  <c r="B40" i="43" s="1"/>
  <c r="B97" i="43" s="1"/>
  <c r="M27" i="43"/>
  <c r="L27" i="43"/>
  <c r="K27" i="43"/>
  <c r="J27" i="43"/>
  <c r="I27" i="43"/>
  <c r="H27" i="43"/>
  <c r="G27" i="43"/>
  <c r="F27" i="43"/>
  <c r="E27" i="43"/>
  <c r="D27" i="43"/>
  <c r="C27" i="43"/>
  <c r="B27" i="43"/>
  <c r="N26" i="43"/>
  <c r="C47" i="43" s="1"/>
  <c r="N25" i="43"/>
  <c r="N24" i="43"/>
  <c r="N23" i="43"/>
  <c r="N22" i="43"/>
  <c r="N21" i="43"/>
  <c r="N27" i="43" s="1"/>
  <c r="M19" i="43"/>
  <c r="L19" i="43"/>
  <c r="K19" i="43"/>
  <c r="J19" i="43"/>
  <c r="I19" i="43"/>
  <c r="H19" i="43"/>
  <c r="G19" i="43"/>
  <c r="F19" i="43"/>
  <c r="E19" i="43"/>
  <c r="D19" i="43"/>
  <c r="C19" i="43"/>
  <c r="B19" i="43"/>
  <c r="N19" i="43" s="1"/>
  <c r="D39" i="43" s="1"/>
  <c r="C98" i="43" s="1"/>
  <c r="F98" i="43" s="1"/>
  <c r="N18" i="43"/>
  <c r="C38" i="43" s="1"/>
  <c r="C14" i="43"/>
  <c r="B14" i="43"/>
  <c r="E48" i="44" l="1"/>
  <c r="C48" i="44"/>
  <c r="C103" i="44" s="1"/>
  <c r="F103" i="44" s="1"/>
  <c r="F110" i="44"/>
  <c r="E52" i="44"/>
  <c r="E54" i="44" s="1"/>
  <c r="C54" i="44"/>
  <c r="C108" i="44" s="1"/>
  <c r="C110" i="44" s="1"/>
  <c r="C40" i="44"/>
  <c r="C97" i="44" s="1"/>
  <c r="C99" i="44" s="1"/>
  <c r="E38" i="44"/>
  <c r="E40" i="44" s="1"/>
  <c r="C115" i="44"/>
  <c r="F115" i="44" s="1"/>
  <c r="F116" i="44" s="1"/>
  <c r="D76" i="44"/>
  <c r="E53" i="44"/>
  <c r="E39" i="44"/>
  <c r="B40" i="44"/>
  <c r="B97" i="44" s="1"/>
  <c r="C76" i="44"/>
  <c r="C114" i="44"/>
  <c r="C116" i="44" s="1"/>
  <c r="E52" i="43"/>
  <c r="E54" i="43" s="1"/>
  <c r="C54" i="43"/>
  <c r="C108" i="43" s="1"/>
  <c r="C110" i="43" s="1"/>
  <c r="C40" i="43"/>
  <c r="C97" i="43" s="1"/>
  <c r="C99" i="43" s="1"/>
  <c r="E38" i="43"/>
  <c r="C115" i="43"/>
  <c r="F115" i="43" s="1"/>
  <c r="D76" i="43"/>
  <c r="F116" i="43"/>
  <c r="B118" i="43"/>
  <c r="F97" i="43"/>
  <c r="F99" i="43" s="1"/>
  <c r="F118" i="43" s="1"/>
  <c r="E39" i="43"/>
  <c r="E48" i="43"/>
  <c r="C48" i="43"/>
  <c r="C103" i="43" s="1"/>
  <c r="F103" i="43" s="1"/>
  <c r="C76" i="43"/>
  <c r="C114" i="43"/>
  <c r="B118" i="44" l="1"/>
  <c r="F97" i="44"/>
  <c r="F99" i="44" s="1"/>
  <c r="F118" i="44" s="1"/>
  <c r="C118" i="44"/>
  <c r="E40" i="43"/>
  <c r="C116" i="43"/>
  <c r="C118" i="43" s="1"/>
  <c r="C37" i="1" l="1"/>
  <c r="C36" i="1"/>
  <c r="C8" i="1"/>
  <c r="C24" i="1" l="1"/>
  <c r="B36" i="1"/>
  <c r="C45" i="34"/>
  <c r="B96" i="33"/>
  <c r="C26" i="1" l="1"/>
  <c r="Q6" i="35"/>
  <c r="R34" i="35" l="1"/>
  <c r="R33" i="35"/>
  <c r="R25" i="35"/>
  <c r="R8" i="35"/>
  <c r="Q28" i="35"/>
  <c r="Q29" i="35"/>
  <c r="Q30" i="35"/>
  <c r="Q31" i="35"/>
  <c r="Q32" i="35"/>
  <c r="Q33" i="35"/>
  <c r="Q34" i="35"/>
  <c r="Q27" i="35"/>
  <c r="Q25" i="35"/>
  <c r="Q23" i="35"/>
  <c r="Q22" i="35"/>
  <c r="Q20" i="35"/>
  <c r="Q19" i="35"/>
  <c r="Q7" i="35"/>
  <c r="Q8" i="35"/>
  <c r="Q9" i="35"/>
  <c r="Q10" i="35"/>
  <c r="Q11" i="35"/>
  <c r="Q12" i="35"/>
  <c r="Q13" i="35"/>
  <c r="Q14" i="35"/>
  <c r="Q15" i="35"/>
  <c r="Q16" i="35"/>
  <c r="Q17" i="35"/>
  <c r="Q5" i="35"/>
  <c r="Q3" i="35"/>
  <c r="Q2" i="35"/>
  <c r="O35" i="35"/>
  <c r="G76" i="34" l="1"/>
  <c r="G54" i="34"/>
  <c r="G45" i="34"/>
  <c r="G46" i="34"/>
  <c r="G47" i="34"/>
  <c r="G44" i="34"/>
  <c r="G40" i="34"/>
  <c r="N35" i="35" l="1"/>
  <c r="H32" i="32" l="1"/>
  <c r="C90" i="40" l="1"/>
  <c r="C89" i="40"/>
  <c r="C88" i="40"/>
  <c r="C87" i="40"/>
  <c r="C86" i="40"/>
  <c r="C85" i="40"/>
  <c r="C84" i="40"/>
  <c r="C83" i="40"/>
  <c r="C82" i="40"/>
  <c r="C81" i="40"/>
  <c r="C80" i="40"/>
  <c r="C79" i="40"/>
  <c r="C91" i="40" s="1"/>
  <c r="D75" i="40" s="1"/>
  <c r="B76" i="40"/>
  <c r="C75" i="40"/>
  <c r="E75" i="40" s="1"/>
  <c r="E76" i="40" s="1"/>
  <c r="D70" i="40"/>
  <c r="C52" i="40" s="1"/>
  <c r="B70" i="40"/>
  <c r="D69" i="40"/>
  <c r="C69" i="40"/>
  <c r="D68" i="40"/>
  <c r="C68" i="40"/>
  <c r="D67" i="40"/>
  <c r="C67" i="40"/>
  <c r="D66" i="40"/>
  <c r="C66" i="40"/>
  <c r="D65" i="40"/>
  <c r="C65" i="40"/>
  <c r="D64" i="40"/>
  <c r="C64" i="40"/>
  <c r="D63" i="40"/>
  <c r="C63" i="40"/>
  <c r="D62" i="40"/>
  <c r="C62" i="40"/>
  <c r="D61" i="40"/>
  <c r="C61" i="40"/>
  <c r="D60" i="40"/>
  <c r="C60" i="40"/>
  <c r="D59" i="40"/>
  <c r="C59" i="40"/>
  <c r="D58" i="40"/>
  <c r="C58" i="40"/>
  <c r="C70" i="40" s="1"/>
  <c r="D53" i="40" s="1"/>
  <c r="D54" i="40" s="1"/>
  <c r="C109" i="40" s="1"/>
  <c r="B54" i="40"/>
  <c r="C53" i="40"/>
  <c r="E53" i="40" s="1"/>
  <c r="B48" i="40"/>
  <c r="B103" i="40" s="1"/>
  <c r="C44" i="40"/>
  <c r="E48" i="40" s="1"/>
  <c r="M33" i="40"/>
  <c r="L33" i="40"/>
  <c r="K33" i="40"/>
  <c r="J33" i="40"/>
  <c r="I33" i="40"/>
  <c r="H33" i="40"/>
  <c r="G33" i="40"/>
  <c r="F33" i="40"/>
  <c r="E33" i="40"/>
  <c r="D33" i="40"/>
  <c r="C33" i="40"/>
  <c r="B33" i="40"/>
  <c r="N33" i="40" s="1"/>
  <c r="B39" i="40" s="1"/>
  <c r="C39" i="40" s="1"/>
  <c r="N32" i="40"/>
  <c r="B38" i="40" s="1"/>
  <c r="M27" i="40"/>
  <c r="L27" i="40"/>
  <c r="K27" i="40"/>
  <c r="J27" i="40"/>
  <c r="I27" i="40"/>
  <c r="H27" i="40"/>
  <c r="G27" i="40"/>
  <c r="F27" i="40"/>
  <c r="E27" i="40"/>
  <c r="D27" i="40"/>
  <c r="C27" i="40"/>
  <c r="B27" i="40"/>
  <c r="N26" i="40"/>
  <c r="C47" i="40" s="1"/>
  <c r="N25" i="40"/>
  <c r="C46" i="40" s="1"/>
  <c r="N24" i="40"/>
  <c r="C45" i="40" s="1"/>
  <c r="N23" i="40"/>
  <c r="N22" i="40"/>
  <c r="N21" i="40"/>
  <c r="N27" i="40" s="1"/>
  <c r="M19" i="40"/>
  <c r="L19" i="40"/>
  <c r="K19" i="40"/>
  <c r="J19" i="40"/>
  <c r="I19" i="40"/>
  <c r="H19" i="40"/>
  <c r="G19" i="40"/>
  <c r="F19" i="40"/>
  <c r="E19" i="40"/>
  <c r="D19" i="40"/>
  <c r="C19" i="40"/>
  <c r="B19" i="40"/>
  <c r="N19" i="40" s="1"/>
  <c r="N18" i="40"/>
  <c r="C38" i="40" s="1"/>
  <c r="C14" i="40"/>
  <c r="B14" i="40"/>
  <c r="E39" i="40" l="1"/>
  <c r="C115" i="40"/>
  <c r="D76" i="40"/>
  <c r="C40" i="40"/>
  <c r="C97" i="40" s="1"/>
  <c r="E38" i="40"/>
  <c r="D39" i="40"/>
  <c r="C98" i="40" s="1"/>
  <c r="B40" i="40"/>
  <c r="B97" i="40" s="1"/>
  <c r="E52" i="40"/>
  <c r="E54" i="40" s="1"/>
  <c r="C54" i="40"/>
  <c r="C108" i="40" s="1"/>
  <c r="C110" i="40" s="1"/>
  <c r="C48" i="40"/>
  <c r="C103" i="40" s="1"/>
  <c r="C76" i="40"/>
  <c r="C114" i="40"/>
  <c r="C116" i="40" s="1"/>
  <c r="E40" i="40" l="1"/>
  <c r="B118" i="40"/>
  <c r="C99" i="40"/>
  <c r="C118" i="40" s="1"/>
  <c r="I106" i="38" l="1"/>
  <c r="I91" i="38"/>
  <c r="B32" i="1"/>
  <c r="C40" i="1" l="1"/>
  <c r="I36" i="32"/>
  <c r="I32" i="32"/>
  <c r="D33" i="32"/>
  <c r="C41" i="1" l="1"/>
  <c r="I105" i="38" l="1"/>
  <c r="I104" i="38"/>
  <c r="I103" i="38"/>
  <c r="I102" i="38"/>
  <c r="I95" i="38"/>
  <c r="I93" i="38"/>
  <c r="I88" i="38"/>
  <c r="I72" i="38"/>
  <c r="I71" i="38"/>
  <c r="I70" i="38"/>
  <c r="I69" i="38"/>
  <c r="I68" i="38"/>
  <c r="I67" i="38"/>
  <c r="I66" i="38"/>
  <c r="I65" i="38"/>
  <c r="I64" i="38"/>
  <c r="I63" i="38"/>
  <c r="I62" i="38"/>
  <c r="I61" i="38"/>
  <c r="I60" i="38"/>
  <c r="I56" i="38"/>
  <c r="I55" i="38"/>
  <c r="I54" i="38"/>
  <c r="I53" i="38"/>
  <c r="I52" i="38"/>
  <c r="I51" i="38"/>
  <c r="I50" i="38"/>
  <c r="I47" i="38"/>
  <c r="I46" i="38"/>
  <c r="I45" i="38"/>
  <c r="I44" i="38"/>
  <c r="I43" i="38"/>
  <c r="I42" i="38"/>
  <c r="I41" i="38"/>
  <c r="I40" i="38"/>
  <c r="I39" i="38"/>
  <c r="I38" i="38"/>
  <c r="I37" i="38"/>
  <c r="I36" i="38"/>
  <c r="I35" i="38"/>
  <c r="I32" i="38"/>
  <c r="I31" i="38"/>
  <c r="I30" i="38"/>
  <c r="I29" i="38"/>
  <c r="I28" i="38"/>
  <c r="I27" i="38"/>
  <c r="I26" i="38"/>
  <c r="I25" i="38"/>
  <c r="I24" i="38"/>
  <c r="I23" i="38"/>
  <c r="I22" i="38"/>
  <c r="I21" i="38"/>
  <c r="I20" i="38"/>
  <c r="I14" i="38"/>
  <c r="I13" i="38"/>
  <c r="I12" i="38"/>
  <c r="I11" i="38"/>
  <c r="I10" i="38"/>
  <c r="I9" i="38"/>
  <c r="I8" i="38"/>
  <c r="I7" i="38"/>
  <c r="I6" i="38"/>
  <c r="I5" i="38"/>
  <c r="I4" i="38"/>
  <c r="I3" i="38"/>
  <c r="I48" i="38" l="1"/>
  <c r="I17" i="38"/>
  <c r="I33" i="38"/>
  <c r="I57" i="38"/>
  <c r="I73" i="38"/>
  <c r="C15" i="1" l="1"/>
  <c r="C118" i="34" l="1"/>
  <c r="B4" i="25" l="1"/>
  <c r="BM8" i="30"/>
  <c r="BM10" i="30"/>
  <c r="BM12" i="30"/>
  <c r="BM14" i="30"/>
  <c r="BM6" i="30"/>
  <c r="BL8" i="30"/>
  <c r="BL10" i="30"/>
  <c r="BL12" i="30"/>
  <c r="BL14" i="30"/>
  <c r="BL6" i="30"/>
  <c r="BB7" i="30"/>
  <c r="BB9" i="30"/>
  <c r="BB11" i="30"/>
  <c r="BB13" i="30"/>
  <c r="BB5" i="30"/>
  <c r="BA7" i="30"/>
  <c r="BA9" i="30"/>
  <c r="BA11" i="30"/>
  <c r="BA13" i="30"/>
  <c r="BA5" i="30"/>
  <c r="X7" i="30"/>
  <c r="X9" i="30"/>
  <c r="X11" i="30"/>
  <c r="X13" i="30"/>
  <c r="X5" i="30"/>
  <c r="W7" i="30"/>
  <c r="W9" i="30"/>
  <c r="W11" i="30"/>
  <c r="W13" i="30"/>
  <c r="W5" i="30"/>
  <c r="AY6" i="30" l="1"/>
  <c r="AY7" i="30"/>
  <c r="AY8" i="30"/>
  <c r="AY9" i="30"/>
  <c r="AY10" i="30"/>
  <c r="AY11" i="30"/>
  <c r="AY12" i="30"/>
  <c r="AY13" i="30"/>
  <c r="AY14" i="30"/>
  <c r="AX7" i="30"/>
  <c r="AX9" i="30"/>
  <c r="AX11" i="30"/>
  <c r="AX13" i="30"/>
  <c r="AY5" i="30"/>
  <c r="AX5" i="30"/>
  <c r="AS6" i="30"/>
  <c r="AS7" i="30"/>
  <c r="AS8" i="30"/>
  <c r="AS9" i="30"/>
  <c r="AS10" i="30"/>
  <c r="AS11" i="30"/>
  <c r="AS12" i="30"/>
  <c r="AS13" i="30"/>
  <c r="AS14" i="30"/>
  <c r="AS5" i="30"/>
  <c r="AR7" i="30"/>
  <c r="AR9" i="30"/>
  <c r="AR11" i="30"/>
  <c r="AR13" i="30"/>
  <c r="AR5" i="30"/>
  <c r="AJ14" i="30"/>
  <c r="AM14" i="30"/>
  <c r="AM13" i="30"/>
  <c r="AM12" i="30"/>
  <c r="AM11" i="30"/>
  <c r="AM10" i="30"/>
  <c r="AM9" i="30"/>
  <c r="AM8" i="30"/>
  <c r="AM7" i="30"/>
  <c r="AM6" i="30"/>
  <c r="AM5" i="30"/>
  <c r="AL14" i="30"/>
  <c r="AL13" i="30"/>
  <c r="AL12" i="30"/>
  <c r="AL11" i="30"/>
  <c r="AL10" i="30"/>
  <c r="AL9" i="30"/>
  <c r="AL8" i="30"/>
  <c r="AL7" i="30"/>
  <c r="AL6" i="30"/>
  <c r="AL5" i="30"/>
  <c r="AJ6" i="30"/>
  <c r="AJ7" i="30"/>
  <c r="AJ8" i="30"/>
  <c r="AJ9" i="30"/>
  <c r="AJ10" i="30"/>
  <c r="AJ11" i="30"/>
  <c r="AJ12" i="30"/>
  <c r="AJ13" i="30"/>
  <c r="AJ5" i="30"/>
  <c r="AI6" i="30"/>
  <c r="AI7" i="30"/>
  <c r="AI8" i="30"/>
  <c r="AI9" i="30"/>
  <c r="AI10" i="30"/>
  <c r="AI11" i="30"/>
  <c r="AI12" i="30"/>
  <c r="AI13" i="30"/>
  <c r="AI5" i="30"/>
  <c r="AG6" i="30"/>
  <c r="AG7" i="30"/>
  <c r="AG8" i="30"/>
  <c r="AG9" i="30"/>
  <c r="AG10" i="30"/>
  <c r="AG11" i="30"/>
  <c r="AG12" i="30"/>
  <c r="AG13" i="30"/>
  <c r="AG14" i="30"/>
  <c r="AG5" i="30"/>
  <c r="AF7" i="30"/>
  <c r="AF9" i="30"/>
  <c r="AF11" i="30"/>
  <c r="AF13" i="30"/>
  <c r="AF5" i="30"/>
  <c r="S7" i="30"/>
  <c r="S9" i="30"/>
  <c r="S11" i="30"/>
  <c r="S13" i="30"/>
  <c r="T6" i="30"/>
  <c r="T7" i="30"/>
  <c r="T8" i="30"/>
  <c r="T9" i="30"/>
  <c r="T10" i="30"/>
  <c r="T11" i="30"/>
  <c r="T12" i="30"/>
  <c r="T13" i="30"/>
  <c r="T14" i="30"/>
  <c r="T5" i="30"/>
  <c r="S5" i="30"/>
  <c r="Q6" i="30"/>
  <c r="Q7" i="30"/>
  <c r="Q8" i="30"/>
  <c r="Q9" i="30"/>
  <c r="Q10" i="30"/>
  <c r="Q11" i="30"/>
  <c r="Q12" i="30"/>
  <c r="Q13" i="30"/>
  <c r="Q14" i="30"/>
  <c r="P7" i="30"/>
  <c r="P9" i="30"/>
  <c r="P11" i="30"/>
  <c r="P13" i="30"/>
  <c r="P5" i="30"/>
  <c r="Q5" i="30"/>
  <c r="C15" i="36" l="1"/>
  <c r="B15" i="36"/>
  <c r="AJ27" i="32" l="1"/>
  <c r="AJ28" i="32"/>
  <c r="AJ29" i="32"/>
  <c r="AJ30" i="32"/>
  <c r="AJ31" i="32"/>
  <c r="AI4" i="32"/>
  <c r="AI5" i="32"/>
  <c r="AI6" i="32"/>
  <c r="AI7" i="32"/>
  <c r="AI8" i="32"/>
  <c r="AI9" i="32"/>
  <c r="AI10" i="32"/>
  <c r="AI11" i="32"/>
  <c r="AI12" i="32"/>
  <c r="AI13" i="32"/>
  <c r="AI14" i="32"/>
  <c r="AI15" i="32"/>
  <c r="AI16" i="32"/>
  <c r="AI17" i="32"/>
  <c r="AI18" i="32"/>
  <c r="AI19" i="32"/>
  <c r="AI20" i="32"/>
  <c r="AI21" i="32"/>
  <c r="AI22" i="32"/>
  <c r="AI23" i="32"/>
  <c r="AI24" i="32"/>
  <c r="AI25" i="32"/>
  <c r="AI26" i="32"/>
  <c r="AI27" i="32"/>
  <c r="AI28" i="32"/>
  <c r="AI29" i="32"/>
  <c r="AI30" i="32"/>
  <c r="AI31" i="32"/>
  <c r="AA3" i="32"/>
  <c r="AH4" i="32"/>
  <c r="AH5" i="32"/>
  <c r="AH6" i="32"/>
  <c r="AH7" i="32"/>
  <c r="AH8" i="32"/>
  <c r="AH9" i="32"/>
  <c r="AH10" i="32"/>
  <c r="AH11" i="32"/>
  <c r="AH12" i="32"/>
  <c r="AH13" i="32"/>
  <c r="AH14" i="32"/>
  <c r="AH15" i="32"/>
  <c r="AH16" i="32"/>
  <c r="AH17" i="32"/>
  <c r="AH18" i="32"/>
  <c r="AH19" i="32"/>
  <c r="AH20" i="32"/>
  <c r="AH21" i="32"/>
  <c r="AH22" i="32"/>
  <c r="AH23" i="32"/>
  <c r="AH24" i="32"/>
  <c r="AH25" i="32"/>
  <c r="AH26" i="32"/>
  <c r="AH27" i="32"/>
  <c r="AH28" i="32"/>
  <c r="AH29" i="32"/>
  <c r="AH30" i="32"/>
  <c r="AH31" i="32"/>
  <c r="Z3" i="32"/>
  <c r="Z4" i="32"/>
  <c r="Z5" i="32"/>
  <c r="Z6" i="32"/>
  <c r="Z7" i="32"/>
  <c r="Z8" i="32"/>
  <c r="Z9" i="32"/>
  <c r="Z10" i="32"/>
  <c r="Z11" i="32"/>
  <c r="Z12" i="32"/>
  <c r="Z13" i="32"/>
  <c r="Z14" i="32"/>
  <c r="Z15" i="32"/>
  <c r="Z16" i="32"/>
  <c r="Z17" i="32"/>
  <c r="Z18" i="32"/>
  <c r="Z19" i="32"/>
  <c r="Z20" i="32"/>
  <c r="Z21" i="32"/>
  <c r="Z22" i="32"/>
  <c r="Z23" i="32"/>
  <c r="Z24" i="32"/>
  <c r="Z25" i="32"/>
  <c r="Z26" i="32"/>
  <c r="Z27" i="32"/>
  <c r="Z28" i="32"/>
  <c r="Z29" i="32"/>
  <c r="Z30" i="32"/>
  <c r="Z31" i="32"/>
  <c r="G34" i="35"/>
  <c r="J34" i="35" s="1"/>
  <c r="G33" i="35"/>
  <c r="G32" i="35"/>
  <c r="G31" i="35"/>
  <c r="P30" i="35"/>
  <c r="G29" i="35"/>
  <c r="G28" i="35"/>
  <c r="G27" i="35"/>
  <c r="G26" i="35"/>
  <c r="Q26" i="35" s="1"/>
  <c r="G25" i="35"/>
  <c r="P25" i="35" s="1"/>
  <c r="G23" i="35"/>
  <c r="G22" i="35"/>
  <c r="G21" i="35"/>
  <c r="P21" i="35" s="1"/>
  <c r="G20" i="35"/>
  <c r="G19" i="35"/>
  <c r="G18" i="35"/>
  <c r="P18" i="35" s="1"/>
  <c r="G17" i="35"/>
  <c r="G16" i="35"/>
  <c r="G15" i="35"/>
  <c r="G14" i="35"/>
  <c r="P14" i="35" s="1"/>
  <c r="G13" i="35"/>
  <c r="G12" i="35"/>
  <c r="P12" i="35" s="1"/>
  <c r="G11" i="35"/>
  <c r="P11" i="35" s="1"/>
  <c r="P10" i="35"/>
  <c r="P9" i="35"/>
  <c r="G8" i="35"/>
  <c r="G7" i="35"/>
  <c r="P7" i="35" s="1"/>
  <c r="G6" i="35"/>
  <c r="P6" i="35" s="1"/>
  <c r="G5" i="35"/>
  <c r="P4" i="35"/>
  <c r="G3" i="35"/>
  <c r="G2" i="35"/>
  <c r="P2" i="35" s="1"/>
  <c r="P31" i="35" l="1"/>
  <c r="P23" i="35"/>
  <c r="P28" i="35"/>
  <c r="P15" i="35"/>
  <c r="P20" i="35"/>
  <c r="Z32" i="32"/>
  <c r="J33" i="35"/>
  <c r="P27" i="35"/>
  <c r="P33" i="35"/>
  <c r="P13" i="35"/>
  <c r="P16" i="35"/>
  <c r="P32" i="35"/>
  <c r="P5" i="35"/>
  <c r="J8" i="35"/>
  <c r="P17" i="35"/>
  <c r="P22" i="35"/>
  <c r="P8" i="35"/>
  <c r="P19" i="35"/>
  <c r="P34" i="35"/>
  <c r="J25" i="35"/>
  <c r="P26" i="35"/>
  <c r="P29" i="35"/>
  <c r="P3" i="35"/>
  <c r="B90" i="33"/>
  <c r="C53" i="34"/>
  <c r="C52" i="34"/>
  <c r="C52" i="33"/>
  <c r="C51" i="33"/>
  <c r="E43" i="33"/>
  <c r="F114" i="34" l="1"/>
  <c r="C114" i="34"/>
  <c r="F108" i="34"/>
  <c r="C90" i="34"/>
  <c r="C89" i="34"/>
  <c r="C88" i="34"/>
  <c r="C87" i="34"/>
  <c r="C86" i="34"/>
  <c r="C85" i="34"/>
  <c r="C84" i="34"/>
  <c r="C83" i="34"/>
  <c r="C82" i="34"/>
  <c r="C81" i="34"/>
  <c r="C80" i="34"/>
  <c r="C79" i="34"/>
  <c r="C91" i="34" s="1"/>
  <c r="D75" i="34" s="1"/>
  <c r="C76" i="34"/>
  <c r="B76" i="34"/>
  <c r="C75" i="34"/>
  <c r="C70" i="34"/>
  <c r="D53" i="34" s="1"/>
  <c r="B70" i="34"/>
  <c r="D69" i="34"/>
  <c r="C69" i="34"/>
  <c r="D68" i="34"/>
  <c r="C68" i="34"/>
  <c r="D67" i="34"/>
  <c r="C67" i="34"/>
  <c r="D66" i="34"/>
  <c r="C66" i="34"/>
  <c r="D65" i="34"/>
  <c r="C65" i="34"/>
  <c r="D64" i="34"/>
  <c r="C64" i="34"/>
  <c r="D63" i="34"/>
  <c r="C63" i="34"/>
  <c r="D62" i="34"/>
  <c r="C62" i="34"/>
  <c r="D61" i="34"/>
  <c r="C61" i="34"/>
  <c r="D60" i="34"/>
  <c r="C60" i="34"/>
  <c r="D59" i="34"/>
  <c r="C59" i="34"/>
  <c r="D58" i="34"/>
  <c r="D70" i="34" s="1"/>
  <c r="C58" i="34"/>
  <c r="B54" i="34"/>
  <c r="B48" i="34"/>
  <c r="B103" i="34" s="1"/>
  <c r="C44" i="34"/>
  <c r="M33" i="34"/>
  <c r="L33" i="34"/>
  <c r="K33" i="34"/>
  <c r="J33" i="34"/>
  <c r="I33" i="34"/>
  <c r="H33" i="34"/>
  <c r="G33" i="34"/>
  <c r="F33" i="34"/>
  <c r="E33" i="34"/>
  <c r="D33" i="34"/>
  <c r="C33" i="34"/>
  <c r="B33" i="34"/>
  <c r="N32" i="34"/>
  <c r="B38" i="34" s="1"/>
  <c r="M27" i="34"/>
  <c r="L27" i="34"/>
  <c r="K27" i="34"/>
  <c r="J27" i="34"/>
  <c r="I27" i="34"/>
  <c r="H27" i="34"/>
  <c r="G27" i="34"/>
  <c r="F27" i="34"/>
  <c r="E27" i="34"/>
  <c r="D27" i="34"/>
  <c r="C27" i="34"/>
  <c r="B27" i="34"/>
  <c r="N26" i="34"/>
  <c r="C47" i="34" s="1"/>
  <c r="N25" i="34"/>
  <c r="C46" i="34" s="1"/>
  <c r="N24" i="34"/>
  <c r="N23" i="34"/>
  <c r="N22" i="34"/>
  <c r="N21" i="34"/>
  <c r="M19" i="34"/>
  <c r="L19" i="34"/>
  <c r="K19" i="34"/>
  <c r="J19" i="34"/>
  <c r="I19" i="34"/>
  <c r="H19" i="34"/>
  <c r="G19" i="34"/>
  <c r="F19" i="34"/>
  <c r="E19" i="34"/>
  <c r="D19" i="34"/>
  <c r="C19" i="34"/>
  <c r="B19" i="34"/>
  <c r="N18" i="34"/>
  <c r="C38" i="34" s="1"/>
  <c r="C14" i="34"/>
  <c r="B14" i="34"/>
  <c r="F113" i="33"/>
  <c r="F107" i="33"/>
  <c r="C74" i="33"/>
  <c r="C113" i="33" s="1"/>
  <c r="C79" i="33"/>
  <c r="C80" i="33"/>
  <c r="C81" i="33"/>
  <c r="C82" i="33"/>
  <c r="C83" i="33"/>
  <c r="C84" i="33"/>
  <c r="C85" i="33"/>
  <c r="C86" i="33"/>
  <c r="C87" i="33"/>
  <c r="C88" i="33"/>
  <c r="C89" i="33"/>
  <c r="C78" i="33"/>
  <c r="C57" i="33"/>
  <c r="B75" i="33"/>
  <c r="B69" i="33"/>
  <c r="B53" i="33"/>
  <c r="D58" i="33"/>
  <c r="D59" i="33"/>
  <c r="D60" i="33"/>
  <c r="D61" i="33"/>
  <c r="D62" i="33"/>
  <c r="D63" i="33"/>
  <c r="D64" i="33"/>
  <c r="D65" i="33"/>
  <c r="D66" i="33"/>
  <c r="D67" i="33"/>
  <c r="D68" i="33"/>
  <c r="D57" i="33"/>
  <c r="C58" i="33"/>
  <c r="C59" i="33"/>
  <c r="C60" i="33"/>
  <c r="C61" i="33"/>
  <c r="C62" i="33"/>
  <c r="C63" i="33"/>
  <c r="C64" i="33"/>
  <c r="C65" i="33"/>
  <c r="C66" i="33"/>
  <c r="C67" i="33"/>
  <c r="C68" i="33"/>
  <c r="N31" i="33"/>
  <c r="B37" i="33" s="1"/>
  <c r="M32" i="33"/>
  <c r="L32" i="33"/>
  <c r="K32" i="33"/>
  <c r="J32" i="33"/>
  <c r="I32" i="33"/>
  <c r="H32" i="33"/>
  <c r="G32" i="33"/>
  <c r="F32" i="33"/>
  <c r="E32" i="33"/>
  <c r="D32" i="33"/>
  <c r="C32" i="33"/>
  <c r="B32" i="33"/>
  <c r="C27" i="33"/>
  <c r="D27" i="33"/>
  <c r="E27" i="33"/>
  <c r="F27" i="33"/>
  <c r="G27" i="33"/>
  <c r="H27" i="33"/>
  <c r="I27" i="33"/>
  <c r="J27" i="33"/>
  <c r="K27" i="33"/>
  <c r="L27" i="33"/>
  <c r="M27" i="33"/>
  <c r="B27" i="33"/>
  <c r="N22" i="33"/>
  <c r="N23" i="33"/>
  <c r="C43" i="33" s="1"/>
  <c r="N24" i="33"/>
  <c r="N25" i="33"/>
  <c r="N26" i="33"/>
  <c r="N21" i="33"/>
  <c r="N18" i="33"/>
  <c r="C37" i="33" s="1"/>
  <c r="E37" i="33" s="1"/>
  <c r="M19" i="33"/>
  <c r="L19" i="33"/>
  <c r="K19" i="33"/>
  <c r="J19" i="33"/>
  <c r="I19" i="33"/>
  <c r="H19" i="33"/>
  <c r="G19" i="33"/>
  <c r="D19" i="33"/>
  <c r="E19" i="33"/>
  <c r="F19" i="33"/>
  <c r="C19" i="33"/>
  <c r="B19" i="33"/>
  <c r="C14" i="33"/>
  <c r="B14" i="33"/>
  <c r="N19" i="34" l="1"/>
  <c r="N33" i="34"/>
  <c r="B39" i="34" s="1"/>
  <c r="C39" i="34" s="1"/>
  <c r="D39" i="34" s="1"/>
  <c r="C98" i="34" s="1"/>
  <c r="F98" i="34" s="1"/>
  <c r="N27" i="34"/>
  <c r="E48" i="34"/>
  <c r="E52" i="34"/>
  <c r="C54" i="34"/>
  <c r="C108" i="34" s="1"/>
  <c r="E53" i="34"/>
  <c r="D54" i="34"/>
  <c r="C109" i="34" s="1"/>
  <c r="F109" i="34" s="1"/>
  <c r="F110" i="34" s="1"/>
  <c r="E75" i="34"/>
  <c r="E76" i="34" s="1"/>
  <c r="C40" i="34"/>
  <c r="C97" i="34" s="1"/>
  <c r="E38" i="34"/>
  <c r="C48" i="34"/>
  <c r="C103" i="34" s="1"/>
  <c r="F103" i="34" s="1"/>
  <c r="D76" i="34"/>
  <c r="C115" i="34"/>
  <c r="F115" i="34" s="1"/>
  <c r="F116" i="34" s="1"/>
  <c r="B40" i="34"/>
  <c r="B97" i="34" s="1"/>
  <c r="C90" i="33"/>
  <c r="D74" i="33" s="1"/>
  <c r="E74" i="33" s="1"/>
  <c r="E75" i="33" s="1"/>
  <c r="C69" i="33"/>
  <c r="D52" i="33" s="1"/>
  <c r="D53" i="33" s="1"/>
  <c r="C108" i="33" s="1"/>
  <c r="F108" i="33" s="1"/>
  <c r="F109" i="33" s="1"/>
  <c r="C75" i="33"/>
  <c r="D69" i="33"/>
  <c r="N19" i="33"/>
  <c r="N27" i="33"/>
  <c r="N32" i="33"/>
  <c r="P3" i="32"/>
  <c r="E54" i="34" l="1"/>
  <c r="C99" i="34"/>
  <c r="E39" i="34"/>
  <c r="E40" i="34" s="1"/>
  <c r="D75" i="33"/>
  <c r="C114" i="33"/>
  <c r="B38" i="33"/>
  <c r="C38" i="33" s="1"/>
  <c r="B118" i="34"/>
  <c r="F97" i="34"/>
  <c r="F99" i="34" s="1"/>
  <c r="F118" i="34" s="1"/>
  <c r="C116" i="34"/>
  <c r="C110" i="34"/>
  <c r="E51" i="33"/>
  <c r="C53" i="33"/>
  <c r="C107" i="33" s="1"/>
  <c r="C109" i="33" s="1"/>
  <c r="E52" i="33"/>
  <c r="M32" i="32"/>
  <c r="B39" i="33" l="1"/>
  <c r="C39" i="33"/>
  <c r="C96" i="33" s="1"/>
  <c r="D38" i="33"/>
  <c r="F114" i="33"/>
  <c r="F115" i="33" s="1"/>
  <c r="C115" i="33"/>
  <c r="E53" i="33"/>
  <c r="AA4" i="32"/>
  <c r="AA5" i="32"/>
  <c r="AA6" i="32"/>
  <c r="AA7" i="32"/>
  <c r="AA8" i="32"/>
  <c r="AA9" i="32"/>
  <c r="AA10" i="32"/>
  <c r="AA11" i="32"/>
  <c r="AA12" i="32"/>
  <c r="AA13" i="32"/>
  <c r="AA14" i="32"/>
  <c r="AA15" i="32"/>
  <c r="AA16" i="32"/>
  <c r="AA17" i="32"/>
  <c r="AA18" i="32"/>
  <c r="AA19" i="32"/>
  <c r="AA20" i="32"/>
  <c r="AA21" i="32"/>
  <c r="AA22" i="32"/>
  <c r="AA23" i="32"/>
  <c r="AA24" i="32"/>
  <c r="AA25" i="32"/>
  <c r="AA26" i="32"/>
  <c r="AA27" i="32"/>
  <c r="AA28" i="32"/>
  <c r="AA29" i="32"/>
  <c r="AA30" i="32"/>
  <c r="AA31" i="32"/>
  <c r="AD4" i="32"/>
  <c r="AD5" i="32"/>
  <c r="AD6" i="32"/>
  <c r="AE6" i="32" s="1"/>
  <c r="AD7" i="32"/>
  <c r="AE7" i="32" s="1"/>
  <c r="AD8" i="32"/>
  <c r="AD9" i="32"/>
  <c r="AD10" i="32"/>
  <c r="AD11" i="32"/>
  <c r="AE11" i="32" s="1"/>
  <c r="AD12" i="32"/>
  <c r="AE12" i="32" s="1"/>
  <c r="AD13" i="32"/>
  <c r="AD14" i="32"/>
  <c r="AD15" i="32"/>
  <c r="AD16" i="32"/>
  <c r="AD17" i="32"/>
  <c r="AE17" i="32" s="1"/>
  <c r="AD18" i="32"/>
  <c r="AE18" i="32" s="1"/>
  <c r="AD19" i="32"/>
  <c r="AE19" i="32" s="1"/>
  <c r="AD20" i="32"/>
  <c r="AD21" i="32"/>
  <c r="AD22" i="32"/>
  <c r="AD23" i="32"/>
  <c r="AE23" i="32" s="1"/>
  <c r="AD24" i="32"/>
  <c r="AD25" i="32"/>
  <c r="AE25" i="32" s="1"/>
  <c r="AD26" i="32"/>
  <c r="AE26" i="32" s="1"/>
  <c r="AD27" i="32"/>
  <c r="AD28" i="32"/>
  <c r="AD29" i="32"/>
  <c r="AE29" i="32" s="1"/>
  <c r="AD30" i="32"/>
  <c r="AE30" i="32" s="1"/>
  <c r="AD31" i="32"/>
  <c r="V3" i="32"/>
  <c r="C12" i="1"/>
  <c r="C18" i="1"/>
  <c r="AE13" i="32" l="1"/>
  <c r="AD36" i="32"/>
  <c r="D3" i="32" s="1"/>
  <c r="C20" i="1"/>
  <c r="E38" i="33"/>
  <c r="E39" i="33" s="1"/>
  <c r="C97" i="33"/>
  <c r="F97" i="33" s="1"/>
  <c r="AE21" i="32"/>
  <c r="AE16" i="32"/>
  <c r="AE10" i="32"/>
  <c r="AE22" i="32"/>
  <c r="AE15" i="32"/>
  <c r="AE9" i="32"/>
  <c r="AE5" i="32"/>
  <c r="AE27" i="32"/>
  <c r="AE20" i="32"/>
  <c r="AE14" i="32"/>
  <c r="AE8" i="32"/>
  <c r="AA32" i="32"/>
  <c r="AE31" i="32"/>
  <c r="AE24" i="32"/>
  <c r="AE4" i="32"/>
  <c r="F96" i="33"/>
  <c r="AE28" i="32"/>
  <c r="F98" i="33" l="1"/>
  <c r="C98" i="33"/>
  <c r="C117" i="33" s="1"/>
  <c r="D7" i="29"/>
  <c r="D8" i="29"/>
  <c r="D3" i="29" l="1"/>
  <c r="D4" i="29"/>
  <c r="D5" i="29"/>
  <c r="D6" i="29"/>
  <c r="D2" i="29"/>
  <c r="AB27" i="32" l="1"/>
  <c r="AB28" i="32"/>
  <c r="AB29" i="32"/>
  <c r="AB30" i="32"/>
  <c r="AB31" i="32"/>
  <c r="W3" i="32"/>
  <c r="V4" i="32"/>
  <c r="W4" i="32" s="1"/>
  <c r="V5" i="32"/>
  <c r="W5" i="32" s="1"/>
  <c r="V6" i="32"/>
  <c r="W6" i="32" s="1"/>
  <c r="V7" i="32"/>
  <c r="W7" i="32" s="1"/>
  <c r="V8" i="32"/>
  <c r="W8" i="32" s="1"/>
  <c r="V9" i="32"/>
  <c r="W9" i="32" s="1"/>
  <c r="V10" i="32"/>
  <c r="W10" i="32" s="1"/>
  <c r="V11" i="32"/>
  <c r="W11" i="32" s="1"/>
  <c r="V12" i="32"/>
  <c r="W12" i="32" s="1"/>
  <c r="V13" i="32"/>
  <c r="W13" i="32" s="1"/>
  <c r="V14" i="32"/>
  <c r="W14" i="32" s="1"/>
  <c r="V15" i="32"/>
  <c r="W15" i="32" s="1"/>
  <c r="V16" i="32"/>
  <c r="W16" i="32" s="1"/>
  <c r="V17" i="32"/>
  <c r="W17" i="32" s="1"/>
  <c r="V18" i="32"/>
  <c r="W18" i="32" s="1"/>
  <c r="V19" i="32"/>
  <c r="W19" i="32" s="1"/>
  <c r="V20" i="32"/>
  <c r="W20" i="32" s="1"/>
  <c r="V21" i="32"/>
  <c r="W21" i="32" s="1"/>
  <c r="V22" i="32"/>
  <c r="W22" i="32" s="1"/>
  <c r="V23" i="32"/>
  <c r="W23" i="32" s="1"/>
  <c r="V24" i="32"/>
  <c r="W24" i="32" s="1"/>
  <c r="V25" i="32"/>
  <c r="W25" i="32" s="1"/>
  <c r="V26" i="32"/>
  <c r="W26" i="32" s="1"/>
  <c r="V27" i="32"/>
  <c r="W27" i="32" s="1"/>
  <c r="V28" i="32"/>
  <c r="W28" i="32" s="1"/>
  <c r="V29" i="32"/>
  <c r="W29" i="32" s="1"/>
  <c r="V30" i="32"/>
  <c r="W30" i="32" s="1"/>
  <c r="V31" i="32"/>
  <c r="W31" i="32" s="1"/>
  <c r="T27" i="32"/>
  <c r="T28" i="32"/>
  <c r="AF28" i="32" s="1"/>
  <c r="T29" i="32"/>
  <c r="AF29" i="32" s="1"/>
  <c r="T30" i="32"/>
  <c r="T31" i="32"/>
  <c r="AF31" i="32" s="1"/>
  <c r="U27" i="32"/>
  <c r="U28" i="32"/>
  <c r="U29" i="32"/>
  <c r="U30" i="32"/>
  <c r="U31" i="32"/>
  <c r="U4" i="32"/>
  <c r="AG4" i="32" s="1"/>
  <c r="U5" i="32"/>
  <c r="U6" i="32"/>
  <c r="U7" i="32"/>
  <c r="U8" i="32"/>
  <c r="U9" i="32"/>
  <c r="U10" i="32"/>
  <c r="AG10" i="32" s="1"/>
  <c r="U11" i="32"/>
  <c r="U12" i="32"/>
  <c r="U13" i="32"/>
  <c r="U14" i="32"/>
  <c r="U15" i="32"/>
  <c r="U16" i="32"/>
  <c r="AG16" i="32" s="1"/>
  <c r="U17" i="32"/>
  <c r="U18" i="32"/>
  <c r="U19" i="32"/>
  <c r="U20" i="32"/>
  <c r="U21" i="32"/>
  <c r="U22" i="32"/>
  <c r="AG22" i="32" s="1"/>
  <c r="U23" i="32"/>
  <c r="U24" i="32"/>
  <c r="U25" i="32"/>
  <c r="U26" i="32"/>
  <c r="U3" i="32"/>
  <c r="T26" i="32"/>
  <c r="T25" i="32"/>
  <c r="AF25" i="32" s="1"/>
  <c r="T23" i="32"/>
  <c r="T19" i="32"/>
  <c r="AF19" i="32" s="1"/>
  <c r="T17" i="32"/>
  <c r="T16" i="32"/>
  <c r="T13" i="32"/>
  <c r="AF13" i="32" s="1"/>
  <c r="T11" i="32"/>
  <c r="AF11" i="32" s="1"/>
  <c r="T6" i="32"/>
  <c r="T4" i="32"/>
  <c r="T5" i="32"/>
  <c r="T7" i="32"/>
  <c r="AF7" i="32" s="1"/>
  <c r="T8" i="32"/>
  <c r="T9" i="32"/>
  <c r="T10" i="32"/>
  <c r="T12" i="32"/>
  <c r="T14" i="32"/>
  <c r="T15" i="32"/>
  <c r="T18" i="32"/>
  <c r="T20" i="32"/>
  <c r="T21" i="32"/>
  <c r="T22" i="32"/>
  <c r="T24" i="32"/>
  <c r="T3" i="32"/>
  <c r="S4" i="32"/>
  <c r="S5" i="32"/>
  <c r="S6" i="32"/>
  <c r="S7" i="32"/>
  <c r="S8" i="32"/>
  <c r="S9" i="32"/>
  <c r="S10" i="32"/>
  <c r="S11" i="32"/>
  <c r="S12" i="32"/>
  <c r="S13" i="32"/>
  <c r="S14" i="32"/>
  <c r="S15" i="32"/>
  <c r="S16" i="32"/>
  <c r="S17" i="32"/>
  <c r="S18" i="32"/>
  <c r="S19" i="32"/>
  <c r="S20" i="32"/>
  <c r="S21" i="32"/>
  <c r="S22" i="32"/>
  <c r="S23" i="32"/>
  <c r="S24" i="32"/>
  <c r="S25" i="32"/>
  <c r="S26" i="32"/>
  <c r="S27" i="32"/>
  <c r="S28" i="32"/>
  <c r="S29" i="32"/>
  <c r="S30" i="32"/>
  <c r="S31" i="32"/>
  <c r="S3" i="32"/>
  <c r="P4" i="32"/>
  <c r="P5" i="32"/>
  <c r="P6" i="32"/>
  <c r="P7" i="32"/>
  <c r="P8" i="32"/>
  <c r="P9" i="32"/>
  <c r="P10" i="32"/>
  <c r="P11" i="32"/>
  <c r="P12" i="32"/>
  <c r="P13" i="32"/>
  <c r="P14" i="32"/>
  <c r="P15" i="32"/>
  <c r="P16" i="32"/>
  <c r="P17" i="32"/>
  <c r="P18" i="32"/>
  <c r="P19" i="32"/>
  <c r="P20" i="32"/>
  <c r="P21" i="32"/>
  <c r="P22" i="32"/>
  <c r="P23" i="32"/>
  <c r="P24" i="32"/>
  <c r="P25" i="32"/>
  <c r="P26" i="32"/>
  <c r="P27" i="32"/>
  <c r="P28" i="32"/>
  <c r="P29" i="32"/>
  <c r="P30" i="32"/>
  <c r="P31" i="32"/>
  <c r="R4" i="32"/>
  <c r="R5" i="32"/>
  <c r="R6" i="32"/>
  <c r="R7" i="32"/>
  <c r="R8" i="32"/>
  <c r="R9" i="32"/>
  <c r="R10" i="32"/>
  <c r="R11" i="32"/>
  <c r="R12" i="32"/>
  <c r="R13" i="32"/>
  <c r="R14" i="32"/>
  <c r="R15" i="32"/>
  <c r="R16" i="32"/>
  <c r="R17" i="32"/>
  <c r="R18" i="32"/>
  <c r="R19" i="32"/>
  <c r="R20" i="32"/>
  <c r="R21" i="32"/>
  <c r="R22" i="32"/>
  <c r="R23" i="32"/>
  <c r="R24" i="32"/>
  <c r="R25" i="32"/>
  <c r="R26" i="32"/>
  <c r="R3" i="32"/>
  <c r="Q4" i="32"/>
  <c r="Q5" i="32"/>
  <c r="Q6" i="32"/>
  <c r="Q7" i="32"/>
  <c r="Q8" i="32"/>
  <c r="Q9" i="32"/>
  <c r="Q10" i="32"/>
  <c r="Q11" i="32"/>
  <c r="Q12" i="32"/>
  <c r="Q13" i="32"/>
  <c r="Q14" i="32"/>
  <c r="Q15" i="32"/>
  <c r="Q16" i="32"/>
  <c r="Q17" i="32"/>
  <c r="Q18" i="32"/>
  <c r="Q19" i="32"/>
  <c r="Q20" i="32"/>
  <c r="Q21" i="32"/>
  <c r="Q22" i="32"/>
  <c r="Q23" i="32"/>
  <c r="Q24" i="32"/>
  <c r="Q25" i="32"/>
  <c r="Q26" i="32"/>
  <c r="Q3" i="32"/>
  <c r="X29" i="32" l="1"/>
  <c r="Q32" i="32"/>
  <c r="Y4" i="32"/>
  <c r="X31" i="32"/>
  <c r="X13" i="32"/>
  <c r="X7" i="32"/>
  <c r="R32" i="32"/>
  <c r="AB3" i="32"/>
  <c r="AB15" i="32"/>
  <c r="AJ15" i="32"/>
  <c r="X21" i="32"/>
  <c r="AF21" i="32"/>
  <c r="X6" i="32"/>
  <c r="AF6" i="32"/>
  <c r="Y24" i="32"/>
  <c r="AG24" i="32"/>
  <c r="Y6" i="32"/>
  <c r="AG6" i="32"/>
  <c r="AB20" i="32"/>
  <c r="AJ20" i="32"/>
  <c r="X9" i="32"/>
  <c r="AF9" i="32"/>
  <c r="Y17" i="32"/>
  <c r="AG17" i="32"/>
  <c r="X8" i="32"/>
  <c r="AF8" i="32"/>
  <c r="AB24" i="32"/>
  <c r="AJ24" i="32"/>
  <c r="AB18" i="32"/>
  <c r="AJ18" i="32"/>
  <c r="AB12" i="32"/>
  <c r="AJ12" i="32"/>
  <c r="AB6" i="32"/>
  <c r="AJ6" i="32"/>
  <c r="X3" i="32"/>
  <c r="X15" i="32"/>
  <c r="AF15" i="32"/>
  <c r="X16" i="32"/>
  <c r="AF16" i="32"/>
  <c r="Y3" i="32"/>
  <c r="Y21" i="32"/>
  <c r="AG21" i="32"/>
  <c r="Y15" i="32"/>
  <c r="AG15" i="32"/>
  <c r="Y9" i="32"/>
  <c r="AG9" i="32"/>
  <c r="Y31" i="32"/>
  <c r="AC31" i="32" s="1"/>
  <c r="AG31" i="32"/>
  <c r="AK31" i="32" s="1"/>
  <c r="X30" i="32"/>
  <c r="AF30" i="32"/>
  <c r="X28" i="32"/>
  <c r="Y22" i="32"/>
  <c r="Y28" i="32"/>
  <c r="AG28" i="32"/>
  <c r="AK28" i="32" s="1"/>
  <c r="AB14" i="32"/>
  <c r="AJ14" i="32"/>
  <c r="X20" i="32"/>
  <c r="AF20" i="32"/>
  <c r="Y11" i="32"/>
  <c r="AG11" i="32"/>
  <c r="Y27" i="32"/>
  <c r="AG27" i="32"/>
  <c r="X11" i="32"/>
  <c r="AB25" i="32"/>
  <c r="AJ25" i="32"/>
  <c r="AB13" i="32"/>
  <c r="AJ13" i="32"/>
  <c r="X26" i="32"/>
  <c r="AF26" i="32"/>
  <c r="AB11" i="32"/>
  <c r="AJ11" i="32"/>
  <c r="X24" i="32"/>
  <c r="AF24" i="32"/>
  <c r="X14" i="32"/>
  <c r="AF14" i="32"/>
  <c r="X5" i="32"/>
  <c r="AF5" i="32"/>
  <c r="X17" i="32"/>
  <c r="AF17" i="32"/>
  <c r="Y26" i="32"/>
  <c r="AG26" i="32"/>
  <c r="Y20" i="32"/>
  <c r="AG20" i="32"/>
  <c r="Y14" i="32"/>
  <c r="AG14" i="32"/>
  <c r="Y8" i="32"/>
  <c r="AG8" i="32"/>
  <c r="Y30" i="32"/>
  <c r="AG30" i="32"/>
  <c r="X25" i="32"/>
  <c r="AC25" i="32" s="1"/>
  <c r="Y16" i="32"/>
  <c r="AB21" i="32"/>
  <c r="AJ21" i="32"/>
  <c r="AB9" i="32"/>
  <c r="AJ9" i="32"/>
  <c r="X10" i="32"/>
  <c r="AF10" i="32"/>
  <c r="X23" i="32"/>
  <c r="AF23" i="32"/>
  <c r="Y18" i="32"/>
  <c r="AG18" i="32"/>
  <c r="Y12" i="32"/>
  <c r="AG12" i="32"/>
  <c r="X27" i="32"/>
  <c r="AF27" i="32"/>
  <c r="AK27" i="32" s="1"/>
  <c r="AB26" i="32"/>
  <c r="AC26" i="32" s="1"/>
  <c r="AJ26" i="32"/>
  <c r="AB8" i="32"/>
  <c r="AJ8" i="32"/>
  <c r="Y23" i="32"/>
  <c r="AG23" i="32"/>
  <c r="Y5" i="32"/>
  <c r="AG5" i="32"/>
  <c r="AB19" i="32"/>
  <c r="AJ19" i="32"/>
  <c r="AB7" i="32"/>
  <c r="AJ7" i="32"/>
  <c r="X18" i="32"/>
  <c r="AF18" i="32"/>
  <c r="AB23" i="32"/>
  <c r="AC23" i="32" s="1"/>
  <c r="AJ23" i="32"/>
  <c r="AB17" i="32"/>
  <c r="AJ17" i="32"/>
  <c r="AB5" i="32"/>
  <c r="AJ5" i="32"/>
  <c r="AB22" i="32"/>
  <c r="AJ22" i="32"/>
  <c r="AB16" i="32"/>
  <c r="AJ16" i="32"/>
  <c r="AB10" i="32"/>
  <c r="AJ10" i="32"/>
  <c r="AB4" i="32"/>
  <c r="AJ4" i="32"/>
  <c r="X22" i="32"/>
  <c r="AF22" i="32"/>
  <c r="X12" i="32"/>
  <c r="AF12" i="32"/>
  <c r="X4" i="32"/>
  <c r="AF4" i="32"/>
  <c r="AK4" i="32" s="1"/>
  <c r="Y25" i="32"/>
  <c r="AG25" i="32"/>
  <c r="Y19" i="32"/>
  <c r="AG19" i="32"/>
  <c r="AK19" i="32" s="1"/>
  <c r="Y13" i="32"/>
  <c r="AG13" i="32"/>
  <c r="Y7" i="32"/>
  <c r="AG7" i="32"/>
  <c r="Y29" i="32"/>
  <c r="AG29" i="32"/>
  <c r="AK29" i="32" s="1"/>
  <c r="X19" i="32"/>
  <c r="Y10" i="32"/>
  <c r="P32" i="32"/>
  <c r="S32" i="32"/>
  <c r="V32" i="32"/>
  <c r="W32" i="32" s="1"/>
  <c r="AC4" i="32" l="1"/>
  <c r="AC19" i="32"/>
  <c r="AC7" i="32"/>
  <c r="AC17" i="32"/>
  <c r="AC27" i="32"/>
  <c r="AC15" i="32"/>
  <c r="AC29" i="32"/>
  <c r="AK11" i="32"/>
  <c r="AC21" i="32"/>
  <c r="AC12" i="32"/>
  <c r="AC20" i="32"/>
  <c r="AC5" i="32"/>
  <c r="AC6" i="32"/>
  <c r="AK22" i="32"/>
  <c r="AK14" i="32"/>
  <c r="AC28" i="32"/>
  <c r="AK13" i="32"/>
  <c r="AC16" i="32"/>
  <c r="AC8" i="32"/>
  <c r="AC18" i="32"/>
  <c r="AK7" i="32"/>
  <c r="AC22" i="32"/>
  <c r="AC13" i="32"/>
  <c r="AC14" i="32"/>
  <c r="AC30" i="32"/>
  <c r="AC9" i="32"/>
  <c r="AC24" i="32"/>
  <c r="X32" i="32"/>
  <c r="AK17" i="32"/>
  <c r="AC10" i="32"/>
  <c r="AK9" i="32"/>
  <c r="AK15" i="32"/>
  <c r="AK18" i="32"/>
  <c r="AK5" i="32"/>
  <c r="AK25" i="32"/>
  <c r="AC11" i="32"/>
  <c r="AK26" i="32"/>
  <c r="AK10" i="32"/>
  <c r="AK20" i="32"/>
  <c r="AK8" i="32"/>
  <c r="AK6" i="32"/>
  <c r="AK23" i="32"/>
  <c r="AK12" i="32"/>
  <c r="AK24" i="32"/>
  <c r="Y32" i="32"/>
  <c r="AK30" i="32"/>
  <c r="AK16" i="32"/>
  <c r="AK21" i="32"/>
  <c r="AB32" i="32"/>
  <c r="AC3" i="32"/>
  <c r="E8" i="1"/>
  <c r="E9" i="1"/>
  <c r="E10" i="1"/>
  <c r="E11" i="1"/>
  <c r="E14" i="1"/>
  <c r="E15" i="1"/>
  <c r="E16" i="1"/>
  <c r="E17" i="1"/>
  <c r="E18" i="1"/>
  <c r="B7" i="25" s="1"/>
  <c r="E19" i="1"/>
  <c r="E20" i="1"/>
  <c r="E24" i="1"/>
  <c r="E25" i="1"/>
  <c r="E26" i="1"/>
  <c r="E27" i="1"/>
  <c r="E28" i="1"/>
  <c r="E29" i="1"/>
  <c r="E30" i="1"/>
  <c r="E31" i="1"/>
  <c r="E32" i="1"/>
  <c r="E33" i="1"/>
  <c r="E34" i="1"/>
  <c r="E35" i="1"/>
  <c r="E36" i="1"/>
  <c r="E37" i="1"/>
  <c r="E38" i="1"/>
  <c r="E39" i="1"/>
  <c r="E41" i="1"/>
  <c r="E42" i="1"/>
  <c r="E44" i="1"/>
  <c r="B20" i="1"/>
  <c r="B40" i="1"/>
  <c r="B46" i="1" s="1"/>
  <c r="B39" i="1"/>
  <c r="B18" i="1"/>
  <c r="B12" i="1"/>
  <c r="AC32" i="32" l="1"/>
  <c r="E40" i="1"/>
  <c r="BO14" i="30" l="1"/>
  <c r="BO10" i="30"/>
  <c r="BO12" i="30"/>
  <c r="BO8" i="30"/>
  <c r="B5" i="25"/>
  <c r="E7" i="1"/>
  <c r="B48" i="1" l="1"/>
  <c r="E12" i="1" l="1"/>
  <c r="B11" i="25" s="1"/>
  <c r="E47" i="33"/>
  <c r="C47" i="33"/>
  <c r="C102" i="33"/>
  <c r="F102" i="33"/>
  <c r="F117" i="33" s="1"/>
  <c r="B47" i="33"/>
  <c r="B102" i="33"/>
  <c r="B117" i="33"/>
  <c r="BO6" i="30"/>
  <c r="BQ15" i="30" s="1"/>
  <c r="BQ16" i="30" s="1"/>
  <c r="BQ17" i="30" s="1"/>
  <c r="AF3" i="32" l="1"/>
  <c r="AF32" i="32" l="1"/>
  <c r="AG3" i="32"/>
  <c r="AG32" i="32" s="1"/>
  <c r="AJ3" i="32"/>
  <c r="AJ32" i="32" s="1"/>
  <c r="AD3" i="32"/>
  <c r="AI3" i="32"/>
  <c r="AI32" i="32" s="1"/>
  <c r="AH3" i="32"/>
  <c r="AH32" i="32" s="1"/>
  <c r="AK3" i="32" l="1"/>
  <c r="AK32" i="32" s="1"/>
  <c r="AE3" i="32"/>
  <c r="AE32" i="32" s="1"/>
  <c r="C43" i="1" s="1"/>
  <c r="AD32" i="32"/>
  <c r="I38" i="32" s="1"/>
  <c r="C46" i="1" l="1"/>
  <c r="C48" i="1" s="1"/>
  <c r="E43" i="1"/>
  <c r="E46" i="1" s="1"/>
  <c r="E48" i="1" l="1"/>
  <c r="B3" i="25"/>
  <c r="B6" i="25" s="1"/>
  <c r="B10" i="25" s="1"/>
  <c r="B12" i="25" s="1"/>
  <c r="B14" i="25" s="1"/>
  <c r="D115" i="40" l="1"/>
  <c r="F115" i="40" s="1"/>
  <c r="D97" i="40"/>
  <c r="F97" i="40" s="1"/>
  <c r="D114" i="40"/>
  <c r="F114" i="40" s="1"/>
  <c r="D98" i="40"/>
  <c r="F98" i="40" s="1"/>
  <c r="D109" i="40"/>
  <c r="F109" i="40" s="1"/>
  <c r="D108" i="40"/>
  <c r="F108" i="40" s="1"/>
  <c r="F110" i="40" s="1"/>
  <c r="D103" i="40"/>
  <c r="F103" i="40" s="1"/>
  <c r="F99" i="40" l="1"/>
  <c r="F116" i="40"/>
  <c r="F118" i="40" s="1"/>
</calcChain>
</file>

<file path=xl/sharedStrings.xml><?xml version="1.0" encoding="utf-8"?>
<sst xmlns="http://schemas.openxmlformats.org/spreadsheetml/2006/main" count="1652" uniqueCount="464">
  <si>
    <t>Test Year</t>
  </si>
  <si>
    <t>Adjustment</t>
  </si>
  <si>
    <t>Ref.</t>
  </si>
  <si>
    <t>Pro Forma</t>
  </si>
  <si>
    <t>Operating Revenues</t>
  </si>
  <si>
    <t>Sales of Water</t>
  </si>
  <si>
    <t>Unmetered Water Sales</t>
  </si>
  <si>
    <t>Bulk Loading Stations</t>
  </si>
  <si>
    <t>Fire Protection Revenue</t>
  </si>
  <si>
    <t>Sales for Resale</t>
  </si>
  <si>
    <t>Total Water Sales</t>
  </si>
  <si>
    <t>Other Water Revenues</t>
  </si>
  <si>
    <t>Forfeited Discounts</t>
  </si>
  <si>
    <t>Miscellaneous Service Revenues</t>
  </si>
  <si>
    <t>Rents from Water Property</t>
  </si>
  <si>
    <t>Total Other Water Revenues</t>
  </si>
  <si>
    <t>Total Operating Revenues</t>
  </si>
  <si>
    <t>Operating Expenses</t>
  </si>
  <si>
    <t>Operation and Maintenance Expenses</t>
  </si>
  <si>
    <t>Salaries and Wages - Employees</t>
  </si>
  <si>
    <t>Salaries and Wages - Officers</t>
  </si>
  <si>
    <t>Employee Pensions and Benefits</t>
  </si>
  <si>
    <t>Purchased Water</t>
  </si>
  <si>
    <t>Purchased Power</t>
  </si>
  <si>
    <t>Fuel for Power Production</t>
  </si>
  <si>
    <t>Chemicals</t>
  </si>
  <si>
    <t>Materials and Supplies</t>
  </si>
  <si>
    <t>Contractual Services</t>
  </si>
  <si>
    <t>Water Testing</t>
  </si>
  <si>
    <t>Rents</t>
  </si>
  <si>
    <t>Transportation Expenses</t>
  </si>
  <si>
    <t>Insurance</t>
  </si>
  <si>
    <t>Regulatory Commission Expenses</t>
  </si>
  <si>
    <t>Bad Debt Expense</t>
  </si>
  <si>
    <t>Miscellaneous Expenses</t>
  </si>
  <si>
    <t>Total Operation and Maintenance Expenses</t>
  </si>
  <si>
    <t>Depreciation Expense</t>
  </si>
  <si>
    <t>Amortization Expense</t>
  </si>
  <si>
    <t>Taxes Other than Income</t>
  </si>
  <si>
    <t>Income Tax Expense</t>
  </si>
  <si>
    <t>Total Operating Expenses</t>
  </si>
  <si>
    <t>Utility Operating Income</t>
  </si>
  <si>
    <t>SCHEDULE OF ADJUSTED OPERATIONS - WATER UTILITY</t>
  </si>
  <si>
    <t>A</t>
  </si>
  <si>
    <t>Metered Water Sales</t>
  </si>
  <si>
    <t>B</t>
  </si>
  <si>
    <t>Pro forma Operating Expenses</t>
  </si>
  <si>
    <t>Plus:  Average Annual Debt Principal and Interest Payment</t>
  </si>
  <si>
    <t>Debt Coverage Requirement</t>
  </si>
  <si>
    <t>Total Revenue Requirement</t>
  </si>
  <si>
    <t>Non-Operating Revenue</t>
  </si>
  <si>
    <t>Interest Income</t>
  </si>
  <si>
    <t>Required Revenue Increase</t>
  </si>
  <si>
    <t>H</t>
  </si>
  <si>
    <t>I</t>
  </si>
  <si>
    <t>G</t>
  </si>
  <si>
    <t>C</t>
  </si>
  <si>
    <t>D</t>
  </si>
  <si>
    <t>E</t>
  </si>
  <si>
    <t>F</t>
  </si>
  <si>
    <t>K</t>
  </si>
  <si>
    <t>TYE 12/31/2020</t>
  </si>
  <si>
    <t>REVENUE REQUIREMENT CALCULATION - DEBT COVERAGE METHOD</t>
  </si>
  <si>
    <t>USDA Debt</t>
  </si>
  <si>
    <t>KRWA Finance Corporation</t>
  </si>
  <si>
    <t>KIA Loan</t>
  </si>
  <si>
    <t>Total</t>
  </si>
  <si>
    <t>Series 2020</t>
  </si>
  <si>
    <t xml:space="preserve">Cash </t>
  </si>
  <si>
    <t>Principal</t>
  </si>
  <si>
    <t>Interest</t>
  </si>
  <si>
    <t>Payments</t>
  </si>
  <si>
    <t>5-year Total:</t>
  </si>
  <si>
    <t>Annual Average:</t>
  </si>
  <si>
    <t>Coverage:</t>
  </si>
  <si>
    <t>Reference</t>
  </si>
  <si>
    <t>Remarks</t>
  </si>
  <si>
    <t>J</t>
  </si>
  <si>
    <t>Less: Other Operating Revenue</t>
  </si>
  <si>
    <t>Employee</t>
  </si>
  <si>
    <t>Reg Hours</t>
  </si>
  <si>
    <t>OT Hours</t>
  </si>
  <si>
    <t>2020 Rate</t>
  </si>
  <si>
    <t>2021 Rate</t>
  </si>
  <si>
    <t>2020 Total</t>
  </si>
  <si>
    <t>Adjusted
Total</t>
  </si>
  <si>
    <t>Type</t>
  </si>
  <si>
    <t>FT</t>
  </si>
  <si>
    <t>PT</t>
  </si>
  <si>
    <t>S</t>
  </si>
  <si>
    <t>Division</t>
  </si>
  <si>
    <t>W</t>
  </si>
  <si>
    <t>Manager/Superintendent</t>
  </si>
  <si>
    <t>Office Manager</t>
  </si>
  <si>
    <t>Employment
Start</t>
  </si>
  <si>
    <t>Wastewater Treatment &amp; Collections Supervisor</t>
  </si>
  <si>
    <t>Administrative Assistant</t>
  </si>
  <si>
    <t>2019 Rate</t>
  </si>
  <si>
    <t>Job Title</t>
  </si>
  <si>
    <t>Position</t>
  </si>
  <si>
    <t>Dental</t>
  </si>
  <si>
    <t>Vision</t>
  </si>
  <si>
    <t>Life</t>
  </si>
  <si>
    <t>W/S</t>
  </si>
  <si>
    <t>Superintendent</t>
  </si>
  <si>
    <t>Health Plan</t>
  </si>
  <si>
    <t>FAM</t>
  </si>
  <si>
    <t>Office Assistant</t>
  </si>
  <si>
    <t>SINGLE</t>
  </si>
  <si>
    <t>Distribution</t>
  </si>
  <si>
    <t>Customer Service</t>
  </si>
  <si>
    <t>NONE</t>
  </si>
  <si>
    <t>WTP Operator/Supervisor</t>
  </si>
  <si>
    <t>WWTP Operator/Collections</t>
  </si>
  <si>
    <t>WWTP Operator</t>
  </si>
  <si>
    <t>WTP Operator</t>
  </si>
  <si>
    <t>WITH CHILDREN</t>
  </si>
  <si>
    <t>Line Forman</t>
  </si>
  <si>
    <t>WWTP Collections</t>
  </si>
  <si>
    <t>Water Treatment Operator</t>
  </si>
  <si>
    <t>WWTP Supervisor</t>
  </si>
  <si>
    <t>FAM-SP</t>
  </si>
  <si>
    <t>Distribution Lineman</t>
  </si>
  <si>
    <t>Distribution Supervisor/Machine Operator</t>
  </si>
  <si>
    <t>Meter Reader/Distribution Lineman</t>
  </si>
  <si>
    <t>Office Customer Service</t>
  </si>
  <si>
    <t>Water Treatment Plant Operator</t>
  </si>
  <si>
    <t>Distribution Lineman/Machine Operator</t>
  </si>
  <si>
    <t>Water Treatment Plant Operator/Supervisor</t>
  </si>
  <si>
    <t>Distribution Lineman/Mechanic</t>
  </si>
  <si>
    <t xml:space="preserve">Distribution Lineman </t>
  </si>
  <si>
    <t>Wastewater Treatment Plant Operator</t>
  </si>
  <si>
    <t xml:space="preserve">Wastewater Treatment &amp; Collections </t>
  </si>
  <si>
    <t>Wastewater Collections</t>
  </si>
  <si>
    <t>Health (Monthly)</t>
  </si>
  <si>
    <t>Actual 2020 Wage/Salary</t>
  </si>
  <si>
    <t>Adjusted Wage/Salary</t>
  </si>
  <si>
    <t>Status</t>
  </si>
  <si>
    <t>Retirement Contribution</t>
  </si>
  <si>
    <t>Allocation
To Water (%)
(District Method)</t>
  </si>
  <si>
    <t>Adjusted</t>
  </si>
  <si>
    <t>Adjusted
Laid Off
Employees</t>
  </si>
  <si>
    <t>FICA Adjusted</t>
  </si>
  <si>
    <t>Total Insurance
Benefits
Adjusted Period</t>
  </si>
  <si>
    <t>PSC Allowed
Health Insurance</t>
  </si>
  <si>
    <t>PSC Allowed Dental Insurance</t>
  </si>
  <si>
    <t>Number</t>
  </si>
  <si>
    <t>Rate</t>
  </si>
  <si>
    <t>Reconnection Fee (2020)</t>
  </si>
  <si>
    <t>Reconnection Fee (2019)</t>
  </si>
  <si>
    <t>Returned Check Charge</t>
  </si>
  <si>
    <t>Meter Reread Charge</t>
  </si>
  <si>
    <t>Meter Retest Charge</t>
  </si>
  <si>
    <t>Water Connection Charges</t>
  </si>
  <si>
    <t>Adjusted Wage/Salary
PSC Allocation Rules</t>
  </si>
  <si>
    <t>FICA
PSC Allocation Rules</t>
  </si>
  <si>
    <t>Commissioners salaries adjusted to reflect that one commissioner failed to complete required 6 hours of training and received reduced pay of $3,600.  Adjusted total further reduced to reflect allocation between water and sewer operations based upon the number of customers each division served. ($27,600 x .1545 = $4,264.20)</t>
  </si>
  <si>
    <t xml:space="preserve">Month </t>
  </si>
  <si>
    <t>Water Sales</t>
  </si>
  <si>
    <t>January</t>
  </si>
  <si>
    <t>February</t>
  </si>
  <si>
    <t>March</t>
  </si>
  <si>
    <t>April</t>
  </si>
  <si>
    <t>May</t>
  </si>
  <si>
    <t>June</t>
  </si>
  <si>
    <t>July</t>
  </si>
  <si>
    <t>August</t>
  </si>
  <si>
    <t>September</t>
  </si>
  <si>
    <t>October</t>
  </si>
  <si>
    <t>November</t>
  </si>
  <si>
    <t>December</t>
  </si>
  <si>
    <t>Bills</t>
  </si>
  <si>
    <t>First 2,000 gallons</t>
  </si>
  <si>
    <t>Over 2,000 gallons</t>
  </si>
  <si>
    <t>US McCreary Prison</t>
  </si>
  <si>
    <t>Cumberland Falls</t>
  </si>
  <si>
    <t>Whitley County</t>
  </si>
  <si>
    <t>McCreary Housing</t>
  </si>
  <si>
    <t>Fibrotex</t>
  </si>
  <si>
    <t>Pine Knot Job Corps</t>
  </si>
  <si>
    <t>Number of Bills</t>
  </si>
  <si>
    <t>Gallons Sold</t>
  </si>
  <si>
    <t>Gallons</t>
  </si>
  <si>
    <t>Over 2,000</t>
  </si>
  <si>
    <t>Rates</t>
  </si>
  <si>
    <t>General Rates</t>
  </si>
  <si>
    <t>Flat Rate</t>
  </si>
  <si>
    <t>Cumberland Falls Park Rate</t>
  </si>
  <si>
    <t>First 600,000 gallons</t>
  </si>
  <si>
    <t>First 600,000</t>
  </si>
  <si>
    <t>Over 600,000</t>
  </si>
  <si>
    <t>Exceeded Min.</t>
  </si>
  <si>
    <t>Below Min.</t>
  </si>
  <si>
    <t>Usage</t>
  </si>
  <si>
    <t xml:space="preserve">US Penitentary McCreary Prison </t>
  </si>
  <si>
    <t>First 1,950,000 gallons</t>
  </si>
  <si>
    <t>Over 1,9500,000 gallons</t>
  </si>
  <si>
    <t>Month</t>
  </si>
  <si>
    <t>First 1,950,000</t>
  </si>
  <si>
    <t>Over 1,950,000</t>
  </si>
  <si>
    <t>Revenue</t>
  </si>
  <si>
    <t>Minimum Bill</t>
  </si>
  <si>
    <t>Flat Rates</t>
  </si>
  <si>
    <t>All Volumes</t>
  </si>
  <si>
    <t>Per Gallon</t>
  </si>
  <si>
    <t>Cumberland Falls State Park</t>
  </si>
  <si>
    <t>Over 600,000 gallons</t>
  </si>
  <si>
    <t>Over 1,950,000 gallons</t>
  </si>
  <si>
    <t>Whitley County Wholesale Rate</t>
  </si>
  <si>
    <t>McCreary Housing (2)</t>
  </si>
  <si>
    <t>Fibrotex (2)</t>
  </si>
  <si>
    <t>Total Hours
2020</t>
  </si>
  <si>
    <t>Total Hours
Adjusted</t>
  </si>
  <si>
    <t>Adjusted Wage/Salary Allocated to Water
WD Allocation</t>
  </si>
  <si>
    <t>Allocation
To Water (%)
PSC Method</t>
  </si>
  <si>
    <t>FICA on Adjusted Wage/Salary Allocated to Water
WD Allocation</t>
  </si>
  <si>
    <t>Adjusted PSC Allowed Health Insurance Allocated to Water
WD Allocation</t>
  </si>
  <si>
    <t>Adjusted PSC Allowed Dental Insurance Allocated to Water
WD Allocation</t>
  </si>
  <si>
    <t>Vision Insurance Allocated to Water
WD Allocation</t>
  </si>
  <si>
    <t>Adjusted Retirement Contribution Allocated to Water
WD Allocation</t>
  </si>
  <si>
    <t>Life Insurance Allocated to Water
WD Allocation</t>
  </si>
  <si>
    <t>Adjusted Fringe Benefits Allocated to Water
WD Allocation</t>
  </si>
  <si>
    <t>Adjusted PSC Allowed Health Insurance Allocated to Water
PSC Allocation Rules</t>
  </si>
  <si>
    <t>Adjusted PSC Allowed Dental Insurance Allocated to Water
PSC Allocation Rules</t>
  </si>
  <si>
    <t>Vision Insurance Allocated to Water
PSC Allocation Rules</t>
  </si>
  <si>
    <t>Life Insurance Allocated to Water
PSC Allocation Rules</t>
  </si>
  <si>
    <t>Volume</t>
  </si>
  <si>
    <t>Bill Adjustment</t>
  </si>
  <si>
    <t>Series 2015</t>
  </si>
  <si>
    <t>Series 2020(W)</t>
  </si>
  <si>
    <t>Series 2020(S)</t>
  </si>
  <si>
    <t>Series 2012D</t>
  </si>
  <si>
    <t>Series 2012D (W)</t>
  </si>
  <si>
    <t>Series 2012D (S)</t>
  </si>
  <si>
    <t>Series 2013B</t>
  </si>
  <si>
    <t>Series 2020E-Bldg</t>
  </si>
  <si>
    <t>Series 2020E-Bldg (W)</t>
  </si>
  <si>
    <t>Series 2020E-Refund</t>
  </si>
  <si>
    <t>Series  2020E-Refund (W)</t>
  </si>
  <si>
    <t>BB&amp;T (H2O Meters)</t>
  </si>
  <si>
    <t>Total USDA (Water)</t>
  </si>
  <si>
    <t>Total KRWFC (Water)</t>
  </si>
  <si>
    <t>Revenue Required from Rates</t>
  </si>
  <si>
    <t>Less:  Revenue from Sales at Present Rates</t>
  </si>
  <si>
    <t>During the test period, the PSC suspended disconnections for nonpayment.  Test period revenues have been increased to reflect revenue from disconnection fees based upon the level of disconnections experienced in 2019. (677 - 343) X $50 = $16,700.
During test period, Utility recorded payments of $34,452.75 from Fibrotec to cover testing and other costs related to the Utility’s Industrial User Permit Program for its sewer operations.  These payments are more properly recorded as revenue to the Utility’s sewer operations.
During the test period, Utility recorded $4,257.43 of revenue from Bad Debt Collection.  A portion of this amount allocated to sewer operations based upon number of customers in each division. ($2,257.43 x .1545 = $657.77
Total adjustment = $16,700 + $(34,452.75) + $(657.77) = $(18,410.52)</t>
  </si>
  <si>
    <t>No.</t>
  </si>
  <si>
    <t>35766</t>
  </si>
  <si>
    <t>Stoll Keenon Ogden PLLC</t>
  </si>
  <si>
    <t>Invoice #920398 General Regulatory Matters</t>
  </si>
  <si>
    <t>35947</t>
  </si>
  <si>
    <t>Tim Lavender</t>
  </si>
  <si>
    <t>Legal Services for Dec 2019 &amp; Jan 2020</t>
  </si>
  <si>
    <t>36094</t>
  </si>
  <si>
    <t>Invoice #924488 General Regulatory Matters</t>
  </si>
  <si>
    <t>36448</t>
  </si>
  <si>
    <t>Invoice #928464 General Regulatory Matters</t>
  </si>
  <si>
    <t>36636</t>
  </si>
  <si>
    <t>Invoice #931551 Legal Fees</t>
  </si>
  <si>
    <t>36804</t>
  </si>
  <si>
    <t>Invoice #933684 PSC Legal Professional Services</t>
  </si>
  <si>
    <t>36937</t>
  </si>
  <si>
    <t>Invoice 934818 General Retainer</t>
  </si>
  <si>
    <t>37182</t>
  </si>
  <si>
    <t>Invoice #937388 General Retainer</t>
  </si>
  <si>
    <t>37433</t>
  </si>
  <si>
    <t>Invoice #940275 General Retainer</t>
  </si>
  <si>
    <t>37606</t>
  </si>
  <si>
    <t>Invoice #941224 General Retainer</t>
  </si>
  <si>
    <t>37879</t>
  </si>
  <si>
    <t>Invoice #943206 Sanitary Sewer Collection System Extension - Phase 1 Project</t>
  </si>
  <si>
    <t>37880</t>
  </si>
  <si>
    <t>Invoice #943199 General Retainer</t>
  </si>
  <si>
    <t>37881</t>
  </si>
  <si>
    <t>Invoice #943205 Preliminary Study to Serve Cumberland Falls SRP</t>
  </si>
  <si>
    <t>Ledger Line</t>
  </si>
  <si>
    <t>Invoice #</t>
  </si>
  <si>
    <t>Vendor</t>
  </si>
  <si>
    <t xml:space="preserve">Memo </t>
  </si>
  <si>
    <t>Amount</t>
  </si>
  <si>
    <t>Nature</t>
  </si>
  <si>
    <t>633 - Contractual Services - Legal</t>
  </si>
  <si>
    <t>Amt Allocated
to Sewer</t>
  </si>
  <si>
    <t>General Legal - Allocate Portion to Sewer</t>
  </si>
  <si>
    <t>36217</t>
  </si>
  <si>
    <t>Invoice #926311 General Regulatory Matters</t>
  </si>
  <si>
    <t xml:space="preserve">Move from 636 - Contractual Services Other </t>
  </si>
  <si>
    <t>Sewer Only</t>
  </si>
  <si>
    <t>Sewer Construction - Sewer Only</t>
  </si>
  <si>
    <t>Misclassified to Water; Construction Work In Progress</t>
  </si>
  <si>
    <t>Subtotal</t>
  </si>
  <si>
    <t>636 - Contractual Services - Other
(Main Office Bldg)</t>
  </si>
  <si>
    <t>35727</t>
  </si>
  <si>
    <t>HELTACO LLC Orkin Pest Control</t>
  </si>
  <si>
    <t>Invoice #74689 Pest Prevention at Office</t>
  </si>
  <si>
    <t>Main Office Expense - Allocate Portion to Sewer</t>
  </si>
  <si>
    <t>35901</t>
  </si>
  <si>
    <t>Invoice #75329 Pest Prevention at Office</t>
  </si>
  <si>
    <t>36087</t>
  </si>
  <si>
    <t>Invoice #75974 Pest Prevention at Office</t>
  </si>
  <si>
    <t>36212</t>
  </si>
  <si>
    <t>Invoice #76607 Pest Prevention at Office</t>
  </si>
  <si>
    <t>36449</t>
  </si>
  <si>
    <t>Invoice #77508 Pest Prevention at Office</t>
  </si>
  <si>
    <t>36561</t>
  </si>
  <si>
    <t>Invoice #78176 Pest Prevention at Office</t>
  </si>
  <si>
    <t>36757</t>
  </si>
  <si>
    <t>Invoice #79349 Pest Pervention at Office</t>
  </si>
  <si>
    <t>36932</t>
  </si>
  <si>
    <t>Invoice #80047 Pest Prevention at Office</t>
  </si>
  <si>
    <t>37176</t>
  </si>
  <si>
    <t>Invoice #80703 Pest Prevention at Office</t>
  </si>
  <si>
    <t>37381</t>
  </si>
  <si>
    <t>Invoice #81938 Pest Prevention at Office</t>
  </si>
  <si>
    <t>37655</t>
  </si>
  <si>
    <t>Invoice #82756 Perst Prevention at Office</t>
  </si>
  <si>
    <t>37866</t>
  </si>
  <si>
    <t>Invoice #83395 Pest Prevention at Office</t>
  </si>
  <si>
    <t>37072</t>
  </si>
  <si>
    <t>Michael Boyatt</t>
  </si>
  <si>
    <t>Concrete Work Prefromed at Office</t>
  </si>
  <si>
    <t>636 - Contractual Services - Other
(Debt Collection Services)</t>
  </si>
  <si>
    <t>35684</t>
  </si>
  <si>
    <t>Hillcrest Credit Agency</t>
  </si>
  <si>
    <t>Collection Fees for Delinquent Accounts</t>
  </si>
  <si>
    <t>Common Expense - Allocate Portion to Sewer</t>
  </si>
  <si>
    <t>35853</t>
  </si>
  <si>
    <t>36086</t>
  </si>
  <si>
    <t>Collection of Delinquent Bills</t>
  </si>
  <si>
    <t>36265</t>
  </si>
  <si>
    <t>Collections of Delinquent Bills</t>
  </si>
  <si>
    <t>36410</t>
  </si>
  <si>
    <t>36600</t>
  </si>
  <si>
    <t>36756</t>
  </si>
  <si>
    <t>36976</t>
  </si>
  <si>
    <t>37173</t>
  </si>
  <si>
    <t>37211</t>
  </si>
  <si>
    <t>37380</t>
  </si>
  <si>
    <t>37609</t>
  </si>
  <si>
    <t>37873</t>
  </si>
  <si>
    <t>636 - Contractual Services - Other
(Communication Services)</t>
  </si>
  <si>
    <t>36684</t>
  </si>
  <si>
    <t>in.Mode</t>
  </si>
  <si>
    <t>Invoice #1082 Marketing Strategy (PR, Social)</t>
  </si>
  <si>
    <t>37036</t>
  </si>
  <si>
    <t>-MULTIPLE-</t>
  </si>
  <si>
    <t>37222</t>
  </si>
  <si>
    <t>Invoice #1100 Marketing Strategy, Facebook Ads</t>
  </si>
  <si>
    <t>37516</t>
  </si>
  <si>
    <t>Invoice #1107 Marketing for October 2020</t>
  </si>
  <si>
    <t>37551</t>
  </si>
  <si>
    <t>Invoice #1111 Marketing Stategy, Facebook Ads</t>
  </si>
  <si>
    <t>37658</t>
  </si>
  <si>
    <t>Invoice #1111 Marketing Strategy, Facebook Ads</t>
  </si>
  <si>
    <t>37766</t>
  </si>
  <si>
    <t>Invoice #1119 December 2020 Services, Facebook Ads</t>
  </si>
  <si>
    <t>636 - Contractual Services - Billing/Mailing</t>
  </si>
  <si>
    <t>35678</t>
  </si>
  <si>
    <t>Peregrine Corporation</t>
  </si>
  <si>
    <t>Invoice #382060 December 2019 Utility Bills, Printing and Shipping (6,208 Bills)</t>
  </si>
  <si>
    <t>35854</t>
  </si>
  <si>
    <t>Invoice #386317 January 2020 Billing</t>
  </si>
  <si>
    <t>36003</t>
  </si>
  <si>
    <t>Invoice #389071 February 2020 Utility Billing</t>
  </si>
  <si>
    <t>36219</t>
  </si>
  <si>
    <t>Invoice #392877 March 2020 Billing</t>
  </si>
  <si>
    <t>36370</t>
  </si>
  <si>
    <t>Invoice #394754 Printing and Mailing of April 2020 Water BIlls</t>
  </si>
  <si>
    <t>36518</t>
  </si>
  <si>
    <t>Invoice #397588 Utility Bill Printing, Inserting, and Mailing (May 2020 Billing)</t>
  </si>
  <si>
    <t>36674</t>
  </si>
  <si>
    <t>Invoice #400278 Printing, Folding, Stuffing, Mailing June 2020 Bills</t>
  </si>
  <si>
    <t>36897</t>
  </si>
  <si>
    <t>Invoice #403300 Printing, Processing, and Mailing of July 2020 Billing</t>
  </si>
  <si>
    <t>37135</t>
  </si>
  <si>
    <t>Invoice #406417 Printing, Folding, Inserting, Mailing Month Bills</t>
  </si>
  <si>
    <t>37334</t>
  </si>
  <si>
    <t>Invoice #409617 Printed, Folded, Inserted, and Mailed September 2020 Bills</t>
  </si>
  <si>
    <t>37548</t>
  </si>
  <si>
    <t>Invoice #412812 Printing, Mailing Utility Bills</t>
  </si>
  <si>
    <t>37608</t>
  </si>
  <si>
    <t>Invoice #413597 Billing Inserts (October 2020 Billing)</t>
  </si>
  <si>
    <t>37803</t>
  </si>
  <si>
    <t>Invoice #416142 Printing, Folding, Inserting and Mailing of November 2020 Utility Bills</t>
  </si>
  <si>
    <t>636 - Contractual Services - Other
(Related to Sewer Pretreatement)</t>
  </si>
  <si>
    <t>35670</t>
  </si>
  <si>
    <t>Hall Environmental Consultants, LLc</t>
  </si>
  <si>
    <t>Invoice #120219-62 SIU Inspections &amp; General Pretreatment Consulting</t>
  </si>
  <si>
    <t>Sewer Only - Move to Sewer</t>
  </si>
  <si>
    <t>35671</t>
  </si>
  <si>
    <t>Invoice #010220-55 General Pretreatment Consulting, Pretreatment Monitoring, Lab Costs</t>
  </si>
  <si>
    <t>35997</t>
  </si>
  <si>
    <t>36229</t>
  </si>
  <si>
    <t>36373</t>
  </si>
  <si>
    <t>36560</t>
  </si>
  <si>
    <t>36712</t>
  </si>
  <si>
    <t>36903</t>
  </si>
  <si>
    <t>36978</t>
  </si>
  <si>
    <t>37128</t>
  </si>
  <si>
    <t>Invoice #090120-42 General Pretreatment Consulting, Monitoring, Lab Costs</t>
  </si>
  <si>
    <t>37340</t>
  </si>
  <si>
    <t>Invoice #10120-57 Fibrotex Monitoring</t>
  </si>
  <si>
    <t>37569</t>
  </si>
  <si>
    <t>37813</t>
  </si>
  <si>
    <t>Invoice #120120-60 Fibrotex Monitoring</t>
  </si>
  <si>
    <t>660 - Advertising Expenses</t>
  </si>
  <si>
    <t>TOTAL ADJUSMTMENTS FOR CONTRACTUAL SERVICES</t>
  </si>
  <si>
    <t>675.22 - Miscellaneous Expenses - Water &amp; Sewer</t>
  </si>
  <si>
    <t>675 - Miscellaneous Expenses Other</t>
  </si>
  <si>
    <t>35631</t>
  </si>
  <si>
    <t>PHI Cares</t>
  </si>
  <si>
    <t>(22) Renewal Forms @ $30.00 per Employee (Group Rate)</t>
  </si>
  <si>
    <t>36896</t>
  </si>
  <si>
    <t>Membership Dues for Jeremiah Jones</t>
  </si>
  <si>
    <t>37035</t>
  </si>
  <si>
    <t>Membership for William J King</t>
  </si>
  <si>
    <t>37336</t>
  </si>
  <si>
    <t>Membership Enrollment (Devon Trey Phillips)</t>
  </si>
  <si>
    <t>35680</t>
  </si>
  <si>
    <t>Kentucky Rural Water Association, Inc</t>
  </si>
  <si>
    <t>Invoice #26220 2020 Compliance Check</t>
  </si>
  <si>
    <t>35691</t>
  </si>
  <si>
    <t>Invoice #26433 Management Conference Attendee Fees</t>
  </si>
  <si>
    <t>35728</t>
  </si>
  <si>
    <t>Invoice #26529 Conference Attendee Fee</t>
  </si>
  <si>
    <t>37429</t>
  </si>
  <si>
    <t>Total Adjustment</t>
  </si>
  <si>
    <t>Excluding GM:</t>
  </si>
  <si>
    <t>Water-To-Total</t>
  </si>
  <si>
    <t>Depreciation expense adjusted $(162,263) to reflect mid-point of useful life range of NARUC’s Depreciation Practices for Small Water Utilities for hydrants (50 yrs), water mains (62.5 yrs), and storage tanks (45 yrs).  Depreciation on new office building and improvements reduced $1,775.29 to reflect allocation of portion of expense to sewer operations.  Total Adjustment: $(164,038.43)</t>
  </si>
  <si>
    <t>Although PSC assessment was based on combined water and sewer operation revenues, test period PSC assessment was assigned to water operations.  Adjustment made to reflect only gross operating revenues from water operations.</t>
  </si>
  <si>
    <t>Test period Advertising Expense of $6,096.66 have been added to test year reported Miscellaneous Expenses of $110,012.11.
Miscellaneous expense adjusted to reflect allocation of common expenses between water and sewer operations.  See Rate Calculations Spreadsheet, Adjustment_Contract-MiscExpense Tab.</t>
  </si>
  <si>
    <t>Total Adjustments to Misc Expenses (including Advertising)</t>
  </si>
  <si>
    <t>L</t>
  </si>
  <si>
    <t>Utility incurred expense of $11,886.44 for electric service to main office building.  Adjustment made to allocate a portion of cost to sewer operations.  Adjustment = $11,886.44 x .1545 = $1,836.45</t>
  </si>
  <si>
    <t>FICA taxes adjusted to reflect adjusted test period wages and to reflect payment of FICA taxes on water district commissioner salaries (0.0765 x $23,335.80).</t>
  </si>
  <si>
    <t>Required Revenue Increase stated as a Percentage of Revenue at Present Rates</t>
  </si>
  <si>
    <t>Allocate Portion of Total PHI to Sewer (.23 x $840 = $174)</t>
  </si>
  <si>
    <t>Party</t>
  </si>
  <si>
    <t>Date</t>
  </si>
  <si>
    <t>Check No.</t>
  </si>
  <si>
    <t>Purpose</t>
  </si>
  <si>
    <t>Sewer</t>
  </si>
  <si>
    <t>Repair and Service Solutions</t>
  </si>
  <si>
    <t>Pump Repair</t>
  </si>
  <si>
    <t>Water</t>
  </si>
  <si>
    <t>Billy Trammell</t>
  </si>
  <si>
    <t>Track Hoe Work</t>
  </si>
  <si>
    <t>Merit Pay
2020</t>
  </si>
  <si>
    <t>Merit Pay
2021</t>
  </si>
  <si>
    <t>All employee wages are adjusted to reflect current wage rates.  All employees received wage increases effective 1/1/2021.  Only wages/salaries of persons employed as of 6/30/2021 considered.  All wages/salaries are allocated in accordance with allocation rules. See Rate Calculations Spreadsheet, Wages/Benefits Tab.  Calculation removes special merit pay benefits but assumes $500 merit payment to all employees but Superintendent. 
Superintendent's salary is adjusted to reflect revised employment contract.  See 8/25/2020 Board of Commissioner minutes). 
From 4/9/2020 to 8/23/2020, Employee Nos. 8, 24, 33, and 34 furloughed due to COVID-19 pandemic.  These employees’ wages were adjusted to reflect total work hours if not furloughed.  Each employee's work hours were increased 760 regular hours (19 weeks x 40 hours per week). Employee No. 5 hired shortly before the end of 2020.  His salary was adjusted to reflect 2080 B7Regular hours of work and 128 OT hours.  Overtime hours was based upon the number of OT hours during the first six months of 2021.
$22,433.57 ($380.23 per tap x 59 taps) removed from labor expense to reflect the capitalize of labor expense associated with water taps (water connections)
Total Adjusted Wages Allocated to Water District:  $919,074.18
Less Capitalized Labor:                                                         $  22,433.57
Equals Proforma Labor Expense:                                     $896,640.61
Adjustment =  $896,640.61- $877,486.24 = $19,154.37</t>
  </si>
  <si>
    <t xml:space="preserve">Employee Benefits adjusted to reflect current cost of health, dental, and vision insurance, the allocation of certain employee's benefits to Sewer Division, the PSC limitations on the recovery of employer-paid health insurance and dental insurance premiums.  Retirement payments reflect increased wages and increase in CERS employer contribution rate from 24.06% to 26.95%. Test period GASB 68 Expense and OPEB Benefits Expense, which were included in expense level report were removed.  See Rate Calculations Spreadsheet, Wages/Benefits Tab.
Health Insurance (Adjusted/PSC Limits Applied)                                $139,995.11
Plus:  Dental Insurance (Adjusted/PSC Limits Applied)                    $     3,717.61
            Vision Insurance (Adjusted)                                                             $     2,777.73 
            Life Insurance (Adjusted)	                                                                  $     1,221.97
            Retirement Contribution to CERS (Adjusted)                            $230,168.73
            Uniform                                                                                                      $  11,713.09
Total Employee Benefits and Pensions (Adjusted):                            $389,594.24
Minus: Test-Period Employee and Benefits:                                          $648,235.84
Adjustment                                                                                                           $(258,641.60)
Application of the PSC limitations on  employer-paid health insurance and dental insurance premiums does not reflect McCreary County Water District’s agreement with or acceptance of these limitations.  McCreary District reserves the right to contest the application of these limitations in future proceedings.  </t>
  </si>
  <si>
    <t xml:space="preserve">US Penitentiary  McCreary Prison </t>
  </si>
  <si>
    <t>No. 04-03</t>
  </si>
  <si>
    <t>Utility increased its rate for water service on 2/22/2021 (PSC Case No. 2021-00021); Rate increase will result in additonal annual revenues of $404,993.73 (See billing analyses)
Utility adjusted bills for leak adjustments and defective readings resulting in reduction of 3,033,800 gallons of water sold, resulting in a reduction of $22,116.41 in revenues (3,033,800 gallons x .00745 per gallon = $22,116.41)
Total adjustment = $404,993.73 - $22,116.41 = $382,877.32</t>
  </si>
  <si>
    <t>Insurance Expense adjusted to reflect the current cost of workers compensation insurance ($12,986.64) and liability insurance ($35,943.58).  
Cost of workers compensation insurance allocated between water and sewer operations based upon the adjusted payroll of each division (76.97 percent – water; 23.03 percent – sewer).  Cost of general liability insurance allocated between operations based upon the adjusted test period revenues of each operation. Combined operating revenues = $5,508,725.  Water operating revenues = $4,145,877.  Water operating revenues/combined operating revenues =0.7526
Workers Compensation insurance cost to water: 0.7697 x $12,986.64 = $9,995.82
General Liability Insurance cost to water: 0.7526 x $35,943.58 = $27,051.14
Total Adjustment = ($9,995.82 + $27,051.14) - $69,137.22 = $(32,090.26) [rounded]</t>
  </si>
  <si>
    <t>Series 2012A</t>
  </si>
  <si>
    <t>Series 2012B</t>
  </si>
  <si>
    <t>Adjustments to remove costs specifically incurred to serve sewer operations and to allocate a portion of common costs to sewer operations based upon number of customers in each division and to reassign costs incurred solely for sewer operations to sewer division.  See Rate Calculations Spreadsheet, Adjustment_Contract-MiscExpense Tab.</t>
  </si>
  <si>
    <t xml:space="preserve">Note: The District no longer employs the Employees in Red. </t>
  </si>
  <si>
    <t>Scenario:</t>
  </si>
  <si>
    <t>Required Revenue Increase:</t>
  </si>
  <si>
    <t>Total From Rates:</t>
  </si>
  <si>
    <t>Bill Adjustments</t>
  </si>
  <si>
    <t>Jared Miller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</si>
</sst>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00000_);_(&quot;$&quot;* \(#,##0.00000\);_(&quot;$&quot;* &quot;-&quot;??_);_(@_)"/>
    <numFmt numFmtId="166" formatCode="&quot;$&quot;#,##0.00000_);[Red]\(&quot;$&quot;#,##0.00000\)"/>
    <numFmt numFmtId="167" formatCode="&quot;$&quot;#,##0.00"/>
    <numFmt numFmtId="168" formatCode="0.00000"/>
    <numFmt numFmtId="169" formatCode="mm/dd/yyyy"/>
  </numFmts>
  <fonts count="8" x14ac:knownFonts="1">
    <font>
      <sz val="11"/>
      <color theme="1"/>
      <name val="Calibri"/>
      <family val="2"/>
      <scheme val="minor"/>
    </font>
    <font>
      <b/>
      <sz val="11"/>
      <color theme="1"/>
      <name val="Calibri"/>
      <family val="2"/>
      <scheme val="minor"/>
    </font>
    <font>
      <sz val="11"/>
      <color rgb="FF000000"/>
      <name val="Calibri"/>
      <family val="2"/>
    </font>
    <font>
      <sz val="11"/>
      <color theme="1"/>
      <name val="Calibri"/>
      <family val="2"/>
      <scheme val="minor"/>
    </font>
    <font>
      <b/>
      <sz val="12"/>
      <color theme="1"/>
      <name val="Calibri"/>
      <family val="2"/>
      <scheme val="minor"/>
    </font>
    <font>
      <sz val="12"/>
      <color theme="1"/>
      <name val="Calibri"/>
      <family val="2"/>
      <scheme val="minor"/>
    </font>
    <font>
      <sz val="11"/>
      <color rgb="FF000000"/>
      <name val="Calibri"/>
      <family val="2"/>
      <scheme val="minor"/>
    </font>
    <font>
      <sz val="8"/>
      <color rgb="FF000000"/>
      <name val="Arial"/>
      <family val="2"/>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1"/>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2" fillId="0" borderId="0"/>
    <xf numFmtId="0" fontId="2" fillId="0" borderId="0"/>
    <xf numFmtId="43" fontId="3" fillId="0" borderId="0" applyFont="0" applyFill="0" applyBorder="0" applyAlignment="0" applyProtection="0"/>
    <xf numFmtId="44" fontId="3" fillId="0" borderId="0" applyFont="0" applyFill="0" applyBorder="0" applyAlignment="0" applyProtection="0"/>
  </cellStyleXfs>
  <cellXfs count="171">
    <xf numFmtId="0" fontId="0" fillId="0" borderId="0" xfId="0"/>
    <xf numFmtId="0" fontId="0" fillId="0" borderId="0" xfId="0" applyAlignment="1">
      <alignment horizontal="center"/>
    </xf>
    <xf numFmtId="0" fontId="1" fillId="0" borderId="0" xfId="0" applyFont="1"/>
    <xf numFmtId="0" fontId="0" fillId="0" borderId="0" xfId="0" applyAlignment="1">
      <alignment horizontal="left" indent="2"/>
    </xf>
    <xf numFmtId="0" fontId="0" fillId="0" borderId="0" xfId="0" applyAlignment="1">
      <alignment horizontal="left" indent="5"/>
    </xf>
    <xf numFmtId="0" fontId="0" fillId="0" borderId="0" xfId="0" applyAlignment="1">
      <alignment horizontal="left" indent="4"/>
    </xf>
    <xf numFmtId="0" fontId="1" fillId="0" borderId="0" xfId="0" applyFont="1" applyAlignment="1">
      <alignment horizontal="center" vertical="center"/>
    </xf>
    <xf numFmtId="0" fontId="0" fillId="0" borderId="0" xfId="0" applyAlignment="1">
      <alignment horizontal="center" vertical="center"/>
    </xf>
    <xf numFmtId="1" fontId="0" fillId="0" borderId="0" xfId="0" applyNumberFormat="1"/>
    <xf numFmtId="0" fontId="0" fillId="0" borderId="0" xfId="0"/>
    <xf numFmtId="0" fontId="0" fillId="0" borderId="0" xfId="0" applyAlignment="1">
      <alignment horizontal="left" indent="4"/>
    </xf>
    <xf numFmtId="0" fontId="0" fillId="0" borderId="0" xfId="0" applyAlignment="1">
      <alignment wrapText="1"/>
    </xf>
    <xf numFmtId="1" fontId="0" fillId="0" borderId="0" xfId="0" applyNumberFormat="1" applyAlignment="1">
      <alignment horizontal="center"/>
    </xf>
    <xf numFmtId="1" fontId="1" fillId="0" borderId="0" xfId="0" applyNumberFormat="1" applyFont="1" applyAlignment="1">
      <alignment horizontal="center"/>
    </xf>
    <xf numFmtId="0" fontId="1" fillId="0" borderId="0" xfId="0" applyFont="1" applyAlignment="1">
      <alignment horizontal="center"/>
    </xf>
    <xf numFmtId="43" fontId="0" fillId="0" borderId="0" xfId="0" applyNumberFormat="1"/>
    <xf numFmtId="0" fontId="0" fillId="0" borderId="0" xfId="0"/>
    <xf numFmtId="44" fontId="0" fillId="0" borderId="0" xfId="4" applyFont="1"/>
    <xf numFmtId="0" fontId="5" fillId="0" borderId="0" xfId="0" applyFont="1"/>
    <xf numFmtId="0" fontId="1" fillId="0" borderId="4" xfId="0" applyFont="1" applyBorder="1" applyAlignment="1">
      <alignment horizontal="center"/>
    </xf>
    <xf numFmtId="0" fontId="4" fillId="0" borderId="6"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xf numFmtId="0" fontId="1" fillId="0" borderId="12" xfId="0" applyFont="1" applyBorder="1" applyAlignment="1">
      <alignment horizontal="center"/>
    </xf>
    <xf numFmtId="0" fontId="1" fillId="0" borderId="13" xfId="0" applyFont="1" applyBorder="1" applyAlignment="1">
      <alignment horizontal="center"/>
    </xf>
    <xf numFmtId="16" fontId="0" fillId="0" borderId="0" xfId="0" applyNumberFormat="1"/>
    <xf numFmtId="3" fontId="0" fillId="0" borderId="8" xfId="0" applyNumberFormat="1" applyBorder="1"/>
    <xf numFmtId="3" fontId="0" fillId="0" borderId="0" xfId="0" applyNumberFormat="1"/>
    <xf numFmtId="3" fontId="0" fillId="0" borderId="11" xfId="0" applyNumberFormat="1" applyBorder="1"/>
    <xf numFmtId="3" fontId="0" fillId="0" borderId="4" xfId="0" applyNumberFormat="1" applyBorder="1"/>
    <xf numFmtId="3" fontId="0" fillId="0" borderId="14" xfId="0" applyNumberFormat="1" applyBorder="1"/>
    <xf numFmtId="3" fontId="0" fillId="0" borderId="0" xfId="0" applyNumberFormat="1" applyBorder="1"/>
    <xf numFmtId="0" fontId="0" fillId="0" borderId="8" xfId="0" applyBorder="1"/>
    <xf numFmtId="0" fontId="0" fillId="0" borderId="14" xfId="0" applyBorder="1"/>
    <xf numFmtId="0" fontId="0" fillId="0" borderId="0" xfId="0" applyBorder="1"/>
    <xf numFmtId="3" fontId="0" fillId="0" borderId="12" xfId="0" applyNumberFormat="1" applyBorder="1"/>
    <xf numFmtId="0" fontId="0" fillId="0" borderId="12" xfId="0" applyBorder="1"/>
    <xf numFmtId="43" fontId="0" fillId="0" borderId="0" xfId="3" applyFont="1"/>
    <xf numFmtId="0" fontId="0" fillId="0" borderId="0" xfId="0" applyFill="1" applyAlignment="1">
      <alignment wrapText="1"/>
    </xf>
    <xf numFmtId="0" fontId="0" fillId="0" borderId="0" xfId="0" applyFont="1" applyAlignment="1">
      <alignment wrapText="1"/>
    </xf>
    <xf numFmtId="0" fontId="0" fillId="0" borderId="0" xfId="0" applyAlignment="1">
      <alignment vertical="top"/>
    </xf>
    <xf numFmtId="0" fontId="0" fillId="2" borderId="0" xfId="0" applyFill="1"/>
    <xf numFmtId="44" fontId="0" fillId="2" borderId="0" xfId="4" applyFont="1" applyFill="1"/>
    <xf numFmtId="44" fontId="1" fillId="0" borderId="0" xfId="4" applyNumberFormat="1" applyFont="1" applyAlignment="1">
      <alignment horizontal="center" vertical="center"/>
    </xf>
    <xf numFmtId="44" fontId="0" fillId="0" borderId="0" xfId="4" applyNumberFormat="1" applyFont="1"/>
    <xf numFmtId="44" fontId="0" fillId="2" borderId="0" xfId="4" applyNumberFormat="1" applyFont="1" applyFill="1"/>
    <xf numFmtId="44" fontId="0" fillId="0" borderId="0" xfId="4" applyNumberFormat="1" applyFont="1" applyFill="1"/>
    <xf numFmtId="0" fontId="0" fillId="2" borderId="0" xfId="0" applyFill="1" applyAlignment="1">
      <alignment horizontal="center"/>
    </xf>
    <xf numFmtId="44" fontId="0" fillId="0" borderId="0" xfId="0" applyNumberFormat="1"/>
    <xf numFmtId="0" fontId="1" fillId="0" borderId="0" xfId="0" applyFont="1" applyAlignment="1">
      <alignment horizontal="center" vertical="center"/>
    </xf>
    <xf numFmtId="44" fontId="0" fillId="0" borderId="0" xfId="4" applyFont="1" applyAlignment="1">
      <alignment horizontal="center" vertical="center"/>
    </xf>
    <xf numFmtId="0" fontId="0" fillId="0" borderId="0" xfId="0" applyAlignment="1">
      <alignment horizontal="center"/>
    </xf>
    <xf numFmtId="0" fontId="1" fillId="0" borderId="0" xfId="0" applyFont="1" applyAlignment="1">
      <alignment horizontal="center" vertical="center"/>
    </xf>
    <xf numFmtId="0" fontId="1" fillId="0" borderId="0" xfId="0" applyFont="1" applyAlignment="1">
      <alignment horizontal="center" vertical="center"/>
    </xf>
    <xf numFmtId="44" fontId="0" fillId="0" borderId="0" xfId="4" applyFont="1" applyAlignment="1">
      <alignment horizontal="right" vertical="center"/>
    </xf>
    <xf numFmtId="8" fontId="0" fillId="0" borderId="0" xfId="4" applyNumberFormat="1" applyFont="1" applyAlignment="1">
      <alignment horizontal="right" vertical="center"/>
    </xf>
    <xf numFmtId="0" fontId="0" fillId="0" borderId="0" xfId="0" applyAlignment="1">
      <alignment horizontal="left" vertical="center"/>
    </xf>
    <xf numFmtId="44" fontId="1" fillId="0" borderId="0" xfId="4" applyFont="1" applyAlignment="1">
      <alignment horizontal="center" vertical="center"/>
    </xf>
    <xf numFmtId="44" fontId="0" fillId="0" borderId="0" xfId="0" applyNumberFormat="1" applyFont="1" applyAlignment="1">
      <alignment horizontal="center" vertical="center"/>
    </xf>
    <xf numFmtId="44" fontId="0" fillId="0" borderId="0" xfId="0" applyNumberFormat="1" applyAlignment="1">
      <alignment wrapText="1"/>
    </xf>
    <xf numFmtId="0" fontId="0" fillId="4" borderId="0" xfId="0" applyFill="1" applyAlignment="1">
      <alignment horizontal="center"/>
    </xf>
    <xf numFmtId="0" fontId="0" fillId="4" borderId="0" xfId="0" applyFill="1" applyAlignment="1">
      <alignment horizontal="center" vertical="center"/>
    </xf>
    <xf numFmtId="0" fontId="0" fillId="4" borderId="0" xfId="0" applyFill="1"/>
    <xf numFmtId="44" fontId="0" fillId="4" borderId="0" xfId="4" applyFont="1" applyFill="1"/>
    <xf numFmtId="44" fontId="0" fillId="4" borderId="0" xfId="4" applyFont="1" applyFill="1" applyAlignment="1">
      <alignment horizontal="center" vertical="center"/>
    </xf>
    <xf numFmtId="44" fontId="0" fillId="4" borderId="0" xfId="4" applyFont="1" applyFill="1" applyAlignment="1">
      <alignment horizontal="right" vertical="center"/>
    </xf>
    <xf numFmtId="44" fontId="0" fillId="4" borderId="0" xfId="0" applyNumberFormat="1" applyFont="1" applyFill="1" applyAlignment="1">
      <alignment horizontal="center" vertical="center"/>
    </xf>
    <xf numFmtId="44" fontId="0" fillId="4" borderId="0" xfId="0" applyNumberFormat="1" applyFill="1"/>
    <xf numFmtId="44" fontId="0" fillId="4" borderId="0" xfId="0" applyNumberFormat="1" applyFill="1" applyAlignment="1">
      <alignment wrapText="1"/>
    </xf>
    <xf numFmtId="0" fontId="0" fillId="0" borderId="0" xfId="0" applyFill="1"/>
    <xf numFmtId="44" fontId="1" fillId="0" borderId="0" xfId="0" applyNumberFormat="1" applyFont="1" applyAlignment="1">
      <alignment horizontal="center" vertical="center"/>
    </xf>
    <xf numFmtId="0" fontId="1" fillId="0" borderId="0" xfId="0" applyFont="1" applyAlignment="1">
      <alignment horizontal="center" vertical="center"/>
    </xf>
    <xf numFmtId="164" fontId="0" fillId="0" borderId="0" xfId="3" applyNumberFormat="1" applyFont="1"/>
    <xf numFmtId="164" fontId="0" fillId="0" borderId="0" xfId="0" applyNumberFormat="1"/>
    <xf numFmtId="164" fontId="0" fillId="0" borderId="0" xfId="0" applyNumberFormat="1" applyAlignment="1">
      <alignment horizontal="center" vertical="center"/>
    </xf>
    <xf numFmtId="8" fontId="0" fillId="0" borderId="0" xfId="0" applyNumberFormat="1"/>
    <xf numFmtId="165" fontId="0" fillId="0" borderId="0" xfId="4" applyNumberFormat="1" applyFont="1"/>
    <xf numFmtId="166" fontId="0" fillId="0" borderId="0" xfId="0" applyNumberFormat="1"/>
    <xf numFmtId="164" fontId="0" fillId="0" borderId="0" xfId="3" applyNumberFormat="1" applyFont="1" applyAlignment="1">
      <alignment horizontal="center" vertical="center"/>
    </xf>
    <xf numFmtId="0" fontId="0" fillId="0" borderId="0" xfId="0" applyAlignment="1">
      <alignment horizontal="center"/>
    </xf>
    <xf numFmtId="0" fontId="1" fillId="0" borderId="0" xfId="0" applyFont="1" applyAlignment="1">
      <alignment horizontal="center" vertical="center" wrapText="1"/>
    </xf>
    <xf numFmtId="44" fontId="1" fillId="0" borderId="0" xfId="4" applyFont="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xf>
    <xf numFmtId="44" fontId="0" fillId="0" borderId="0" xfId="4" applyFont="1" applyAlignment="1">
      <alignment horizontal="right"/>
    </xf>
    <xf numFmtId="44" fontId="0" fillId="0" borderId="0" xfId="4" applyFont="1" applyFill="1"/>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1" fontId="0" fillId="0" borderId="0" xfId="3" applyNumberFormat="1" applyFont="1"/>
    <xf numFmtId="0" fontId="4" fillId="0" borderId="0" xfId="0" applyFont="1" applyBorder="1" applyAlignment="1">
      <alignment horizontal="center"/>
    </xf>
    <xf numFmtId="0" fontId="1" fillId="0" borderId="11" xfId="0" applyFont="1" applyBorder="1" applyAlignment="1">
      <alignment horizontal="center"/>
    </xf>
    <xf numFmtId="14" fontId="0" fillId="0" borderId="0" xfId="0" applyNumberFormat="1" applyBorder="1"/>
    <xf numFmtId="0" fontId="0" fillId="0" borderId="0" xfId="0" applyNumberFormat="1" applyBorder="1"/>
    <xf numFmtId="0" fontId="1" fillId="0" borderId="0" xfId="0" applyFont="1" applyBorder="1" applyAlignment="1">
      <alignment horizontal="center"/>
    </xf>
    <xf numFmtId="0" fontId="1" fillId="0" borderId="14" xfId="0" applyFont="1" applyBorder="1" applyAlignment="1">
      <alignment horizontal="center"/>
    </xf>
    <xf numFmtId="0" fontId="1" fillId="0" borderId="5" xfId="0" applyFont="1" applyBorder="1" applyAlignment="1">
      <alignment horizontal="center"/>
    </xf>
    <xf numFmtId="0" fontId="1" fillId="0" borderId="7" xfId="0" applyFont="1" applyBorder="1" applyAlignment="1">
      <alignment horizontal="center"/>
    </xf>
    <xf numFmtId="3" fontId="0" fillId="0" borderId="14" xfId="0" applyNumberFormat="1" applyFont="1" applyBorder="1" applyAlignment="1">
      <alignment horizontal="center"/>
    </xf>
    <xf numFmtId="3" fontId="0" fillId="0" borderId="11" xfId="0" applyNumberFormat="1" applyFont="1" applyBorder="1" applyAlignment="1">
      <alignment horizontal="center"/>
    </xf>
    <xf numFmtId="3" fontId="0" fillId="0" borderId="8" xfId="0" applyNumberFormat="1" applyFont="1" applyFill="1" applyBorder="1"/>
    <xf numFmtId="0" fontId="0" fillId="0" borderId="0" xfId="0" applyAlignment="1">
      <alignment horizontal="center"/>
    </xf>
    <xf numFmtId="0" fontId="1"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0" fillId="3" borderId="0" xfId="0" applyFill="1"/>
    <xf numFmtId="0" fontId="0" fillId="0" borderId="0" xfId="0" applyAlignment="1">
      <alignment horizontal="center" vertical="center" wrapText="1"/>
    </xf>
    <xf numFmtId="0" fontId="1" fillId="0" borderId="0" xfId="0" applyFont="1" applyAlignment="1">
      <alignment horizontal="center" wrapText="1"/>
    </xf>
    <xf numFmtId="2" fontId="0" fillId="0" borderId="0" xfId="0" applyNumberFormat="1"/>
    <xf numFmtId="0" fontId="0" fillId="3" borderId="0" xfId="0" applyFill="1" applyAlignment="1">
      <alignment wrapText="1"/>
    </xf>
    <xf numFmtId="2" fontId="0" fillId="3" borderId="0" xfId="0" applyNumberFormat="1" applyFill="1"/>
    <xf numFmtId="44" fontId="0" fillId="3" borderId="0" xfId="4" applyFont="1" applyFill="1"/>
    <xf numFmtId="2" fontId="0" fillId="0" borderId="0" xfId="0" applyNumberFormat="1" applyFill="1"/>
    <xf numFmtId="167" fontId="0" fillId="0" borderId="0" xfId="0" applyNumberFormat="1"/>
    <xf numFmtId="49" fontId="6" fillId="0" borderId="0" xfId="0" applyNumberFormat="1" applyFont="1"/>
    <xf numFmtId="49" fontId="7" fillId="0" borderId="0" xfId="0" applyNumberFormat="1" applyFont="1"/>
    <xf numFmtId="44" fontId="0" fillId="0" borderId="0" xfId="0" applyNumberFormat="1" applyFill="1"/>
    <xf numFmtId="4" fontId="0" fillId="0" borderId="0" xfId="0" applyNumberFormat="1"/>
    <xf numFmtId="0" fontId="0" fillId="0" borderId="0" xfId="0" applyAlignment="1">
      <alignment horizontal="center" vertical="center"/>
    </xf>
    <xf numFmtId="2" fontId="0" fillId="0" borderId="0" xfId="4" applyNumberFormat="1" applyFont="1"/>
    <xf numFmtId="0" fontId="0" fillId="0" borderId="0" xfId="0" applyAlignment="1">
      <alignment horizontal="right"/>
    </xf>
    <xf numFmtId="2" fontId="0" fillId="0" borderId="0" xfId="4" applyNumberFormat="1" applyFont="1" applyAlignment="1">
      <alignment horizont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readingOrder="1"/>
    </xf>
    <xf numFmtId="0" fontId="0" fillId="0" borderId="0" xfId="0" applyFill="1" applyAlignment="1">
      <alignment vertical="center" wrapText="1"/>
    </xf>
    <xf numFmtId="0" fontId="0" fillId="0" borderId="0" xfId="0" applyFill="1" applyAlignment="1">
      <alignment horizontal="center"/>
    </xf>
    <xf numFmtId="2" fontId="0" fillId="0" borderId="0" xfId="0" applyNumberFormat="1" applyAlignment="1">
      <alignment horizontal="right"/>
    </xf>
    <xf numFmtId="2" fontId="0" fillId="0" borderId="0" xfId="0" applyNumberFormat="1" applyAlignment="1">
      <alignment vertical="center"/>
    </xf>
    <xf numFmtId="2" fontId="0" fillId="0" borderId="0" xfId="0" applyNumberFormat="1" applyAlignment="1"/>
    <xf numFmtId="2" fontId="0" fillId="0" borderId="0" xfId="0" applyNumberFormat="1" applyAlignment="1">
      <alignment horizontal="right" vertical="center"/>
    </xf>
    <xf numFmtId="2" fontId="0" fillId="0" borderId="0" xfId="0" applyNumberFormat="1" applyAlignment="1">
      <alignment horizontal="center"/>
    </xf>
    <xf numFmtId="2" fontId="1" fillId="0" borderId="0" xfId="0" applyNumberFormat="1" applyFont="1" applyAlignment="1">
      <alignment horizontal="center"/>
    </xf>
    <xf numFmtId="168" fontId="0" fillId="0" borderId="0" xfId="0" applyNumberFormat="1"/>
    <xf numFmtId="0" fontId="0" fillId="0" borderId="0" xfId="0" applyAlignment="1">
      <alignment horizontal="center"/>
    </xf>
    <xf numFmtId="0" fontId="1" fillId="0" borderId="0" xfId="0" applyFont="1" applyAlignment="1">
      <alignment horizontal="center" vertical="center"/>
    </xf>
    <xf numFmtId="0" fontId="1" fillId="0" borderId="0" xfId="0" applyFont="1" applyAlignment="1">
      <alignment horizontal="center" vertical="center" wrapText="1"/>
    </xf>
    <xf numFmtId="169" fontId="1" fillId="0" borderId="0" xfId="0" applyNumberFormat="1" applyFont="1" applyAlignment="1">
      <alignment horizontal="center" vertical="center"/>
    </xf>
    <xf numFmtId="169" fontId="0" fillId="0" borderId="0" xfId="0" applyNumberFormat="1" applyAlignment="1">
      <alignment horizontal="center"/>
    </xf>
    <xf numFmtId="2" fontId="0" fillId="2" borderId="0" xfId="4" applyNumberFormat="1" applyFont="1" applyFill="1"/>
    <xf numFmtId="2" fontId="1" fillId="0" borderId="0" xfId="0" applyNumberFormat="1" applyFont="1"/>
    <xf numFmtId="164" fontId="0" fillId="0" borderId="0" xfId="0" applyNumberFormat="1" applyAlignment="1">
      <alignment horizontal="center" vertical="top"/>
    </xf>
    <xf numFmtId="0" fontId="0" fillId="0" borderId="0" xfId="0"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0" fillId="6" borderId="0" xfId="0" applyFill="1"/>
    <xf numFmtId="9" fontId="0" fillId="0" borderId="0" xfId="0" applyNumberFormat="1" applyAlignment="1">
      <alignment horizontal="left"/>
    </xf>
    <xf numFmtId="6" fontId="0" fillId="0" borderId="0" xfId="0" applyNumberFormat="1" applyAlignment="1">
      <alignment horizontal="left"/>
    </xf>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 fillId="5" borderId="0" xfId="0" applyFont="1" applyFill="1" applyAlignment="1">
      <alignment horizontal="center" vertical="center" wrapText="1"/>
    </xf>
    <xf numFmtId="0" fontId="1" fillId="3" borderId="0" xfId="0" applyFont="1" applyFill="1" applyAlignment="1">
      <alignment horizontal="center" vertical="center" wrapText="1"/>
    </xf>
    <xf numFmtId="44" fontId="1" fillId="0" borderId="0" xfId="4" applyFont="1" applyAlignment="1">
      <alignment horizontal="center" vertical="center" wrapText="1"/>
    </xf>
    <xf numFmtId="44" fontId="1" fillId="3" borderId="0" xfId="4" applyFont="1" applyFill="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xf>
    <xf numFmtId="0" fontId="4" fillId="0" borderId="1" xfId="0" applyFont="1" applyBorder="1" applyAlignment="1">
      <alignment horizontal="center"/>
    </xf>
    <xf numFmtId="0" fontId="4" fillId="0" borderId="3" xfId="0" applyFont="1" applyBorder="1" applyAlignment="1">
      <alignment horizontal="center"/>
    </xf>
    <xf numFmtId="0" fontId="5" fillId="0" borderId="3" xfId="0" applyFont="1" applyBorder="1" applyAlignment="1">
      <alignment horizontal="center"/>
    </xf>
    <xf numFmtId="0" fontId="4" fillId="0" borderId="5"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xf numFmtId="0" fontId="4" fillId="0" borderId="2" xfId="0" applyFont="1" applyBorder="1" applyAlignment="1">
      <alignment horizontal="center"/>
    </xf>
  </cellXfs>
  <cellStyles count="5">
    <cellStyle name="Comma" xfId="3" builtinId="3"/>
    <cellStyle name="Currency" xfId="4" builtinId="4"/>
    <cellStyle name="Normal" xfId="0" builtinId="0"/>
    <cellStyle name="Normal 2" xfId="2" xr:uid="{00000000-0005-0000-0000-000003000000}"/>
    <cellStyle name="Normal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8"/>
  <sheetViews>
    <sheetView topLeftCell="A4" zoomScale="80" zoomScaleNormal="80" workbookViewId="0">
      <selection activeCell="C43" sqref="C43"/>
    </sheetView>
  </sheetViews>
  <sheetFormatPr defaultRowHeight="15" x14ac:dyDescent="0.25"/>
  <cols>
    <col min="1" max="1" width="46.28515625" customWidth="1"/>
    <col min="2" max="2" width="15.42578125" style="110" customWidth="1"/>
    <col min="3" max="3" width="18.5703125" style="8" customWidth="1"/>
    <col min="4" max="4" width="9.140625" style="7"/>
    <col min="5" max="5" width="16.140625" style="110" customWidth="1"/>
    <col min="6" max="6" width="36.7109375" customWidth="1"/>
  </cols>
  <sheetData>
    <row r="1" spans="1:5" x14ac:dyDescent="0.25">
      <c r="A1" s="154" t="s">
        <v>42</v>
      </c>
      <c r="B1" s="155"/>
      <c r="C1" s="155"/>
      <c r="D1" s="155"/>
      <c r="E1" s="155"/>
    </row>
    <row r="2" spans="1:5" x14ac:dyDescent="0.25">
      <c r="A2" s="155" t="s">
        <v>61</v>
      </c>
      <c r="B2" s="155"/>
      <c r="C2" s="155"/>
      <c r="D2" s="155"/>
      <c r="E2" s="155"/>
    </row>
    <row r="3" spans="1:5" x14ac:dyDescent="0.25">
      <c r="A3" s="1"/>
      <c r="B3" s="137"/>
      <c r="C3" s="12"/>
      <c r="E3" s="137"/>
    </row>
    <row r="4" spans="1:5" x14ac:dyDescent="0.25">
      <c r="B4" s="138" t="s">
        <v>0</v>
      </c>
      <c r="C4" s="13" t="s">
        <v>1</v>
      </c>
      <c r="D4" s="6" t="s">
        <v>2</v>
      </c>
      <c r="E4" s="138" t="s">
        <v>3</v>
      </c>
    </row>
    <row r="5" spans="1:5" x14ac:dyDescent="0.25">
      <c r="A5" s="2" t="s">
        <v>4</v>
      </c>
      <c r="B5" s="136"/>
    </row>
    <row r="6" spans="1:5" x14ac:dyDescent="0.25">
      <c r="A6" s="3" t="s">
        <v>5</v>
      </c>
      <c r="B6" s="136"/>
    </row>
    <row r="7" spans="1:5" x14ac:dyDescent="0.25">
      <c r="A7" s="4" t="s">
        <v>6</v>
      </c>
      <c r="B7" s="136"/>
      <c r="E7" s="110">
        <f>B7+C7</f>
        <v>0</v>
      </c>
    </row>
    <row r="8" spans="1:5" x14ac:dyDescent="0.25">
      <c r="A8" s="4" t="s">
        <v>44</v>
      </c>
      <c r="B8" s="136">
        <v>3623288.31</v>
      </c>
      <c r="C8" s="110">
        <f>(4028282.04-3623288.31)-22116.41</f>
        <v>382877.32</v>
      </c>
      <c r="D8" s="7" t="s">
        <v>43</v>
      </c>
      <c r="E8" s="110">
        <f t="shared" ref="E8:E44" si="0">B8+C8</f>
        <v>4006165.63</v>
      </c>
    </row>
    <row r="9" spans="1:5" x14ac:dyDescent="0.25">
      <c r="A9" s="4" t="s">
        <v>7</v>
      </c>
      <c r="B9" s="136"/>
      <c r="E9" s="110">
        <f t="shared" si="0"/>
        <v>0</v>
      </c>
    </row>
    <row r="10" spans="1:5" x14ac:dyDescent="0.25">
      <c r="A10" s="4" t="s">
        <v>8</v>
      </c>
      <c r="B10" s="136"/>
      <c r="E10" s="110">
        <f t="shared" si="0"/>
        <v>0</v>
      </c>
    </row>
    <row r="11" spans="1:5" x14ac:dyDescent="0.25">
      <c r="A11" s="4" t="s">
        <v>9</v>
      </c>
      <c r="B11" s="136"/>
      <c r="E11" s="110">
        <f t="shared" si="0"/>
        <v>0</v>
      </c>
    </row>
    <row r="12" spans="1:5" x14ac:dyDescent="0.25">
      <c r="A12" s="3" t="s">
        <v>10</v>
      </c>
      <c r="B12" s="136">
        <f>SUM(B7:B11)</f>
        <v>3623288.31</v>
      </c>
      <c r="C12" s="110">
        <f>SUM(C7:C11)</f>
        <v>382877.32</v>
      </c>
      <c r="E12" s="110">
        <f t="shared" si="0"/>
        <v>4006165.63</v>
      </c>
    </row>
    <row r="13" spans="1:5" x14ac:dyDescent="0.25">
      <c r="A13" s="3" t="s">
        <v>11</v>
      </c>
      <c r="B13" s="136"/>
      <c r="C13" s="110"/>
    </row>
    <row r="14" spans="1:5" s="5" customFormat="1" x14ac:dyDescent="0.25">
      <c r="A14" s="5" t="s">
        <v>12</v>
      </c>
      <c r="B14" s="136"/>
      <c r="C14" s="133"/>
      <c r="D14" s="7"/>
      <c r="E14" s="110">
        <f t="shared" si="0"/>
        <v>0</v>
      </c>
    </row>
    <row r="15" spans="1:5" s="5" customFormat="1" x14ac:dyDescent="0.25">
      <c r="A15" s="5" t="s">
        <v>13</v>
      </c>
      <c r="B15" s="136">
        <v>105578.32</v>
      </c>
      <c r="C15" s="134">
        <f>(16700-34452.75)-(4257.43*0.1545)</f>
        <v>-18410.522935000001</v>
      </c>
      <c r="D15" s="7" t="s">
        <v>45</v>
      </c>
      <c r="E15" s="110">
        <f t="shared" si="0"/>
        <v>87167.797065000006</v>
      </c>
    </row>
    <row r="16" spans="1:5" s="5" customFormat="1" x14ac:dyDescent="0.25">
      <c r="A16" s="5" t="s">
        <v>14</v>
      </c>
      <c r="B16" s="136">
        <v>52543.6</v>
      </c>
      <c r="C16" s="135"/>
      <c r="D16" s="7"/>
      <c r="E16" s="110">
        <f t="shared" si="0"/>
        <v>52543.6</v>
      </c>
    </row>
    <row r="17" spans="1:5" s="5" customFormat="1" x14ac:dyDescent="0.25">
      <c r="A17" s="5" t="s">
        <v>11</v>
      </c>
      <c r="B17" s="136"/>
      <c r="C17" s="135"/>
      <c r="D17" s="7"/>
      <c r="E17" s="110">
        <f t="shared" si="0"/>
        <v>0</v>
      </c>
    </row>
    <row r="18" spans="1:5" x14ac:dyDescent="0.25">
      <c r="A18" s="3" t="s">
        <v>15</v>
      </c>
      <c r="B18" s="136">
        <f>SUM(B14:B17)</f>
        <v>158121.92000000001</v>
      </c>
      <c r="C18" s="133">
        <f>SUM(C14:C17)</f>
        <v>-18410.522935000001</v>
      </c>
      <c r="E18" s="110">
        <f t="shared" si="0"/>
        <v>139711.39706500003</v>
      </c>
    </row>
    <row r="19" spans="1:5" x14ac:dyDescent="0.25">
      <c r="A19" s="3"/>
      <c r="B19" s="136"/>
      <c r="C19" s="110"/>
      <c r="E19" s="110">
        <f t="shared" si="0"/>
        <v>0</v>
      </c>
    </row>
    <row r="20" spans="1:5" x14ac:dyDescent="0.25">
      <c r="A20" s="2" t="s">
        <v>16</v>
      </c>
      <c r="B20" s="136">
        <f>B12+B18</f>
        <v>3781410.23</v>
      </c>
      <c r="C20" s="110">
        <f>C12+C18</f>
        <v>364466.79706499999</v>
      </c>
      <c r="E20" s="110">
        <f t="shared" si="0"/>
        <v>4145877.027065</v>
      </c>
    </row>
    <row r="21" spans="1:5" x14ac:dyDescent="0.25">
      <c r="B21" s="136"/>
      <c r="C21" s="110"/>
    </row>
    <row r="22" spans="1:5" x14ac:dyDescent="0.25">
      <c r="A22" s="2" t="s">
        <v>17</v>
      </c>
      <c r="B22" s="136"/>
      <c r="C22" s="110"/>
    </row>
    <row r="23" spans="1:5" x14ac:dyDescent="0.25">
      <c r="A23" s="3" t="s">
        <v>18</v>
      </c>
      <c r="B23" s="136"/>
      <c r="C23" s="135"/>
    </row>
    <row r="24" spans="1:5" s="5" customFormat="1" x14ac:dyDescent="0.25">
      <c r="A24" s="5" t="s">
        <v>19</v>
      </c>
      <c r="B24" s="136">
        <v>877486.24</v>
      </c>
      <c r="C24" s="135">
        <f>(919074.18-22433.57)-877486.24</f>
        <v>19154.370000000112</v>
      </c>
      <c r="D24" s="7" t="s">
        <v>56</v>
      </c>
      <c r="E24" s="110">
        <f t="shared" si="0"/>
        <v>896640.6100000001</v>
      </c>
    </row>
    <row r="25" spans="1:5" s="5" customFormat="1" x14ac:dyDescent="0.25">
      <c r="A25" s="5" t="s">
        <v>20</v>
      </c>
      <c r="B25" s="136">
        <v>30000</v>
      </c>
      <c r="C25" s="135">
        <v>-6664.2</v>
      </c>
      <c r="D25" s="7" t="s">
        <v>57</v>
      </c>
      <c r="E25" s="110">
        <f t="shared" si="0"/>
        <v>23335.8</v>
      </c>
    </row>
    <row r="26" spans="1:5" s="5" customFormat="1" x14ac:dyDescent="0.25">
      <c r="A26" s="5" t="s">
        <v>21</v>
      </c>
      <c r="B26" s="136">
        <v>648235.84</v>
      </c>
      <c r="C26" s="135">
        <f>('Wage-Benefits'!AF32+'Wage-Benefits'!AG32+'Wage-Benefits'!AH32+'Wage-Benefits'!AI32+'Wage-Benefits'!AJ32+11713.09)-B26</f>
        <v>-258641.59688709874</v>
      </c>
      <c r="D26" s="7" t="s">
        <v>58</v>
      </c>
      <c r="E26" s="110">
        <f t="shared" si="0"/>
        <v>389594.24311290123</v>
      </c>
    </row>
    <row r="27" spans="1:5" s="5" customFormat="1" x14ac:dyDescent="0.25">
      <c r="A27" s="5" t="s">
        <v>22</v>
      </c>
      <c r="B27" s="136"/>
      <c r="C27" s="135"/>
      <c r="D27" s="7"/>
      <c r="E27" s="110">
        <f t="shared" si="0"/>
        <v>0</v>
      </c>
    </row>
    <row r="28" spans="1:5" s="5" customFormat="1" x14ac:dyDescent="0.25">
      <c r="A28" s="5" t="s">
        <v>23</v>
      </c>
      <c r="B28" s="136">
        <v>302100.28999999998</v>
      </c>
      <c r="C28" s="135">
        <v>-1836.45</v>
      </c>
      <c r="D28" s="7" t="s">
        <v>59</v>
      </c>
      <c r="E28" s="110">
        <f t="shared" si="0"/>
        <v>300263.83999999997</v>
      </c>
    </row>
    <row r="29" spans="1:5" s="5" customFormat="1" x14ac:dyDescent="0.25">
      <c r="A29" s="5" t="s">
        <v>24</v>
      </c>
      <c r="B29" s="136"/>
      <c r="C29" s="135"/>
      <c r="D29" s="7"/>
      <c r="E29" s="110">
        <f t="shared" si="0"/>
        <v>0</v>
      </c>
    </row>
    <row r="30" spans="1:5" s="5" customFormat="1" x14ac:dyDescent="0.25">
      <c r="A30" s="5" t="s">
        <v>25</v>
      </c>
      <c r="B30" s="136">
        <v>132583.64000000001</v>
      </c>
      <c r="C30" s="135"/>
      <c r="D30" s="7"/>
      <c r="E30" s="110">
        <f t="shared" si="0"/>
        <v>132583.64000000001</v>
      </c>
    </row>
    <row r="31" spans="1:5" s="5" customFormat="1" x14ac:dyDescent="0.25">
      <c r="A31" s="5" t="s">
        <v>26</v>
      </c>
      <c r="B31" s="136">
        <v>251394.92</v>
      </c>
      <c r="C31" s="135"/>
      <c r="D31" s="7"/>
      <c r="E31" s="110">
        <f t="shared" si="0"/>
        <v>251394.92</v>
      </c>
    </row>
    <row r="32" spans="1:5" s="5" customFormat="1" x14ac:dyDescent="0.25">
      <c r="A32" s="5" t="s">
        <v>27</v>
      </c>
      <c r="B32" s="136">
        <f>39011.12+15845.13+750+305443.45</f>
        <v>361049.7</v>
      </c>
      <c r="C32" s="135">
        <v>-49974.879999999997</v>
      </c>
      <c r="D32" s="7" t="s">
        <v>55</v>
      </c>
      <c r="E32" s="110">
        <f t="shared" si="0"/>
        <v>311074.82</v>
      </c>
    </row>
    <row r="33" spans="1:6" s="5" customFormat="1" x14ac:dyDescent="0.25">
      <c r="A33" s="5" t="s">
        <v>28</v>
      </c>
      <c r="B33" s="136">
        <v>1731.52</v>
      </c>
      <c r="C33" s="135"/>
      <c r="D33" s="7"/>
      <c r="E33" s="110">
        <f t="shared" si="0"/>
        <v>1731.52</v>
      </c>
    </row>
    <row r="34" spans="1:6" s="5" customFormat="1" x14ac:dyDescent="0.25">
      <c r="A34" s="5" t="s">
        <v>29</v>
      </c>
      <c r="B34" s="136"/>
      <c r="C34" s="135"/>
      <c r="D34" s="7"/>
      <c r="E34" s="110">
        <f t="shared" si="0"/>
        <v>0</v>
      </c>
    </row>
    <row r="35" spans="1:6" s="5" customFormat="1" x14ac:dyDescent="0.25">
      <c r="A35" s="5" t="s">
        <v>30</v>
      </c>
      <c r="B35" s="136">
        <v>86251.18</v>
      </c>
      <c r="C35" s="135"/>
      <c r="D35" s="7"/>
      <c r="E35" s="110">
        <f t="shared" si="0"/>
        <v>86251.18</v>
      </c>
    </row>
    <row r="36" spans="1:6" s="5" customFormat="1" x14ac:dyDescent="0.25">
      <c r="A36" s="5" t="s">
        <v>31</v>
      </c>
      <c r="B36" s="136">
        <f>33975.66+26835.86+8326.36</f>
        <v>69137.88</v>
      </c>
      <c r="C36" s="135">
        <f>((12986.64*0.7697)+(0.7526*35943.58))-69137.22</f>
        <v>-32090.264884000004</v>
      </c>
      <c r="D36" s="7" t="s">
        <v>53</v>
      </c>
      <c r="E36" s="110">
        <f t="shared" si="0"/>
        <v>37047.615116000001</v>
      </c>
    </row>
    <row r="37" spans="1:6" s="5" customFormat="1" x14ac:dyDescent="0.25">
      <c r="A37" s="5" t="s">
        <v>32</v>
      </c>
      <c r="B37" s="136">
        <v>9475.7800000000007</v>
      </c>
      <c r="C37" s="135">
        <f>(E20*0.002)-9476</f>
        <v>-1184.2459458699996</v>
      </c>
      <c r="D37" s="7" t="s">
        <v>54</v>
      </c>
      <c r="E37" s="110">
        <f t="shared" si="0"/>
        <v>8291.5340541300011</v>
      </c>
    </row>
    <row r="38" spans="1:6" s="5" customFormat="1" x14ac:dyDescent="0.25">
      <c r="A38" s="5" t="s">
        <v>33</v>
      </c>
      <c r="B38" s="136">
        <v>53440</v>
      </c>
      <c r="C38" s="135"/>
      <c r="D38" s="7"/>
      <c r="E38" s="110">
        <f t="shared" si="0"/>
        <v>53440</v>
      </c>
    </row>
    <row r="39" spans="1:6" s="5" customFormat="1" x14ac:dyDescent="0.25">
      <c r="A39" s="5" t="s">
        <v>34</v>
      </c>
      <c r="B39" s="136">
        <f>110012.11+6096.66</f>
        <v>116108.77</v>
      </c>
      <c r="C39" s="135">
        <v>-2082.29</v>
      </c>
      <c r="D39" s="7" t="s">
        <v>77</v>
      </c>
      <c r="E39" s="110">
        <f t="shared" si="0"/>
        <v>114026.48000000001</v>
      </c>
      <c r="F39" s="42"/>
    </row>
    <row r="40" spans="1:6" x14ac:dyDescent="0.25">
      <c r="A40" s="3" t="s">
        <v>35</v>
      </c>
      <c r="B40" s="136">
        <f>SUM(B24:B39)</f>
        <v>2938995.7600000002</v>
      </c>
      <c r="C40" s="136">
        <f>SUM(C24:C39)</f>
        <v>-333319.55771696864</v>
      </c>
      <c r="E40" s="110">
        <f>SUM(E24:E39)</f>
        <v>2605676.2022830313</v>
      </c>
    </row>
    <row r="41" spans="1:6" x14ac:dyDescent="0.25">
      <c r="A41" s="3" t="s">
        <v>36</v>
      </c>
      <c r="B41" s="136">
        <v>1092601</v>
      </c>
      <c r="C41" s="121">
        <f>-162262.51-1775.92</f>
        <v>-164038.43000000002</v>
      </c>
      <c r="D41" s="7" t="s">
        <v>60</v>
      </c>
      <c r="E41" s="110">
        <f t="shared" si="0"/>
        <v>928562.57</v>
      </c>
    </row>
    <row r="42" spans="1:6" x14ac:dyDescent="0.25">
      <c r="A42" s="3" t="s">
        <v>37</v>
      </c>
      <c r="B42" s="136">
        <v>43068.84</v>
      </c>
      <c r="C42" s="110"/>
      <c r="E42" s="110">
        <f t="shared" si="0"/>
        <v>43068.84</v>
      </c>
    </row>
    <row r="43" spans="1:6" x14ac:dyDescent="0.25">
      <c r="A43" s="3" t="s">
        <v>38</v>
      </c>
      <c r="B43" s="136">
        <v>75522.64</v>
      </c>
      <c r="C43" s="110">
        <f>('Wage-Benefits'!AE32+(0.0765*23335.8))-B43</f>
        <v>-3428.2761586810811</v>
      </c>
      <c r="D43" s="7" t="s">
        <v>432</v>
      </c>
      <c r="E43" s="110">
        <f t="shared" si="0"/>
        <v>72094.363841318918</v>
      </c>
    </row>
    <row r="44" spans="1:6" x14ac:dyDescent="0.25">
      <c r="A44" s="3" t="s">
        <v>39</v>
      </c>
      <c r="B44" s="136"/>
      <c r="C44" s="110"/>
      <c r="E44" s="110">
        <f t="shared" si="0"/>
        <v>0</v>
      </c>
    </row>
    <row r="45" spans="1:6" x14ac:dyDescent="0.25">
      <c r="B45" s="136"/>
      <c r="C45" s="110"/>
    </row>
    <row r="46" spans="1:6" x14ac:dyDescent="0.25">
      <c r="A46" s="2" t="s">
        <v>40</v>
      </c>
      <c r="B46" s="136">
        <f>SUM(B40:B44)</f>
        <v>4150188.24</v>
      </c>
      <c r="C46" s="136">
        <f>SUM(C40:C44)</f>
        <v>-500786.26387564972</v>
      </c>
      <c r="E46" s="110">
        <f>SUM(E40:E44)</f>
        <v>3649401.97612435</v>
      </c>
    </row>
    <row r="47" spans="1:6" x14ac:dyDescent="0.25">
      <c r="B47" s="136"/>
      <c r="C47" s="110"/>
    </row>
    <row r="48" spans="1:6" x14ac:dyDescent="0.25">
      <c r="A48" s="2" t="s">
        <v>41</v>
      </c>
      <c r="B48" s="136">
        <f>B20-B46</f>
        <v>-368778.01000000024</v>
      </c>
      <c r="C48" s="136">
        <f>C20-C46</f>
        <v>865253.06094064971</v>
      </c>
      <c r="E48" s="110">
        <f>E20-E46</f>
        <v>496475.05094065005</v>
      </c>
    </row>
  </sheetData>
  <mergeCells count="2">
    <mergeCell ref="A1:E1"/>
    <mergeCell ref="A2:E2"/>
  </mergeCells>
  <pageMargins left="0.7" right="0.7" top="0.75" bottom="0.75" header="0.3" footer="0.3"/>
  <pageSetup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0F575-1B91-45E0-8A8C-CEDDE2AEE334}">
  <dimension ref="A1:N124"/>
  <sheetViews>
    <sheetView topLeftCell="A97" zoomScaleNormal="100" workbookViewId="0">
      <selection activeCell="E120" sqref="E120"/>
    </sheetView>
  </sheetViews>
  <sheetFormatPr defaultRowHeight="15" x14ac:dyDescent="0.25"/>
  <cols>
    <col min="1" max="1" width="25.5703125" style="16" customWidth="1"/>
    <col min="2" max="2" width="22.5703125" style="16" customWidth="1"/>
    <col min="3" max="3" width="14.28515625" style="16" bestFit="1" customWidth="1"/>
    <col min="4" max="4" width="15" style="16" customWidth="1"/>
    <col min="5" max="5" width="14.28515625" style="16" bestFit="1" customWidth="1"/>
    <col min="6" max="6" width="19" style="16" customWidth="1"/>
    <col min="7" max="9" width="13.28515625" style="16" bestFit="1" customWidth="1"/>
    <col min="10" max="11" width="12.85546875" style="16" customWidth="1"/>
    <col min="12" max="12" width="11.28515625" style="16" customWidth="1"/>
    <col min="13" max="13" width="11.7109375" style="16" customWidth="1"/>
    <col min="14" max="14" width="27.140625" style="16" customWidth="1"/>
    <col min="15" max="16384" width="9.140625" style="16"/>
  </cols>
  <sheetData>
    <row r="1" spans="1:13" x14ac:dyDescent="0.25">
      <c r="A1" s="149" t="s">
        <v>157</v>
      </c>
      <c r="B1" s="149" t="s">
        <v>158</v>
      </c>
      <c r="C1" s="149" t="s">
        <v>171</v>
      </c>
    </row>
    <row r="2" spans="1:13" x14ac:dyDescent="0.25">
      <c r="A2" s="16" t="s">
        <v>159</v>
      </c>
      <c r="B2" s="74">
        <v>30268400</v>
      </c>
      <c r="C2" s="74">
        <v>6159</v>
      </c>
    </row>
    <row r="3" spans="1:13" x14ac:dyDescent="0.25">
      <c r="A3" s="16" t="s">
        <v>160</v>
      </c>
      <c r="B3" s="74">
        <v>27925900</v>
      </c>
      <c r="C3" s="74">
        <v>6153</v>
      </c>
    </row>
    <row r="4" spans="1:13" x14ac:dyDescent="0.25">
      <c r="A4" s="16" t="s">
        <v>161</v>
      </c>
      <c r="B4" s="74">
        <v>30236000</v>
      </c>
      <c r="C4" s="74">
        <v>6139</v>
      </c>
    </row>
    <row r="5" spans="1:13" x14ac:dyDescent="0.25">
      <c r="A5" s="16" t="s">
        <v>162</v>
      </c>
      <c r="B5" s="74">
        <v>26744700</v>
      </c>
      <c r="C5" s="74">
        <v>6138</v>
      </c>
    </row>
    <row r="6" spans="1:13" x14ac:dyDescent="0.25">
      <c r="A6" s="16" t="s">
        <v>163</v>
      </c>
      <c r="B6" s="74">
        <v>29854500</v>
      </c>
      <c r="C6" s="74">
        <v>6155</v>
      </c>
    </row>
    <row r="7" spans="1:13" x14ac:dyDescent="0.25">
      <c r="A7" s="16" t="s">
        <v>164</v>
      </c>
      <c r="B7" s="74">
        <v>35014000</v>
      </c>
      <c r="C7" s="74">
        <v>6181</v>
      </c>
    </row>
    <row r="8" spans="1:13" x14ac:dyDescent="0.25">
      <c r="A8" s="16" t="s">
        <v>165</v>
      </c>
      <c r="B8" s="74">
        <v>39010700</v>
      </c>
      <c r="C8" s="74">
        <v>6214</v>
      </c>
    </row>
    <row r="9" spans="1:13" x14ac:dyDescent="0.25">
      <c r="A9" s="16" t="s">
        <v>166</v>
      </c>
      <c r="B9" s="74">
        <v>38854000</v>
      </c>
      <c r="C9" s="74">
        <v>6224</v>
      </c>
    </row>
    <row r="10" spans="1:13" x14ac:dyDescent="0.25">
      <c r="A10" s="16" t="s">
        <v>167</v>
      </c>
      <c r="B10" s="74">
        <v>35712800</v>
      </c>
      <c r="C10" s="74">
        <v>6235</v>
      </c>
    </row>
    <row r="11" spans="1:13" x14ac:dyDescent="0.25">
      <c r="A11" s="16" t="s">
        <v>168</v>
      </c>
      <c r="B11" s="74">
        <v>34623100</v>
      </c>
      <c r="C11" s="74">
        <v>6237</v>
      </c>
    </row>
    <row r="12" spans="1:13" x14ac:dyDescent="0.25">
      <c r="A12" s="16" t="s">
        <v>169</v>
      </c>
      <c r="B12" s="74">
        <v>32336000</v>
      </c>
      <c r="C12" s="74">
        <v>6234</v>
      </c>
    </row>
    <row r="13" spans="1:13" x14ac:dyDescent="0.25">
      <c r="A13" s="16" t="s">
        <v>170</v>
      </c>
      <c r="B13" s="74">
        <v>37179600</v>
      </c>
      <c r="C13" s="74">
        <v>6239</v>
      </c>
    </row>
    <row r="14" spans="1:13" x14ac:dyDescent="0.25">
      <c r="B14" s="75">
        <f>SUM(B2:B13)</f>
        <v>397759700</v>
      </c>
      <c r="C14" s="74">
        <f>SUM(C2:C13)</f>
        <v>74308</v>
      </c>
    </row>
    <row r="15" spans="1:13" x14ac:dyDescent="0.25">
      <c r="B15" s="75"/>
      <c r="C15" s="74"/>
    </row>
    <row r="16" spans="1:13" x14ac:dyDescent="0.25">
      <c r="B16" s="155" t="s">
        <v>181</v>
      </c>
      <c r="C16" s="155"/>
      <c r="D16" s="155"/>
      <c r="E16" s="155"/>
      <c r="F16" s="155"/>
      <c r="G16" s="155"/>
      <c r="H16" s="155"/>
      <c r="I16" s="155"/>
      <c r="J16" s="155"/>
      <c r="K16" s="155"/>
      <c r="L16" s="155"/>
      <c r="M16" s="155"/>
    </row>
    <row r="17" spans="1:14" x14ac:dyDescent="0.25">
      <c r="B17" s="149" t="s">
        <v>159</v>
      </c>
      <c r="C17" s="149" t="s">
        <v>160</v>
      </c>
      <c r="D17" s="149" t="s">
        <v>161</v>
      </c>
      <c r="E17" s="149" t="s">
        <v>162</v>
      </c>
      <c r="F17" s="149" t="s">
        <v>163</v>
      </c>
      <c r="G17" s="149" t="s">
        <v>164</v>
      </c>
      <c r="H17" s="149" t="s">
        <v>165</v>
      </c>
      <c r="I17" s="149" t="s">
        <v>166</v>
      </c>
      <c r="J17" s="149" t="s">
        <v>167</v>
      </c>
      <c r="K17" s="149" t="s">
        <v>168</v>
      </c>
      <c r="L17" s="149" t="s">
        <v>169</v>
      </c>
      <c r="M17" s="149" t="s">
        <v>170</v>
      </c>
    </row>
    <row r="18" spans="1:14" x14ac:dyDescent="0.25">
      <c r="A18" s="16" t="s">
        <v>172</v>
      </c>
      <c r="B18" s="74">
        <v>2062900</v>
      </c>
      <c r="C18" s="74">
        <v>2382700</v>
      </c>
      <c r="D18" s="74">
        <v>2159000</v>
      </c>
      <c r="E18" s="74">
        <v>2529200</v>
      </c>
      <c r="F18" s="74">
        <v>2016100</v>
      </c>
      <c r="G18" s="74">
        <v>2071000</v>
      </c>
      <c r="H18" s="74">
        <v>1901000</v>
      </c>
      <c r="I18" s="74">
        <v>1934300</v>
      </c>
      <c r="J18" s="74">
        <v>2162100</v>
      </c>
      <c r="K18" s="74">
        <v>2085000</v>
      </c>
      <c r="L18" s="74">
        <v>2389500</v>
      </c>
      <c r="M18" s="74">
        <v>1792600</v>
      </c>
      <c r="N18" s="75">
        <f>SUM(B18:M18)</f>
        <v>25485400</v>
      </c>
    </row>
    <row r="19" spans="1:14" x14ac:dyDescent="0.25">
      <c r="A19" s="16" t="s">
        <v>173</v>
      </c>
      <c r="B19" s="75">
        <f>B2-B18</f>
        <v>28205500</v>
      </c>
      <c r="C19" s="75">
        <f>B3-C18</f>
        <v>25543200</v>
      </c>
      <c r="D19" s="75">
        <f>B4-D18</f>
        <v>28077000</v>
      </c>
      <c r="E19" s="75">
        <f>B5-E18</f>
        <v>24215500</v>
      </c>
      <c r="F19" s="75">
        <f>B6-F18</f>
        <v>27838400</v>
      </c>
      <c r="G19" s="75">
        <f>B7-G18</f>
        <v>32943000</v>
      </c>
      <c r="H19" s="75">
        <f>B8-H18</f>
        <v>37109700</v>
      </c>
      <c r="I19" s="75">
        <f>B9-I18</f>
        <v>36919700</v>
      </c>
      <c r="J19" s="75">
        <f>B10-J18</f>
        <v>33550700</v>
      </c>
      <c r="K19" s="75">
        <f>B11-K18</f>
        <v>32538100</v>
      </c>
      <c r="L19" s="75">
        <f>B12-L18</f>
        <v>29946500</v>
      </c>
      <c r="M19" s="75">
        <f>B13-M18</f>
        <v>35387000</v>
      </c>
      <c r="N19" s="75">
        <f>SUM(B19:M19)</f>
        <v>372274300</v>
      </c>
    </row>
    <row r="21" spans="1:14" x14ac:dyDescent="0.25">
      <c r="A21" s="16" t="s">
        <v>174</v>
      </c>
      <c r="B21" s="74">
        <v>5250200</v>
      </c>
      <c r="C21" s="74">
        <v>4996300</v>
      </c>
      <c r="D21" s="74">
        <v>5312700</v>
      </c>
      <c r="E21" s="74">
        <v>4858300</v>
      </c>
      <c r="F21" s="74">
        <v>4615500</v>
      </c>
      <c r="G21" s="74">
        <v>5739000</v>
      </c>
      <c r="H21" s="74">
        <v>6426200</v>
      </c>
      <c r="I21" s="74">
        <v>6762200</v>
      </c>
      <c r="J21" s="74">
        <v>5799500</v>
      </c>
      <c r="K21" s="74">
        <v>5807700</v>
      </c>
      <c r="L21" s="74">
        <v>7139200</v>
      </c>
      <c r="M21" s="74">
        <v>7534800</v>
      </c>
      <c r="N21" s="75">
        <f t="shared" ref="N21:N26" si="0">SUM(B21:M21)</f>
        <v>70241600</v>
      </c>
    </row>
    <row r="22" spans="1:14" x14ac:dyDescent="0.25">
      <c r="A22" s="16" t="s">
        <v>175</v>
      </c>
      <c r="B22" s="74">
        <v>709500</v>
      </c>
      <c r="C22" s="74">
        <v>504400</v>
      </c>
      <c r="D22" s="74">
        <v>574400</v>
      </c>
      <c r="E22" s="74">
        <v>591300</v>
      </c>
      <c r="F22" s="74">
        <v>506500</v>
      </c>
      <c r="G22" s="74">
        <v>659800</v>
      </c>
      <c r="H22" s="74">
        <v>1091800</v>
      </c>
      <c r="I22" s="74">
        <v>1268500</v>
      </c>
      <c r="J22" s="74">
        <v>1243500</v>
      </c>
      <c r="K22" s="74">
        <v>828900</v>
      </c>
      <c r="L22" s="74">
        <v>679600</v>
      </c>
      <c r="M22" s="74">
        <v>818300</v>
      </c>
      <c r="N22" s="75">
        <f t="shared" si="0"/>
        <v>9476500</v>
      </c>
    </row>
    <row r="23" spans="1:14" x14ac:dyDescent="0.25">
      <c r="A23" s="16" t="s">
        <v>176</v>
      </c>
      <c r="B23" s="74">
        <v>777400</v>
      </c>
      <c r="C23" s="74">
        <v>833400</v>
      </c>
      <c r="D23" s="74">
        <v>956600</v>
      </c>
      <c r="E23" s="74">
        <v>632600</v>
      </c>
      <c r="F23" s="74">
        <v>647400</v>
      </c>
      <c r="G23" s="74">
        <v>784100</v>
      </c>
      <c r="H23" s="74">
        <v>752700</v>
      </c>
      <c r="I23" s="74">
        <v>669500</v>
      </c>
      <c r="J23" s="74">
        <v>831200</v>
      </c>
      <c r="K23" s="74">
        <v>839400</v>
      </c>
      <c r="L23" s="74">
        <v>1156000</v>
      </c>
      <c r="M23" s="74">
        <v>1249600</v>
      </c>
      <c r="N23" s="75">
        <f t="shared" si="0"/>
        <v>10129900</v>
      </c>
    </row>
    <row r="24" spans="1:14" x14ac:dyDescent="0.25">
      <c r="A24" s="16" t="s">
        <v>209</v>
      </c>
      <c r="B24" s="16">
        <v>209900</v>
      </c>
      <c r="C24" s="16">
        <v>178400</v>
      </c>
      <c r="D24" s="16">
        <v>177800</v>
      </c>
      <c r="E24" s="16">
        <v>187000</v>
      </c>
      <c r="F24" s="16">
        <v>178900</v>
      </c>
      <c r="G24" s="16">
        <v>208100</v>
      </c>
      <c r="H24" s="16">
        <v>224900</v>
      </c>
      <c r="I24" s="16">
        <v>355500</v>
      </c>
      <c r="J24" s="16">
        <v>384300</v>
      </c>
      <c r="K24" s="16">
        <v>286300</v>
      </c>
      <c r="L24" s="16">
        <v>196800</v>
      </c>
      <c r="M24" s="16">
        <v>261900</v>
      </c>
      <c r="N24" s="75">
        <f t="shared" si="0"/>
        <v>2849800</v>
      </c>
    </row>
    <row r="25" spans="1:14" x14ac:dyDescent="0.25">
      <c r="A25" s="16" t="s">
        <v>210</v>
      </c>
      <c r="B25" s="29">
        <v>49400</v>
      </c>
      <c r="C25" s="74">
        <v>271500</v>
      </c>
      <c r="D25" s="74">
        <v>422700</v>
      </c>
      <c r="E25" s="74">
        <v>397500</v>
      </c>
      <c r="F25" s="74">
        <v>400300</v>
      </c>
      <c r="G25" s="74">
        <v>505800</v>
      </c>
      <c r="H25" s="74">
        <v>696200</v>
      </c>
      <c r="I25" s="74">
        <v>570700</v>
      </c>
      <c r="J25" s="74">
        <v>521600</v>
      </c>
      <c r="K25" s="74">
        <v>930700</v>
      </c>
      <c r="L25" s="74">
        <v>501900</v>
      </c>
      <c r="M25" s="74">
        <v>429800</v>
      </c>
      <c r="N25" s="75">
        <f t="shared" si="0"/>
        <v>5698100</v>
      </c>
    </row>
    <row r="26" spans="1:14" x14ac:dyDescent="0.25">
      <c r="A26" s="16" t="s">
        <v>179</v>
      </c>
      <c r="B26" s="74">
        <v>443900</v>
      </c>
      <c r="C26" s="74">
        <v>642100</v>
      </c>
      <c r="D26" s="74">
        <v>584500</v>
      </c>
      <c r="E26" s="74">
        <v>373800</v>
      </c>
      <c r="F26" s="74">
        <v>361200</v>
      </c>
      <c r="G26" s="74">
        <v>359300</v>
      </c>
      <c r="H26" s="74">
        <v>297200</v>
      </c>
      <c r="I26" s="74">
        <v>257300</v>
      </c>
      <c r="J26" s="74">
        <v>208900</v>
      </c>
      <c r="K26" s="74">
        <v>155900</v>
      </c>
      <c r="L26" s="74">
        <v>290900</v>
      </c>
      <c r="M26" s="74">
        <v>353500</v>
      </c>
      <c r="N26" s="75">
        <f t="shared" si="0"/>
        <v>4328500</v>
      </c>
    </row>
    <row r="27" spans="1:14" x14ac:dyDescent="0.25">
      <c r="A27" s="16" t="s">
        <v>66</v>
      </c>
      <c r="B27" s="75">
        <f>SUM(B21:B26)</f>
        <v>7440300</v>
      </c>
      <c r="C27" s="75">
        <f t="shared" ref="C27:N27" si="1">SUM(C21:C26)</f>
        <v>7426100</v>
      </c>
      <c r="D27" s="75">
        <f t="shared" si="1"/>
        <v>8028700</v>
      </c>
      <c r="E27" s="75">
        <f t="shared" si="1"/>
        <v>7040500</v>
      </c>
      <c r="F27" s="75">
        <f t="shared" si="1"/>
        <v>6709800</v>
      </c>
      <c r="G27" s="75">
        <f t="shared" si="1"/>
        <v>8256100</v>
      </c>
      <c r="H27" s="75">
        <f t="shared" si="1"/>
        <v>9489000</v>
      </c>
      <c r="I27" s="75">
        <f t="shared" si="1"/>
        <v>9883700</v>
      </c>
      <c r="J27" s="75">
        <f t="shared" si="1"/>
        <v>8989000</v>
      </c>
      <c r="K27" s="75">
        <f t="shared" si="1"/>
        <v>8848900</v>
      </c>
      <c r="L27" s="75">
        <f t="shared" si="1"/>
        <v>9964400</v>
      </c>
      <c r="M27" s="75">
        <f t="shared" si="1"/>
        <v>10647900</v>
      </c>
      <c r="N27" s="75">
        <f t="shared" si="1"/>
        <v>102724400</v>
      </c>
    </row>
    <row r="28" spans="1:14" x14ac:dyDescent="0.25">
      <c r="B28" s="75"/>
      <c r="C28" s="75"/>
      <c r="D28" s="75"/>
      <c r="E28" s="75"/>
      <c r="F28" s="75"/>
      <c r="G28" s="75"/>
      <c r="H28" s="75"/>
      <c r="I28" s="75"/>
      <c r="J28" s="75"/>
      <c r="K28" s="75"/>
      <c r="L28" s="75"/>
      <c r="M28" s="75"/>
      <c r="N28" s="75"/>
    </row>
    <row r="29" spans="1:14" x14ac:dyDescent="0.25">
      <c r="B29" s="75"/>
      <c r="C29" s="75"/>
      <c r="D29" s="75"/>
      <c r="E29" s="75"/>
      <c r="F29" s="75"/>
      <c r="G29" s="75"/>
      <c r="H29" s="75"/>
      <c r="I29" s="75"/>
      <c r="J29" s="75"/>
      <c r="K29" s="75"/>
      <c r="L29" s="75"/>
      <c r="M29" s="75"/>
      <c r="N29" s="75"/>
    </row>
    <row r="30" spans="1:14" x14ac:dyDescent="0.25">
      <c r="B30" s="155" t="s">
        <v>180</v>
      </c>
      <c r="C30" s="155"/>
      <c r="D30" s="155"/>
      <c r="E30" s="155"/>
      <c r="F30" s="155"/>
      <c r="G30" s="155"/>
      <c r="H30" s="155"/>
      <c r="I30" s="155"/>
      <c r="J30" s="155"/>
      <c r="K30" s="155"/>
      <c r="L30" s="155"/>
      <c r="M30" s="155"/>
    </row>
    <row r="31" spans="1:14" x14ac:dyDescent="0.25">
      <c r="B31" s="149" t="s">
        <v>159</v>
      </c>
      <c r="C31" s="149" t="s">
        <v>160</v>
      </c>
      <c r="D31" s="149" t="s">
        <v>161</v>
      </c>
      <c r="E31" s="149" t="s">
        <v>162</v>
      </c>
      <c r="F31" s="149" t="s">
        <v>163</v>
      </c>
      <c r="G31" s="149" t="s">
        <v>164</v>
      </c>
      <c r="H31" s="149" t="s">
        <v>165</v>
      </c>
      <c r="I31" s="149" t="s">
        <v>166</v>
      </c>
      <c r="J31" s="149" t="s">
        <v>167</v>
      </c>
      <c r="K31" s="149" t="s">
        <v>168</v>
      </c>
      <c r="L31" s="149" t="s">
        <v>169</v>
      </c>
      <c r="M31" s="149" t="s">
        <v>170</v>
      </c>
    </row>
    <row r="32" spans="1:14" x14ac:dyDescent="0.25">
      <c r="A32" s="16" t="s">
        <v>172</v>
      </c>
      <c r="B32" s="74">
        <v>2167</v>
      </c>
      <c r="C32" s="74">
        <v>2478</v>
      </c>
      <c r="D32" s="74">
        <v>2242</v>
      </c>
      <c r="E32" s="74">
        <v>2557</v>
      </c>
      <c r="F32" s="74">
        <v>2281</v>
      </c>
      <c r="G32" s="74">
        <v>2136</v>
      </c>
      <c r="H32" s="74">
        <v>1962</v>
      </c>
      <c r="I32" s="74">
        <v>1943</v>
      </c>
      <c r="J32" s="74">
        <v>2160</v>
      </c>
      <c r="K32" s="74">
        <v>2118</v>
      </c>
      <c r="L32" s="74">
        <v>2399</v>
      </c>
      <c r="M32" s="74">
        <v>1909</v>
      </c>
      <c r="N32" s="75">
        <f>SUM(B32:M32)</f>
        <v>26352</v>
      </c>
    </row>
    <row r="33" spans="1:14" x14ac:dyDescent="0.25">
      <c r="A33" s="16" t="s">
        <v>173</v>
      </c>
      <c r="B33" s="75">
        <f>C2-B32</f>
        <v>3992</v>
      </c>
      <c r="C33" s="75">
        <f>C3-C32</f>
        <v>3675</v>
      </c>
      <c r="D33" s="75">
        <f>C4-D32</f>
        <v>3897</v>
      </c>
      <c r="E33" s="75">
        <f>C5-E32</f>
        <v>3581</v>
      </c>
      <c r="F33" s="75">
        <f>C6-F32</f>
        <v>3874</v>
      </c>
      <c r="G33" s="75">
        <f>C7-G32</f>
        <v>4045</v>
      </c>
      <c r="H33" s="75">
        <f>C8-H32</f>
        <v>4252</v>
      </c>
      <c r="I33" s="75">
        <f>C9-I32</f>
        <v>4281</v>
      </c>
      <c r="J33" s="75">
        <f>C10-J32</f>
        <v>4075</v>
      </c>
      <c r="K33" s="75">
        <f>C11-K32</f>
        <v>4119</v>
      </c>
      <c r="L33" s="75">
        <f>C12-L32</f>
        <v>3835</v>
      </c>
      <c r="M33" s="75">
        <f>C13-M32</f>
        <v>4330</v>
      </c>
      <c r="N33" s="75">
        <f>SUM(B33:M33)</f>
        <v>47956</v>
      </c>
    </row>
    <row r="36" spans="1:14" x14ac:dyDescent="0.25">
      <c r="A36" s="161" t="s">
        <v>185</v>
      </c>
      <c r="B36" s="161"/>
      <c r="C36" s="161"/>
      <c r="D36" s="161"/>
      <c r="E36" s="161"/>
      <c r="F36" s="161"/>
    </row>
    <row r="37" spans="1:14" x14ac:dyDescent="0.25">
      <c r="B37" s="149" t="s">
        <v>171</v>
      </c>
      <c r="C37" s="149" t="s">
        <v>182</v>
      </c>
      <c r="D37" s="149" t="s">
        <v>183</v>
      </c>
      <c r="E37" s="149" t="s">
        <v>66</v>
      </c>
    </row>
    <row r="38" spans="1:14" x14ac:dyDescent="0.25">
      <c r="A38" s="16" t="s">
        <v>172</v>
      </c>
      <c r="B38" s="75">
        <f>N32</f>
        <v>26352</v>
      </c>
      <c r="C38" s="75">
        <f>N18</f>
        <v>25485400</v>
      </c>
      <c r="D38" s="75"/>
      <c r="E38" s="75">
        <f>C38</f>
        <v>25485400</v>
      </c>
    </row>
    <row r="39" spans="1:14" x14ac:dyDescent="0.25">
      <c r="A39" s="16" t="s">
        <v>173</v>
      </c>
      <c r="B39" s="74">
        <f>N33-(6*12)</f>
        <v>47884</v>
      </c>
      <c r="C39" s="74">
        <f>B39*2000</f>
        <v>95768000</v>
      </c>
      <c r="D39" s="75">
        <f>N19-(N27+C39)</f>
        <v>173781900</v>
      </c>
      <c r="E39" s="75">
        <f>C39+D39</f>
        <v>269549900</v>
      </c>
    </row>
    <row r="40" spans="1:14" x14ac:dyDescent="0.25">
      <c r="B40" s="74">
        <f>SUM(B38:B39)</f>
        <v>74236</v>
      </c>
      <c r="C40" s="74">
        <f>SUM(C38:C39)</f>
        <v>121253400</v>
      </c>
      <c r="D40" s="75"/>
      <c r="E40" s="75">
        <f>SUM(E38:E39)</f>
        <v>295035300</v>
      </c>
    </row>
    <row r="41" spans="1:14" x14ac:dyDescent="0.25">
      <c r="D41" s="75"/>
      <c r="F41" s="75"/>
    </row>
    <row r="42" spans="1:14" x14ac:dyDescent="0.25">
      <c r="A42" s="161" t="s">
        <v>186</v>
      </c>
      <c r="B42" s="161"/>
      <c r="C42" s="161"/>
      <c r="D42" s="161"/>
      <c r="E42" s="161"/>
      <c r="F42" s="149"/>
    </row>
    <row r="43" spans="1:14" x14ac:dyDescent="0.25">
      <c r="B43" s="149" t="s">
        <v>171</v>
      </c>
      <c r="C43" s="149" t="s">
        <v>182</v>
      </c>
      <c r="D43" s="149"/>
      <c r="E43" s="149" t="s">
        <v>66</v>
      </c>
      <c r="F43" s="150"/>
    </row>
    <row r="44" spans="1:14" x14ac:dyDescent="0.25">
      <c r="A44" s="16" t="s">
        <v>176</v>
      </c>
      <c r="B44" s="150">
        <v>12</v>
      </c>
      <c r="C44" s="75">
        <f>N23</f>
        <v>10129900</v>
      </c>
      <c r="D44" s="75"/>
      <c r="F44" s="75"/>
    </row>
    <row r="45" spans="1:14" x14ac:dyDescent="0.25">
      <c r="A45" s="16" t="s">
        <v>177</v>
      </c>
      <c r="B45" s="150">
        <v>24</v>
      </c>
      <c r="C45" s="75">
        <f>N24</f>
        <v>2849800</v>
      </c>
      <c r="E45" s="75"/>
      <c r="F45" s="75"/>
    </row>
    <row r="46" spans="1:14" x14ac:dyDescent="0.25">
      <c r="A46" s="16" t="s">
        <v>178</v>
      </c>
      <c r="B46" s="150">
        <v>24</v>
      </c>
      <c r="C46" s="75">
        <f>N25</f>
        <v>5698100</v>
      </c>
      <c r="F46" s="75"/>
    </row>
    <row r="47" spans="1:14" x14ac:dyDescent="0.25">
      <c r="A47" s="16" t="s">
        <v>179</v>
      </c>
      <c r="B47" s="150">
        <v>12</v>
      </c>
      <c r="C47" s="75">
        <f>N26</f>
        <v>4328500</v>
      </c>
    </row>
    <row r="48" spans="1:14" x14ac:dyDescent="0.25">
      <c r="A48" s="16" t="s">
        <v>66</v>
      </c>
      <c r="B48" s="150">
        <f>SUM(B44:B47)</f>
        <v>72</v>
      </c>
      <c r="C48" s="75">
        <f>SUM(C44:C47)</f>
        <v>23006300</v>
      </c>
      <c r="E48" s="75">
        <f>SUM(C44:C47)</f>
        <v>23006300</v>
      </c>
    </row>
    <row r="49" spans="1:6" x14ac:dyDescent="0.25">
      <c r="E49" s="75"/>
    </row>
    <row r="50" spans="1:6" x14ac:dyDescent="0.25">
      <c r="A50" s="161" t="s">
        <v>187</v>
      </c>
      <c r="B50" s="163"/>
      <c r="C50" s="163"/>
      <c r="D50" s="163"/>
      <c r="E50" s="163"/>
      <c r="F50" s="163"/>
    </row>
    <row r="51" spans="1:6" x14ac:dyDescent="0.25">
      <c r="B51" s="149" t="s">
        <v>171</v>
      </c>
      <c r="C51" s="149" t="s">
        <v>189</v>
      </c>
      <c r="D51" s="149" t="s">
        <v>190</v>
      </c>
      <c r="E51" s="149" t="s">
        <v>66</v>
      </c>
    </row>
    <row r="52" spans="1:6" x14ac:dyDescent="0.25">
      <c r="A52" s="16" t="s">
        <v>188</v>
      </c>
      <c r="B52" s="150">
        <v>4</v>
      </c>
      <c r="C52" s="74">
        <f>(4*600000)+D70</f>
        <v>2176600</v>
      </c>
      <c r="D52" s="74"/>
      <c r="E52" s="74">
        <f>C52</f>
        <v>2176600</v>
      </c>
    </row>
    <row r="53" spans="1:6" x14ac:dyDescent="0.25">
      <c r="A53" s="16" t="s">
        <v>206</v>
      </c>
      <c r="B53" s="150">
        <v>8</v>
      </c>
      <c r="C53" s="74">
        <f>8*600000</f>
        <v>4800000</v>
      </c>
      <c r="D53" s="74">
        <f>C70</f>
        <v>2499900</v>
      </c>
      <c r="E53" s="74">
        <f>C53+D53</f>
        <v>7299900</v>
      </c>
    </row>
    <row r="54" spans="1:6" x14ac:dyDescent="0.25">
      <c r="A54" s="16" t="s">
        <v>66</v>
      </c>
      <c r="B54" s="150">
        <f>SUM(B52:B53)</f>
        <v>12</v>
      </c>
      <c r="C54" s="74">
        <f>SUM(C52:C53)</f>
        <v>6976600</v>
      </c>
      <c r="D54" s="74">
        <f>SUM(D53)</f>
        <v>2499900</v>
      </c>
      <c r="E54" s="74">
        <f>SUM(E52:E53)</f>
        <v>9476500</v>
      </c>
    </row>
    <row r="57" spans="1:6" x14ac:dyDescent="0.25">
      <c r="A57" s="149" t="s">
        <v>197</v>
      </c>
      <c r="B57" s="149" t="s">
        <v>193</v>
      </c>
      <c r="C57" s="149" t="s">
        <v>191</v>
      </c>
      <c r="D57" s="149" t="s">
        <v>192</v>
      </c>
    </row>
    <row r="58" spans="1:6" x14ac:dyDescent="0.25">
      <c r="A58" s="16" t="s">
        <v>159</v>
      </c>
      <c r="B58" s="74">
        <v>709500</v>
      </c>
      <c r="C58" s="16">
        <f>IF((B58-600000)&lt;0,0,(B58-600000))</f>
        <v>109500</v>
      </c>
      <c r="D58" s="16">
        <f>IF((B58-600000)&gt;0,0,(B58-600000))</f>
        <v>0</v>
      </c>
    </row>
    <row r="59" spans="1:6" x14ac:dyDescent="0.25">
      <c r="A59" s="16" t="s">
        <v>160</v>
      </c>
      <c r="B59" s="74">
        <v>504400</v>
      </c>
      <c r="C59" s="16">
        <f t="shared" ref="C59:C69" si="2">IF((B59-600000)&lt;0,0,(B59-600000))</f>
        <v>0</v>
      </c>
      <c r="D59" s="16">
        <f t="shared" ref="D59:D69" si="3">IF((B59-600000)&gt;0,0,(B59-600000))</f>
        <v>-95600</v>
      </c>
    </row>
    <row r="60" spans="1:6" x14ac:dyDescent="0.25">
      <c r="A60" s="16" t="s">
        <v>161</v>
      </c>
      <c r="B60" s="74">
        <v>574400</v>
      </c>
      <c r="C60" s="16">
        <f t="shared" si="2"/>
        <v>0</v>
      </c>
      <c r="D60" s="16">
        <f t="shared" si="3"/>
        <v>-25600</v>
      </c>
    </row>
    <row r="61" spans="1:6" x14ac:dyDescent="0.25">
      <c r="A61" s="16" t="s">
        <v>162</v>
      </c>
      <c r="B61" s="74">
        <v>591300</v>
      </c>
      <c r="C61" s="16">
        <f t="shared" si="2"/>
        <v>0</v>
      </c>
      <c r="D61" s="16">
        <f t="shared" si="3"/>
        <v>-8700</v>
      </c>
    </row>
    <row r="62" spans="1:6" x14ac:dyDescent="0.25">
      <c r="A62" s="16" t="s">
        <v>163</v>
      </c>
      <c r="B62" s="74">
        <v>506500</v>
      </c>
      <c r="C62" s="16">
        <f t="shared" si="2"/>
        <v>0</v>
      </c>
      <c r="D62" s="16">
        <f t="shared" si="3"/>
        <v>-93500</v>
      </c>
    </row>
    <row r="63" spans="1:6" x14ac:dyDescent="0.25">
      <c r="A63" s="16" t="s">
        <v>164</v>
      </c>
      <c r="B63" s="74">
        <v>659800</v>
      </c>
      <c r="C63" s="16">
        <f t="shared" si="2"/>
        <v>59800</v>
      </c>
      <c r="D63" s="16">
        <f t="shared" si="3"/>
        <v>0</v>
      </c>
    </row>
    <row r="64" spans="1:6" x14ac:dyDescent="0.25">
      <c r="A64" s="16" t="s">
        <v>165</v>
      </c>
      <c r="B64" s="74">
        <v>1091800</v>
      </c>
      <c r="C64" s="16">
        <f t="shared" si="2"/>
        <v>491800</v>
      </c>
      <c r="D64" s="16">
        <f t="shared" si="3"/>
        <v>0</v>
      </c>
    </row>
    <row r="65" spans="1:6" x14ac:dyDescent="0.25">
      <c r="A65" s="16" t="s">
        <v>166</v>
      </c>
      <c r="B65" s="74">
        <v>1268500</v>
      </c>
      <c r="C65" s="16">
        <f t="shared" si="2"/>
        <v>668500</v>
      </c>
      <c r="D65" s="16">
        <f t="shared" si="3"/>
        <v>0</v>
      </c>
    </row>
    <row r="66" spans="1:6" x14ac:dyDescent="0.25">
      <c r="A66" s="16" t="s">
        <v>167</v>
      </c>
      <c r="B66" s="74">
        <v>1243500</v>
      </c>
      <c r="C66" s="16">
        <f t="shared" si="2"/>
        <v>643500</v>
      </c>
      <c r="D66" s="16">
        <f t="shared" si="3"/>
        <v>0</v>
      </c>
    </row>
    <row r="67" spans="1:6" x14ac:dyDescent="0.25">
      <c r="A67" s="16" t="s">
        <v>168</v>
      </c>
      <c r="B67" s="74">
        <v>828900</v>
      </c>
      <c r="C67" s="16">
        <f t="shared" si="2"/>
        <v>228900</v>
      </c>
      <c r="D67" s="16">
        <f t="shared" si="3"/>
        <v>0</v>
      </c>
    </row>
    <row r="68" spans="1:6" x14ac:dyDescent="0.25">
      <c r="A68" s="16" t="s">
        <v>169</v>
      </c>
      <c r="B68" s="74">
        <v>679600</v>
      </c>
      <c r="C68" s="16">
        <f t="shared" si="2"/>
        <v>79600</v>
      </c>
      <c r="D68" s="16">
        <f t="shared" si="3"/>
        <v>0</v>
      </c>
    </row>
    <row r="69" spans="1:6" x14ac:dyDescent="0.25">
      <c r="A69" s="16" t="s">
        <v>170</v>
      </c>
      <c r="B69" s="74">
        <v>818300</v>
      </c>
      <c r="C69" s="16">
        <f t="shared" si="2"/>
        <v>218300</v>
      </c>
      <c r="D69" s="16">
        <f t="shared" si="3"/>
        <v>0</v>
      </c>
    </row>
    <row r="70" spans="1:6" x14ac:dyDescent="0.25">
      <c r="B70" s="75">
        <f>SUM(B58:B69)</f>
        <v>9476500</v>
      </c>
      <c r="C70" s="16">
        <f>SUM(C58:C69)</f>
        <v>2499900</v>
      </c>
      <c r="D70" s="16">
        <f>SUM(D58:D69)</f>
        <v>-223400</v>
      </c>
    </row>
    <row r="73" spans="1:6" x14ac:dyDescent="0.25">
      <c r="A73" s="161" t="s">
        <v>194</v>
      </c>
      <c r="B73" s="161"/>
      <c r="C73" s="161"/>
      <c r="D73" s="161"/>
      <c r="E73" s="161"/>
      <c r="F73" s="161"/>
    </row>
    <row r="74" spans="1:6" x14ac:dyDescent="0.25">
      <c r="B74" s="149" t="s">
        <v>171</v>
      </c>
      <c r="C74" s="149" t="s">
        <v>198</v>
      </c>
      <c r="D74" s="149" t="s">
        <v>199</v>
      </c>
      <c r="E74" s="149" t="s">
        <v>66</v>
      </c>
    </row>
    <row r="75" spans="1:6" x14ac:dyDescent="0.25">
      <c r="A75" s="16" t="s">
        <v>196</v>
      </c>
      <c r="B75" s="16">
        <v>12</v>
      </c>
      <c r="C75" s="74">
        <f>12*1950000</f>
        <v>23400000</v>
      </c>
      <c r="D75" s="75">
        <f>C91</f>
        <v>46841600</v>
      </c>
      <c r="E75" s="74">
        <f>C75+D75</f>
        <v>70241600</v>
      </c>
    </row>
    <row r="76" spans="1:6" x14ac:dyDescent="0.25">
      <c r="A76" s="16" t="s">
        <v>66</v>
      </c>
      <c r="B76" s="16">
        <f>SUM(B75:B75)</f>
        <v>12</v>
      </c>
      <c r="C76" s="74">
        <f>SUM(C75:C75)</f>
        <v>23400000</v>
      </c>
      <c r="D76" s="74">
        <f>SUM(D75)</f>
        <v>46841600</v>
      </c>
      <c r="E76" s="74">
        <f>SUM(E75:E75)</f>
        <v>70241600</v>
      </c>
    </row>
    <row r="78" spans="1:6" x14ac:dyDescent="0.25">
      <c r="A78" s="149" t="s">
        <v>197</v>
      </c>
      <c r="B78" s="149" t="s">
        <v>193</v>
      </c>
      <c r="C78" s="149" t="s">
        <v>191</v>
      </c>
      <c r="D78" s="149" t="s">
        <v>192</v>
      </c>
    </row>
    <row r="79" spans="1:6" x14ac:dyDescent="0.25">
      <c r="A79" s="16" t="s">
        <v>159</v>
      </c>
      <c r="B79" s="74">
        <v>5250200</v>
      </c>
      <c r="C79" s="74">
        <f>IF((B79-1950000)&lt;0,0,(B79-1950000))</f>
        <v>3300200</v>
      </c>
      <c r="D79" s="16">
        <v>0</v>
      </c>
    </row>
    <row r="80" spans="1:6" x14ac:dyDescent="0.25">
      <c r="A80" s="16" t="s">
        <v>160</v>
      </c>
      <c r="B80" s="74">
        <v>4996300</v>
      </c>
      <c r="C80" s="74">
        <f t="shared" ref="C80:C90" si="4">IF((B80-1950000)&lt;0,0,(B80-1950000))</f>
        <v>3046300</v>
      </c>
      <c r="D80" s="16">
        <v>0</v>
      </c>
    </row>
    <row r="81" spans="1:6" x14ac:dyDescent="0.25">
      <c r="A81" s="16" t="s">
        <v>161</v>
      </c>
      <c r="B81" s="74">
        <v>5312700</v>
      </c>
      <c r="C81" s="74">
        <f t="shared" si="4"/>
        <v>3362700</v>
      </c>
      <c r="D81" s="16">
        <v>0</v>
      </c>
    </row>
    <row r="82" spans="1:6" x14ac:dyDescent="0.25">
      <c r="A82" s="16" t="s">
        <v>162</v>
      </c>
      <c r="B82" s="74">
        <v>4858300</v>
      </c>
      <c r="C82" s="74">
        <f t="shared" si="4"/>
        <v>2908300</v>
      </c>
      <c r="D82" s="16">
        <v>0</v>
      </c>
    </row>
    <row r="83" spans="1:6" x14ac:dyDescent="0.25">
      <c r="A83" s="16" t="s">
        <v>163</v>
      </c>
      <c r="B83" s="74">
        <v>4615500</v>
      </c>
      <c r="C83" s="74">
        <f t="shared" si="4"/>
        <v>2665500</v>
      </c>
      <c r="D83" s="16">
        <v>0</v>
      </c>
    </row>
    <row r="84" spans="1:6" x14ac:dyDescent="0.25">
      <c r="A84" s="16" t="s">
        <v>164</v>
      </c>
      <c r="B84" s="74">
        <v>5739000</v>
      </c>
      <c r="C84" s="74">
        <f t="shared" si="4"/>
        <v>3789000</v>
      </c>
      <c r="D84" s="16">
        <v>0</v>
      </c>
    </row>
    <row r="85" spans="1:6" x14ac:dyDescent="0.25">
      <c r="A85" s="16" t="s">
        <v>165</v>
      </c>
      <c r="B85" s="74">
        <v>6426200</v>
      </c>
      <c r="C85" s="74">
        <f t="shared" si="4"/>
        <v>4476200</v>
      </c>
      <c r="D85" s="16">
        <v>0</v>
      </c>
    </row>
    <row r="86" spans="1:6" x14ac:dyDescent="0.25">
      <c r="A86" s="16" t="s">
        <v>166</v>
      </c>
      <c r="B86" s="74">
        <v>6762200</v>
      </c>
      <c r="C86" s="74">
        <f t="shared" si="4"/>
        <v>4812200</v>
      </c>
      <c r="D86" s="16">
        <v>0</v>
      </c>
    </row>
    <row r="87" spans="1:6" x14ac:dyDescent="0.25">
      <c r="A87" s="16" t="s">
        <v>167</v>
      </c>
      <c r="B87" s="74">
        <v>5799500</v>
      </c>
      <c r="C87" s="74">
        <f t="shared" si="4"/>
        <v>3849500</v>
      </c>
      <c r="D87" s="16">
        <v>0</v>
      </c>
    </row>
    <row r="88" spans="1:6" x14ac:dyDescent="0.25">
      <c r="A88" s="16" t="s">
        <v>168</v>
      </c>
      <c r="B88" s="74">
        <v>5807700</v>
      </c>
      <c r="C88" s="74">
        <f t="shared" si="4"/>
        <v>3857700</v>
      </c>
      <c r="D88" s="16">
        <v>0</v>
      </c>
    </row>
    <row r="89" spans="1:6" x14ac:dyDescent="0.25">
      <c r="A89" s="16" t="s">
        <v>169</v>
      </c>
      <c r="B89" s="74">
        <v>7139200</v>
      </c>
      <c r="C89" s="74">
        <f t="shared" si="4"/>
        <v>5189200</v>
      </c>
      <c r="D89" s="16">
        <v>0</v>
      </c>
    </row>
    <row r="90" spans="1:6" x14ac:dyDescent="0.25">
      <c r="A90" s="16" t="s">
        <v>170</v>
      </c>
      <c r="B90" s="74">
        <v>7534800</v>
      </c>
      <c r="C90" s="74">
        <f t="shared" si="4"/>
        <v>5584800</v>
      </c>
      <c r="D90" s="16">
        <v>0</v>
      </c>
    </row>
    <row r="91" spans="1:6" x14ac:dyDescent="0.25">
      <c r="C91" s="74">
        <f>SUM(C79:C90)</f>
        <v>46841600</v>
      </c>
    </row>
    <row r="95" spans="1:6" x14ac:dyDescent="0.25">
      <c r="A95" s="161" t="s">
        <v>185</v>
      </c>
      <c r="B95" s="163"/>
      <c r="C95" s="163"/>
      <c r="D95" s="163"/>
      <c r="E95" s="163"/>
      <c r="F95" s="163"/>
    </row>
    <row r="96" spans="1:6" x14ac:dyDescent="0.25">
      <c r="A96" s="149"/>
      <c r="B96" s="149" t="s">
        <v>171</v>
      </c>
      <c r="C96" s="149" t="s">
        <v>182</v>
      </c>
      <c r="D96" s="161" t="s">
        <v>184</v>
      </c>
      <c r="E96" s="161"/>
      <c r="F96" s="149" t="s">
        <v>200</v>
      </c>
    </row>
    <row r="97" spans="1:6" x14ac:dyDescent="0.25">
      <c r="A97" s="16" t="s">
        <v>172</v>
      </c>
      <c r="B97" s="80">
        <f>B40</f>
        <v>74236</v>
      </c>
      <c r="C97" s="75">
        <f>C40</f>
        <v>121253400</v>
      </c>
      <c r="D97" s="77">
        <f>1.0435*22.5</f>
        <v>23.478750000000002</v>
      </c>
      <c r="E97" s="16" t="s">
        <v>201</v>
      </c>
      <c r="F97" s="17">
        <f>B97*D97</f>
        <v>1742968.4850000001</v>
      </c>
    </row>
    <row r="98" spans="1:6" x14ac:dyDescent="0.25">
      <c r="A98" s="16" t="s">
        <v>173</v>
      </c>
      <c r="B98" s="74"/>
      <c r="C98" s="74">
        <f>D39</f>
        <v>173781900</v>
      </c>
      <c r="D98" s="78">
        <f>1.0435*0.00925</f>
        <v>9.6523750000000012E-3</v>
      </c>
      <c r="E98" s="16" t="s">
        <v>204</v>
      </c>
      <c r="F98" s="17">
        <f>C98*D98</f>
        <v>1677408.0670125003</v>
      </c>
    </row>
    <row r="99" spans="1:6" x14ac:dyDescent="0.25">
      <c r="A99" s="16" t="s">
        <v>66</v>
      </c>
      <c r="C99" s="75">
        <f>SUM(C97:C98)</f>
        <v>295035300</v>
      </c>
      <c r="F99" s="50">
        <f>SUM(F97:F98)</f>
        <v>3420376.5520125004</v>
      </c>
    </row>
    <row r="101" spans="1:6" x14ac:dyDescent="0.25">
      <c r="A101" s="161" t="s">
        <v>202</v>
      </c>
      <c r="B101" s="163"/>
      <c r="C101" s="163"/>
      <c r="D101" s="163"/>
      <c r="E101" s="163"/>
      <c r="F101" s="163"/>
    </row>
    <row r="102" spans="1:6" x14ac:dyDescent="0.25">
      <c r="A102" s="149"/>
      <c r="B102" s="149" t="s">
        <v>171</v>
      </c>
      <c r="C102" s="149" t="s">
        <v>182</v>
      </c>
      <c r="D102" s="161" t="s">
        <v>184</v>
      </c>
      <c r="E102" s="161"/>
      <c r="F102" s="149" t="s">
        <v>200</v>
      </c>
    </row>
    <row r="103" spans="1:6" x14ac:dyDescent="0.25">
      <c r="A103" s="16" t="s">
        <v>203</v>
      </c>
      <c r="B103" s="76">
        <f>B48</f>
        <v>72</v>
      </c>
      <c r="C103" s="75">
        <f>C48</f>
        <v>23006300</v>
      </c>
      <c r="D103" s="79">
        <f>1.0435*0.00729</f>
        <v>7.6071150000000002E-3</v>
      </c>
      <c r="E103" s="16" t="s">
        <v>204</v>
      </c>
      <c r="F103" s="17">
        <f>C103*D103</f>
        <v>175011.56982450001</v>
      </c>
    </row>
    <row r="106" spans="1:6" x14ac:dyDescent="0.25">
      <c r="A106" s="154" t="s">
        <v>205</v>
      </c>
      <c r="B106" s="154"/>
      <c r="C106" s="154"/>
      <c r="D106" s="154"/>
      <c r="E106" s="154"/>
      <c r="F106" s="154"/>
    </row>
    <row r="107" spans="1:6" x14ac:dyDescent="0.25">
      <c r="B107" s="16" t="s">
        <v>171</v>
      </c>
      <c r="C107" s="16" t="s">
        <v>182</v>
      </c>
      <c r="D107" s="16" t="s">
        <v>184</v>
      </c>
      <c r="F107" s="16" t="s">
        <v>200</v>
      </c>
    </row>
    <row r="108" spans="1:6" x14ac:dyDescent="0.25">
      <c r="A108" s="16" t="s">
        <v>188</v>
      </c>
      <c r="B108" s="150">
        <v>12</v>
      </c>
      <c r="C108" s="74">
        <f>C54</f>
        <v>6976600</v>
      </c>
      <c r="D108" s="17">
        <f>4374*1.0435</f>
        <v>4564.2690000000002</v>
      </c>
      <c r="E108" s="16" t="s">
        <v>201</v>
      </c>
      <c r="F108" s="50">
        <f>12*D108</f>
        <v>54771.228000000003</v>
      </c>
    </row>
    <row r="109" spans="1:6" x14ac:dyDescent="0.25">
      <c r="A109" s="16" t="s">
        <v>206</v>
      </c>
      <c r="C109" s="75">
        <f>D54</f>
        <v>2499900</v>
      </c>
      <c r="D109" s="139">
        <f>0.00729*1.0435</f>
        <v>7.6071150000000002E-3</v>
      </c>
      <c r="E109" s="16" t="s">
        <v>204</v>
      </c>
      <c r="F109" s="15">
        <f>C109*D109</f>
        <v>19017.026788499999</v>
      </c>
    </row>
    <row r="110" spans="1:6" x14ac:dyDescent="0.25">
      <c r="A110" s="16" t="s">
        <v>66</v>
      </c>
      <c r="C110" s="75">
        <f>SUM(C108:C109)</f>
        <v>9476500</v>
      </c>
      <c r="F110" s="50">
        <f>SUM(F108:F109)</f>
        <v>73788.254788499995</v>
      </c>
    </row>
    <row r="112" spans="1:6" x14ac:dyDescent="0.25">
      <c r="A112" s="154" t="s">
        <v>194</v>
      </c>
      <c r="B112" s="154"/>
      <c r="C112" s="154"/>
      <c r="D112" s="154"/>
      <c r="E112" s="154"/>
      <c r="F112" s="154"/>
    </row>
    <row r="113" spans="1:6" x14ac:dyDescent="0.25">
      <c r="B113" s="149" t="s">
        <v>171</v>
      </c>
      <c r="C113" s="149" t="s">
        <v>182</v>
      </c>
      <c r="D113" s="149" t="s">
        <v>184</v>
      </c>
      <c r="E113" s="149"/>
      <c r="F113" s="149" t="s">
        <v>200</v>
      </c>
    </row>
    <row r="114" spans="1:6" x14ac:dyDescent="0.25">
      <c r="A114" s="16" t="s">
        <v>195</v>
      </c>
      <c r="B114" s="150">
        <v>12</v>
      </c>
      <c r="C114" s="75">
        <f>C75</f>
        <v>23400000</v>
      </c>
      <c r="D114" s="17">
        <f>14215.5*1.0435</f>
        <v>14833.874250000001</v>
      </c>
      <c r="E114" s="16" t="s">
        <v>201</v>
      </c>
      <c r="F114" s="50">
        <f>12*D114</f>
        <v>178006.49100000001</v>
      </c>
    </row>
    <row r="115" spans="1:6" x14ac:dyDescent="0.25">
      <c r="A115" s="16" t="s">
        <v>207</v>
      </c>
      <c r="C115" s="75">
        <f>D75</f>
        <v>46841600</v>
      </c>
      <c r="D115" s="139">
        <f>0.00729*1.0435</f>
        <v>7.6071150000000002E-3</v>
      </c>
      <c r="E115" s="16" t="s">
        <v>204</v>
      </c>
      <c r="F115" s="17">
        <f>C115*D115</f>
        <v>356329.43798400002</v>
      </c>
    </row>
    <row r="116" spans="1:6" x14ac:dyDescent="0.25">
      <c r="A116" s="16" t="s">
        <v>66</v>
      </c>
      <c r="C116" s="75">
        <f>SUM(C114:C115)</f>
        <v>70241600</v>
      </c>
      <c r="F116" s="50">
        <f>SUM(F114:F115)</f>
        <v>534335.928984</v>
      </c>
    </row>
    <row r="118" spans="1:6" x14ac:dyDescent="0.25">
      <c r="A118" s="16" t="s">
        <v>66</v>
      </c>
      <c r="B118" s="75">
        <f>B97+B103+B108+B114</f>
        <v>74332</v>
      </c>
      <c r="C118" s="75">
        <f>C99+C103+C110+C116</f>
        <v>397759700</v>
      </c>
      <c r="F118" s="50">
        <f>F99+F103+F110+F116</f>
        <v>4203512.3056095</v>
      </c>
    </row>
    <row r="119" spans="1:6" x14ac:dyDescent="0.25">
      <c r="E119" s="16" t="s">
        <v>462</v>
      </c>
      <c r="F119" s="17">
        <v>22116.41</v>
      </c>
    </row>
    <row r="120" spans="1:6" x14ac:dyDescent="0.25">
      <c r="F120" s="50">
        <f>F118-F119</f>
        <v>4181395.8956094999</v>
      </c>
    </row>
    <row r="122" spans="1:6" x14ac:dyDescent="0.25">
      <c r="A122" s="122" t="s">
        <v>459</v>
      </c>
      <c r="B122" s="152">
        <v>0.5</v>
      </c>
    </row>
    <row r="123" spans="1:6" x14ac:dyDescent="0.25">
      <c r="A123" s="122" t="s">
        <v>460</v>
      </c>
      <c r="B123" s="153">
        <v>174252</v>
      </c>
    </row>
    <row r="124" spans="1:6" x14ac:dyDescent="0.25">
      <c r="A124" s="122" t="s">
        <v>461</v>
      </c>
      <c r="B124" s="153">
        <v>4180418</v>
      </c>
    </row>
  </sheetData>
  <mergeCells count="12">
    <mergeCell ref="A112:F112"/>
    <mergeCell ref="B16:M16"/>
    <mergeCell ref="B30:M30"/>
    <mergeCell ref="A36:F36"/>
    <mergeCell ref="A42:E42"/>
    <mergeCell ref="A50:F50"/>
    <mergeCell ref="A73:F73"/>
    <mergeCell ref="A95:F95"/>
    <mergeCell ref="D96:E96"/>
    <mergeCell ref="A101:F101"/>
    <mergeCell ref="D102:E102"/>
    <mergeCell ref="A106:F10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34164-5837-4267-B808-555B09670DC8}">
  <dimension ref="A1:C15"/>
  <sheetViews>
    <sheetView workbookViewId="0">
      <selection activeCell="C36" sqref="C36"/>
    </sheetView>
  </sheetViews>
  <sheetFormatPr defaultRowHeight="15" x14ac:dyDescent="0.25"/>
  <cols>
    <col min="1" max="1" width="14.5703125" customWidth="1"/>
    <col min="2" max="2" width="18.140625" customWidth="1"/>
    <col min="3" max="3" width="18.42578125" customWidth="1"/>
  </cols>
  <sheetData>
    <row r="1" spans="1:3" x14ac:dyDescent="0.25">
      <c r="A1" t="s">
        <v>197</v>
      </c>
      <c r="B1" t="s">
        <v>226</v>
      </c>
      <c r="C1" t="s">
        <v>227</v>
      </c>
    </row>
    <row r="2" spans="1:3" x14ac:dyDescent="0.25">
      <c r="A2" t="s">
        <v>159</v>
      </c>
      <c r="B2" s="91">
        <v>-597500</v>
      </c>
      <c r="C2" s="17">
        <v>-4767.59</v>
      </c>
    </row>
    <row r="3" spans="1:3" x14ac:dyDescent="0.25">
      <c r="A3" t="s">
        <v>160</v>
      </c>
      <c r="B3" s="91">
        <v>-120600</v>
      </c>
      <c r="C3" s="17">
        <v>-901.7600000000001</v>
      </c>
    </row>
    <row r="4" spans="1:3" x14ac:dyDescent="0.25">
      <c r="A4" t="s">
        <v>161</v>
      </c>
      <c r="B4" s="91">
        <v>-22600</v>
      </c>
      <c r="C4" s="17">
        <v>-1200.7600000000002</v>
      </c>
    </row>
    <row r="5" spans="1:3" x14ac:dyDescent="0.25">
      <c r="A5" t="s">
        <v>162</v>
      </c>
      <c r="B5" s="91">
        <v>-79200</v>
      </c>
      <c r="C5" s="17">
        <v>-430.52</v>
      </c>
    </row>
    <row r="6" spans="1:3" x14ac:dyDescent="0.25">
      <c r="A6" t="s">
        <v>163</v>
      </c>
      <c r="B6" s="91">
        <v>-186600</v>
      </c>
      <c r="C6" s="17">
        <v>-1391.44</v>
      </c>
    </row>
    <row r="7" spans="1:3" x14ac:dyDescent="0.25">
      <c r="A7" t="s">
        <v>164</v>
      </c>
      <c r="B7" s="91">
        <v>-82900</v>
      </c>
      <c r="C7" s="17">
        <v>-592.1</v>
      </c>
    </row>
    <row r="8" spans="1:3" x14ac:dyDescent="0.25">
      <c r="A8" t="s">
        <v>165</v>
      </c>
      <c r="B8" s="91">
        <v>-119900</v>
      </c>
      <c r="C8" s="17">
        <v>-885.8</v>
      </c>
    </row>
    <row r="9" spans="1:3" x14ac:dyDescent="0.25">
      <c r="A9" t="s">
        <v>166</v>
      </c>
      <c r="B9" s="91">
        <v>-197300</v>
      </c>
      <c r="C9" s="17">
        <v>-1481.32</v>
      </c>
    </row>
    <row r="10" spans="1:3" x14ac:dyDescent="0.25">
      <c r="A10" t="s">
        <v>167</v>
      </c>
      <c r="B10" s="91">
        <v>-430900</v>
      </c>
      <c r="C10" s="17">
        <v>-3178.4200000000005</v>
      </c>
    </row>
    <row r="11" spans="1:3" x14ac:dyDescent="0.25">
      <c r="A11" t="s">
        <v>168</v>
      </c>
      <c r="B11" s="91">
        <v>-407800</v>
      </c>
      <c r="C11" s="17">
        <v>-3349.3300000000004</v>
      </c>
    </row>
    <row r="12" spans="1:3" x14ac:dyDescent="0.25">
      <c r="A12" t="s">
        <v>169</v>
      </c>
      <c r="B12" s="91">
        <v>-505000</v>
      </c>
      <c r="C12" s="17">
        <v>-3901.8400000000006</v>
      </c>
    </row>
    <row r="13" spans="1:3" x14ac:dyDescent="0.25">
      <c r="A13" t="s">
        <v>170</v>
      </c>
      <c r="B13" s="91">
        <v>-283500</v>
      </c>
      <c r="C13" s="17">
        <v>-2088.9299999999998</v>
      </c>
    </row>
    <row r="15" spans="1:3" x14ac:dyDescent="0.25">
      <c r="B15" s="74">
        <f>SUM(B2:B14)</f>
        <v>-3033800</v>
      </c>
      <c r="C15" s="50">
        <f>SUM(C2:C14)</f>
        <v>-24169.81</v>
      </c>
    </row>
  </sheetData>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23F1F-A58E-4B59-B69D-3100BD13300F}">
  <dimension ref="A2:BT85"/>
  <sheetViews>
    <sheetView zoomScale="75" zoomScaleNormal="75" workbookViewId="0">
      <selection activeCell="G3" sqref="G3:H3"/>
    </sheetView>
  </sheetViews>
  <sheetFormatPr defaultRowHeight="15" x14ac:dyDescent="0.25"/>
  <cols>
    <col min="1" max="1" width="6.42578125" style="16" bestFit="1" customWidth="1"/>
    <col min="2" max="2" width="6" style="16" bestFit="1" customWidth="1"/>
    <col min="3" max="3" width="2.7109375" style="16" customWidth="1"/>
    <col min="4" max="5" width="10.42578125" style="16" customWidth="1"/>
    <col min="6" max="6" width="2.5703125" style="16" customWidth="1"/>
    <col min="7" max="8" width="10.5703125" style="16" customWidth="1"/>
    <col min="9" max="9" width="2.5703125" style="16" customWidth="1"/>
    <col min="10" max="11" width="10.5703125" style="16" customWidth="1"/>
    <col min="12" max="12" width="2.5703125" style="16" customWidth="1"/>
    <col min="13" max="13" width="12.140625" style="16" bestFit="1" customWidth="1"/>
    <col min="14" max="14" width="10.5703125" style="16" customWidth="1"/>
    <col min="15" max="15" width="2.5703125" style="16" customWidth="1"/>
    <col min="16" max="17" width="10.5703125" style="16" customWidth="1"/>
    <col min="18" max="18" width="3.28515625" style="16" customWidth="1"/>
    <col min="19" max="20" width="10.5703125" style="16" customWidth="1"/>
    <col min="21" max="21" width="4.28515625" style="16" customWidth="1"/>
    <col min="22" max="22" width="7" style="16" customWidth="1"/>
    <col min="23" max="24" width="10.5703125" style="16" customWidth="1"/>
    <col min="25" max="25" width="4.140625" style="16" customWidth="1"/>
    <col min="26" max="26" width="7" style="16" customWidth="1"/>
    <col min="27" max="27" width="6.42578125" style="16" customWidth="1"/>
    <col min="28" max="28" width="2.7109375" style="16" customWidth="1"/>
    <col min="29" max="30" width="9.28515625" style="16" bestFit="1" customWidth="1"/>
    <col min="31" max="31" width="2.7109375" style="16" customWidth="1"/>
    <col min="32" max="33" width="10.42578125" style="16" bestFit="1" customWidth="1"/>
    <col min="34" max="34" width="2.5703125" style="16" customWidth="1"/>
    <col min="35" max="36" width="10.42578125" style="16" customWidth="1"/>
    <col min="37" max="37" width="4.140625" style="16" customWidth="1"/>
    <col min="38" max="39" width="10.42578125" style="16" customWidth="1"/>
    <col min="40" max="40" width="2.5703125" style="16" customWidth="1"/>
    <col min="41" max="42" width="10.42578125" style="16" customWidth="1"/>
    <col min="43" max="43" width="3.7109375" style="16" customWidth="1"/>
    <col min="44" max="44" width="10.42578125" style="16" customWidth="1"/>
    <col min="45" max="45" width="11.42578125" style="16" customWidth="1"/>
    <col min="46" max="46" width="4.5703125" style="16" customWidth="1"/>
    <col min="47" max="48" width="10.42578125" style="16" customWidth="1"/>
    <col min="49" max="49" width="3.5703125" style="16" customWidth="1"/>
    <col min="50" max="50" width="12.85546875" style="16" customWidth="1"/>
    <col min="51" max="51" width="13.28515625" style="16" customWidth="1"/>
    <col min="52" max="52" width="4.85546875" style="16" customWidth="1"/>
    <col min="53" max="53" width="11.5703125" style="16" bestFit="1" customWidth="1"/>
    <col min="54" max="54" width="10.42578125" style="16" bestFit="1" customWidth="1"/>
    <col min="55" max="55" width="2.7109375" style="16" customWidth="1"/>
    <col min="56" max="56" width="11.5703125" style="16" bestFit="1" customWidth="1"/>
    <col min="57" max="57" width="10.42578125" style="16" bestFit="1" customWidth="1"/>
    <col min="58" max="58" width="6.42578125" style="16" bestFit="1" customWidth="1"/>
    <col min="59" max="59" width="5.85546875" style="16" bestFit="1" customWidth="1"/>
    <col min="60" max="60" width="10.42578125" style="16" bestFit="1" customWidth="1"/>
    <col min="61" max="61" width="8.7109375" style="16" bestFit="1" customWidth="1"/>
    <col min="62" max="62" width="2.7109375" style="16" customWidth="1"/>
    <col min="63" max="63" width="5.85546875" style="16" bestFit="1" customWidth="1"/>
    <col min="64" max="64" width="12.7109375" style="16" bestFit="1" customWidth="1"/>
    <col min="65" max="65" width="11.5703125" style="16" bestFit="1" customWidth="1"/>
    <col min="66" max="66" width="2.7109375" style="16" customWidth="1"/>
    <col min="67" max="67" width="12.7109375" style="16" bestFit="1" customWidth="1"/>
    <col min="68" max="68" width="16" style="16" customWidth="1"/>
    <col min="69" max="69" width="21.7109375" style="16" bestFit="1" customWidth="1"/>
    <col min="70" max="70" width="9.140625" style="16"/>
    <col min="71" max="71" width="10.7109375" style="16" customWidth="1"/>
    <col min="72" max="72" width="10" style="16" bestFit="1" customWidth="1"/>
    <col min="73" max="281" width="9.140625" style="16"/>
    <col min="282" max="282" width="6.42578125" style="16" bestFit="1" customWidth="1"/>
    <col min="283" max="283" width="6" style="16" bestFit="1" customWidth="1"/>
    <col min="284" max="284" width="2.7109375" style="16" customWidth="1"/>
    <col min="285" max="286" width="10.42578125" style="16" customWidth="1"/>
    <col min="287" max="287" width="2.5703125" style="16" customWidth="1"/>
    <col min="288" max="289" width="10.5703125" style="16" customWidth="1"/>
    <col min="290" max="290" width="2.5703125" style="16" customWidth="1"/>
    <col min="291" max="292" width="10.5703125" style="16" customWidth="1"/>
    <col min="293" max="293" width="2.5703125" style="16" customWidth="1"/>
    <col min="294" max="294" width="12.140625" style="16" bestFit="1" customWidth="1"/>
    <col min="295" max="295" width="10.5703125" style="16" customWidth="1"/>
    <col min="296" max="296" width="2.5703125" style="16" customWidth="1"/>
    <col min="297" max="298" width="10.5703125" style="16" customWidth="1"/>
    <col min="299" max="299" width="2.7109375" style="16" customWidth="1"/>
    <col min="300" max="301" width="9.28515625" style="16" bestFit="1" customWidth="1"/>
    <col min="302" max="302" width="2.7109375" style="16" customWidth="1"/>
    <col min="303" max="304" width="10.42578125" style="16" bestFit="1" customWidth="1"/>
    <col min="305" max="305" width="2.5703125" style="16" customWidth="1"/>
    <col min="306" max="307" width="10.42578125" style="16" customWidth="1"/>
    <col min="308" max="308" width="2.5703125" style="16" customWidth="1"/>
    <col min="309" max="310" width="10.42578125" style="16" customWidth="1"/>
    <col min="311" max="311" width="2.7109375" style="16" customWidth="1"/>
    <col min="312" max="312" width="11.5703125" style="16" bestFit="1" customWidth="1"/>
    <col min="313" max="313" width="10.42578125" style="16" bestFit="1" customWidth="1"/>
    <col min="314" max="314" width="6.42578125" style="16" bestFit="1" customWidth="1"/>
    <col min="315" max="315" width="5.85546875" style="16" bestFit="1" customWidth="1"/>
    <col min="316" max="316" width="10.42578125" style="16" bestFit="1" customWidth="1"/>
    <col min="317" max="317" width="8.7109375" style="16" bestFit="1" customWidth="1"/>
    <col min="318" max="318" width="2.7109375" style="16" customWidth="1"/>
    <col min="319" max="319" width="5.85546875" style="16" bestFit="1" customWidth="1"/>
    <col min="320" max="320" width="12.7109375" style="16" bestFit="1" customWidth="1"/>
    <col min="321" max="321" width="11.5703125" style="16" bestFit="1" customWidth="1"/>
    <col min="322" max="322" width="2.7109375" style="16" customWidth="1"/>
    <col min="323" max="323" width="12.7109375" style="16" bestFit="1" customWidth="1"/>
    <col min="324" max="324" width="9.140625" style="16"/>
    <col min="325" max="325" width="21.7109375" style="16" bestFit="1" customWidth="1"/>
    <col min="326" max="326" width="9.140625" style="16"/>
    <col min="327" max="327" width="10.7109375" style="16" customWidth="1"/>
    <col min="328" max="328" width="10" style="16" bestFit="1" customWidth="1"/>
    <col min="329" max="537" width="9.140625" style="16"/>
    <col min="538" max="538" width="6.42578125" style="16" bestFit="1" customWidth="1"/>
    <col min="539" max="539" width="6" style="16" bestFit="1" customWidth="1"/>
    <col min="540" max="540" width="2.7109375" style="16" customWidth="1"/>
    <col min="541" max="542" width="10.42578125" style="16" customWidth="1"/>
    <col min="543" max="543" width="2.5703125" style="16" customWidth="1"/>
    <col min="544" max="545" width="10.5703125" style="16" customWidth="1"/>
    <col min="546" max="546" width="2.5703125" style="16" customWidth="1"/>
    <col min="547" max="548" width="10.5703125" style="16" customWidth="1"/>
    <col min="549" max="549" width="2.5703125" style="16" customWidth="1"/>
    <col min="550" max="550" width="12.140625" style="16" bestFit="1" customWidth="1"/>
    <col min="551" max="551" width="10.5703125" style="16" customWidth="1"/>
    <col min="552" max="552" width="2.5703125" style="16" customWidth="1"/>
    <col min="553" max="554" width="10.5703125" style="16" customWidth="1"/>
    <col min="555" max="555" width="2.7109375" style="16" customWidth="1"/>
    <col min="556" max="557" width="9.28515625" style="16" bestFit="1" customWidth="1"/>
    <col min="558" max="558" width="2.7109375" style="16" customWidth="1"/>
    <col min="559" max="560" width="10.42578125" style="16" bestFit="1" customWidth="1"/>
    <col min="561" max="561" width="2.5703125" style="16" customWidth="1"/>
    <col min="562" max="563" width="10.42578125" style="16" customWidth="1"/>
    <col min="564" max="564" width="2.5703125" style="16" customWidth="1"/>
    <col min="565" max="566" width="10.42578125" style="16" customWidth="1"/>
    <col min="567" max="567" width="2.7109375" style="16" customWidth="1"/>
    <col min="568" max="568" width="11.5703125" style="16" bestFit="1" customWidth="1"/>
    <col min="569" max="569" width="10.42578125" style="16" bestFit="1" customWidth="1"/>
    <col min="570" max="570" width="6.42578125" style="16" bestFit="1" customWidth="1"/>
    <col min="571" max="571" width="5.85546875" style="16" bestFit="1" customWidth="1"/>
    <col min="572" max="572" width="10.42578125" style="16" bestFit="1" customWidth="1"/>
    <col min="573" max="573" width="8.7109375" style="16" bestFit="1" customWidth="1"/>
    <col min="574" max="574" width="2.7109375" style="16" customWidth="1"/>
    <col min="575" max="575" width="5.85546875" style="16" bestFit="1" customWidth="1"/>
    <col min="576" max="576" width="12.7109375" style="16" bestFit="1" customWidth="1"/>
    <col min="577" max="577" width="11.5703125" style="16" bestFit="1" customWidth="1"/>
    <col min="578" max="578" width="2.7109375" style="16" customWidth="1"/>
    <col min="579" max="579" width="12.7109375" style="16" bestFit="1" customWidth="1"/>
    <col min="580" max="580" width="9.140625" style="16"/>
    <col min="581" max="581" width="21.7109375" style="16" bestFit="1" customWidth="1"/>
    <col min="582" max="582" width="9.140625" style="16"/>
    <col min="583" max="583" width="10.7109375" style="16" customWidth="1"/>
    <col min="584" max="584" width="10" style="16" bestFit="1" customWidth="1"/>
    <col min="585" max="793" width="9.140625" style="16"/>
    <col min="794" max="794" width="6.42578125" style="16" bestFit="1" customWidth="1"/>
    <col min="795" max="795" width="6" style="16" bestFit="1" customWidth="1"/>
    <col min="796" max="796" width="2.7109375" style="16" customWidth="1"/>
    <col min="797" max="798" width="10.42578125" style="16" customWidth="1"/>
    <col min="799" max="799" width="2.5703125" style="16" customWidth="1"/>
    <col min="800" max="801" width="10.5703125" style="16" customWidth="1"/>
    <col min="802" max="802" width="2.5703125" style="16" customWidth="1"/>
    <col min="803" max="804" width="10.5703125" style="16" customWidth="1"/>
    <col min="805" max="805" width="2.5703125" style="16" customWidth="1"/>
    <col min="806" max="806" width="12.140625" style="16" bestFit="1" customWidth="1"/>
    <col min="807" max="807" width="10.5703125" style="16" customWidth="1"/>
    <col min="808" max="808" width="2.5703125" style="16" customWidth="1"/>
    <col min="809" max="810" width="10.5703125" style="16" customWidth="1"/>
    <col min="811" max="811" width="2.7109375" style="16" customWidth="1"/>
    <col min="812" max="813" width="9.28515625" style="16" bestFit="1" customWidth="1"/>
    <col min="814" max="814" width="2.7109375" style="16" customWidth="1"/>
    <col min="815" max="816" width="10.42578125" style="16" bestFit="1" customWidth="1"/>
    <col min="817" max="817" width="2.5703125" style="16" customWidth="1"/>
    <col min="818" max="819" width="10.42578125" style="16" customWidth="1"/>
    <col min="820" max="820" width="2.5703125" style="16" customWidth="1"/>
    <col min="821" max="822" width="10.42578125" style="16" customWidth="1"/>
    <col min="823" max="823" width="2.7109375" style="16" customWidth="1"/>
    <col min="824" max="824" width="11.5703125" style="16" bestFit="1" customWidth="1"/>
    <col min="825" max="825" width="10.42578125" style="16" bestFit="1" customWidth="1"/>
    <col min="826" max="826" width="6.42578125" style="16" bestFit="1" customWidth="1"/>
    <col min="827" max="827" width="5.85546875" style="16" bestFit="1" customWidth="1"/>
    <col min="828" max="828" width="10.42578125" style="16" bestFit="1" customWidth="1"/>
    <col min="829" max="829" width="8.7109375" style="16" bestFit="1" customWidth="1"/>
    <col min="830" max="830" width="2.7109375" style="16" customWidth="1"/>
    <col min="831" max="831" width="5.85546875" style="16" bestFit="1" customWidth="1"/>
    <col min="832" max="832" width="12.7109375" style="16" bestFit="1" customWidth="1"/>
    <col min="833" max="833" width="11.5703125" style="16" bestFit="1" customWidth="1"/>
    <col min="834" max="834" width="2.7109375" style="16" customWidth="1"/>
    <col min="835" max="835" width="12.7109375" style="16" bestFit="1" customWidth="1"/>
    <col min="836" max="836" width="9.140625" style="16"/>
    <col min="837" max="837" width="21.7109375" style="16" bestFit="1" customWidth="1"/>
    <col min="838" max="838" width="9.140625" style="16"/>
    <col min="839" max="839" width="10.7109375" style="16" customWidth="1"/>
    <col min="840" max="840" width="10" style="16" bestFit="1" customWidth="1"/>
    <col min="841" max="1049" width="9.140625" style="16"/>
    <col min="1050" max="1050" width="6.42578125" style="16" bestFit="1" customWidth="1"/>
    <col min="1051" max="1051" width="6" style="16" bestFit="1" customWidth="1"/>
    <col min="1052" max="1052" width="2.7109375" style="16" customWidth="1"/>
    <col min="1053" max="1054" width="10.42578125" style="16" customWidth="1"/>
    <col min="1055" max="1055" width="2.5703125" style="16" customWidth="1"/>
    <col min="1056" max="1057" width="10.5703125" style="16" customWidth="1"/>
    <col min="1058" max="1058" width="2.5703125" style="16" customWidth="1"/>
    <col min="1059" max="1060" width="10.5703125" style="16" customWidth="1"/>
    <col min="1061" max="1061" width="2.5703125" style="16" customWidth="1"/>
    <col min="1062" max="1062" width="12.140625" style="16" bestFit="1" customWidth="1"/>
    <col min="1063" max="1063" width="10.5703125" style="16" customWidth="1"/>
    <col min="1064" max="1064" width="2.5703125" style="16" customWidth="1"/>
    <col min="1065" max="1066" width="10.5703125" style="16" customWidth="1"/>
    <col min="1067" max="1067" width="2.7109375" style="16" customWidth="1"/>
    <col min="1068" max="1069" width="9.28515625" style="16" bestFit="1" customWidth="1"/>
    <col min="1070" max="1070" width="2.7109375" style="16" customWidth="1"/>
    <col min="1071" max="1072" width="10.42578125" style="16" bestFit="1" customWidth="1"/>
    <col min="1073" max="1073" width="2.5703125" style="16" customWidth="1"/>
    <col min="1074" max="1075" width="10.42578125" style="16" customWidth="1"/>
    <col min="1076" max="1076" width="2.5703125" style="16" customWidth="1"/>
    <col min="1077" max="1078" width="10.42578125" style="16" customWidth="1"/>
    <col min="1079" max="1079" width="2.7109375" style="16" customWidth="1"/>
    <col min="1080" max="1080" width="11.5703125" style="16" bestFit="1" customWidth="1"/>
    <col min="1081" max="1081" width="10.42578125" style="16" bestFit="1" customWidth="1"/>
    <col min="1082" max="1082" width="6.42578125" style="16" bestFit="1" customWidth="1"/>
    <col min="1083" max="1083" width="5.85546875" style="16" bestFit="1" customWidth="1"/>
    <col min="1084" max="1084" width="10.42578125" style="16" bestFit="1" customWidth="1"/>
    <col min="1085" max="1085" width="8.7109375" style="16" bestFit="1" customWidth="1"/>
    <col min="1086" max="1086" width="2.7109375" style="16" customWidth="1"/>
    <col min="1087" max="1087" width="5.85546875" style="16" bestFit="1" customWidth="1"/>
    <col min="1088" max="1088" width="12.7109375" style="16" bestFit="1" customWidth="1"/>
    <col min="1089" max="1089" width="11.5703125" style="16" bestFit="1" customWidth="1"/>
    <col min="1090" max="1090" width="2.7109375" style="16" customWidth="1"/>
    <col min="1091" max="1091" width="12.7109375" style="16" bestFit="1" customWidth="1"/>
    <col min="1092" max="1092" width="9.140625" style="16"/>
    <col min="1093" max="1093" width="21.7109375" style="16" bestFit="1" customWidth="1"/>
    <col min="1094" max="1094" width="9.140625" style="16"/>
    <col min="1095" max="1095" width="10.7109375" style="16" customWidth="1"/>
    <col min="1096" max="1096" width="10" style="16" bestFit="1" customWidth="1"/>
    <col min="1097" max="1305" width="9.140625" style="16"/>
    <col min="1306" max="1306" width="6.42578125" style="16" bestFit="1" customWidth="1"/>
    <col min="1307" max="1307" width="6" style="16" bestFit="1" customWidth="1"/>
    <col min="1308" max="1308" width="2.7109375" style="16" customWidth="1"/>
    <col min="1309" max="1310" width="10.42578125" style="16" customWidth="1"/>
    <col min="1311" max="1311" width="2.5703125" style="16" customWidth="1"/>
    <col min="1312" max="1313" width="10.5703125" style="16" customWidth="1"/>
    <col min="1314" max="1314" width="2.5703125" style="16" customWidth="1"/>
    <col min="1315" max="1316" width="10.5703125" style="16" customWidth="1"/>
    <col min="1317" max="1317" width="2.5703125" style="16" customWidth="1"/>
    <col min="1318" max="1318" width="12.140625" style="16" bestFit="1" customWidth="1"/>
    <col min="1319" max="1319" width="10.5703125" style="16" customWidth="1"/>
    <col min="1320" max="1320" width="2.5703125" style="16" customWidth="1"/>
    <col min="1321" max="1322" width="10.5703125" style="16" customWidth="1"/>
    <col min="1323" max="1323" width="2.7109375" style="16" customWidth="1"/>
    <col min="1324" max="1325" width="9.28515625" style="16" bestFit="1" customWidth="1"/>
    <col min="1326" max="1326" width="2.7109375" style="16" customWidth="1"/>
    <col min="1327" max="1328" width="10.42578125" style="16" bestFit="1" customWidth="1"/>
    <col min="1329" max="1329" width="2.5703125" style="16" customWidth="1"/>
    <col min="1330" max="1331" width="10.42578125" style="16" customWidth="1"/>
    <col min="1332" max="1332" width="2.5703125" style="16" customWidth="1"/>
    <col min="1333" max="1334" width="10.42578125" style="16" customWidth="1"/>
    <col min="1335" max="1335" width="2.7109375" style="16" customWidth="1"/>
    <col min="1336" max="1336" width="11.5703125" style="16" bestFit="1" customWidth="1"/>
    <col min="1337" max="1337" width="10.42578125" style="16" bestFit="1" customWidth="1"/>
    <col min="1338" max="1338" width="6.42578125" style="16" bestFit="1" customWidth="1"/>
    <col min="1339" max="1339" width="5.85546875" style="16" bestFit="1" customWidth="1"/>
    <col min="1340" max="1340" width="10.42578125" style="16" bestFit="1" customWidth="1"/>
    <col min="1341" max="1341" width="8.7109375" style="16" bestFit="1" customWidth="1"/>
    <col min="1342" max="1342" width="2.7109375" style="16" customWidth="1"/>
    <col min="1343" max="1343" width="5.85546875" style="16" bestFit="1" customWidth="1"/>
    <col min="1344" max="1344" width="12.7109375" style="16" bestFit="1" customWidth="1"/>
    <col min="1345" max="1345" width="11.5703125" style="16" bestFit="1" customWidth="1"/>
    <col min="1346" max="1346" width="2.7109375" style="16" customWidth="1"/>
    <col min="1347" max="1347" width="12.7109375" style="16" bestFit="1" customWidth="1"/>
    <col min="1348" max="1348" width="9.140625" style="16"/>
    <col min="1349" max="1349" width="21.7109375" style="16" bestFit="1" customWidth="1"/>
    <col min="1350" max="1350" width="9.140625" style="16"/>
    <col min="1351" max="1351" width="10.7109375" style="16" customWidth="1"/>
    <col min="1352" max="1352" width="10" style="16" bestFit="1" customWidth="1"/>
    <col min="1353" max="1561" width="9.140625" style="16"/>
    <col min="1562" max="1562" width="6.42578125" style="16" bestFit="1" customWidth="1"/>
    <col min="1563" max="1563" width="6" style="16" bestFit="1" customWidth="1"/>
    <col min="1564" max="1564" width="2.7109375" style="16" customWidth="1"/>
    <col min="1565" max="1566" width="10.42578125" style="16" customWidth="1"/>
    <col min="1567" max="1567" width="2.5703125" style="16" customWidth="1"/>
    <col min="1568" max="1569" width="10.5703125" style="16" customWidth="1"/>
    <col min="1570" max="1570" width="2.5703125" style="16" customWidth="1"/>
    <col min="1571" max="1572" width="10.5703125" style="16" customWidth="1"/>
    <col min="1573" max="1573" width="2.5703125" style="16" customWidth="1"/>
    <col min="1574" max="1574" width="12.140625" style="16" bestFit="1" customWidth="1"/>
    <col min="1575" max="1575" width="10.5703125" style="16" customWidth="1"/>
    <col min="1576" max="1576" width="2.5703125" style="16" customWidth="1"/>
    <col min="1577" max="1578" width="10.5703125" style="16" customWidth="1"/>
    <col min="1579" max="1579" width="2.7109375" style="16" customWidth="1"/>
    <col min="1580" max="1581" width="9.28515625" style="16" bestFit="1" customWidth="1"/>
    <col min="1582" max="1582" width="2.7109375" style="16" customWidth="1"/>
    <col min="1583" max="1584" width="10.42578125" style="16" bestFit="1" customWidth="1"/>
    <col min="1585" max="1585" width="2.5703125" style="16" customWidth="1"/>
    <col min="1586" max="1587" width="10.42578125" style="16" customWidth="1"/>
    <col min="1588" max="1588" width="2.5703125" style="16" customWidth="1"/>
    <col min="1589" max="1590" width="10.42578125" style="16" customWidth="1"/>
    <col min="1591" max="1591" width="2.7109375" style="16" customWidth="1"/>
    <col min="1592" max="1592" width="11.5703125" style="16" bestFit="1" customWidth="1"/>
    <col min="1593" max="1593" width="10.42578125" style="16" bestFit="1" customWidth="1"/>
    <col min="1594" max="1594" width="6.42578125" style="16" bestFit="1" customWidth="1"/>
    <col min="1595" max="1595" width="5.85546875" style="16" bestFit="1" customWidth="1"/>
    <col min="1596" max="1596" width="10.42578125" style="16" bestFit="1" customWidth="1"/>
    <col min="1597" max="1597" width="8.7109375" style="16" bestFit="1" customWidth="1"/>
    <col min="1598" max="1598" width="2.7109375" style="16" customWidth="1"/>
    <col min="1599" max="1599" width="5.85546875" style="16" bestFit="1" customWidth="1"/>
    <col min="1600" max="1600" width="12.7109375" style="16" bestFit="1" customWidth="1"/>
    <col min="1601" max="1601" width="11.5703125" style="16" bestFit="1" customWidth="1"/>
    <col min="1602" max="1602" width="2.7109375" style="16" customWidth="1"/>
    <col min="1603" max="1603" width="12.7109375" style="16" bestFit="1" customWidth="1"/>
    <col min="1604" max="1604" width="9.140625" style="16"/>
    <col min="1605" max="1605" width="21.7109375" style="16" bestFit="1" customWidth="1"/>
    <col min="1606" max="1606" width="9.140625" style="16"/>
    <col min="1607" max="1607" width="10.7109375" style="16" customWidth="1"/>
    <col min="1608" max="1608" width="10" style="16" bestFit="1" customWidth="1"/>
    <col min="1609" max="1817" width="9.140625" style="16"/>
    <col min="1818" max="1818" width="6.42578125" style="16" bestFit="1" customWidth="1"/>
    <col min="1819" max="1819" width="6" style="16" bestFit="1" customWidth="1"/>
    <col min="1820" max="1820" width="2.7109375" style="16" customWidth="1"/>
    <col min="1821" max="1822" width="10.42578125" style="16" customWidth="1"/>
    <col min="1823" max="1823" width="2.5703125" style="16" customWidth="1"/>
    <col min="1824" max="1825" width="10.5703125" style="16" customWidth="1"/>
    <col min="1826" max="1826" width="2.5703125" style="16" customWidth="1"/>
    <col min="1827" max="1828" width="10.5703125" style="16" customWidth="1"/>
    <col min="1829" max="1829" width="2.5703125" style="16" customWidth="1"/>
    <col min="1830" max="1830" width="12.140625" style="16" bestFit="1" customWidth="1"/>
    <col min="1831" max="1831" width="10.5703125" style="16" customWidth="1"/>
    <col min="1832" max="1832" width="2.5703125" style="16" customWidth="1"/>
    <col min="1833" max="1834" width="10.5703125" style="16" customWidth="1"/>
    <col min="1835" max="1835" width="2.7109375" style="16" customWidth="1"/>
    <col min="1836" max="1837" width="9.28515625" style="16" bestFit="1" customWidth="1"/>
    <col min="1838" max="1838" width="2.7109375" style="16" customWidth="1"/>
    <col min="1839" max="1840" width="10.42578125" style="16" bestFit="1" customWidth="1"/>
    <col min="1841" max="1841" width="2.5703125" style="16" customWidth="1"/>
    <col min="1842" max="1843" width="10.42578125" style="16" customWidth="1"/>
    <col min="1844" max="1844" width="2.5703125" style="16" customWidth="1"/>
    <col min="1845" max="1846" width="10.42578125" style="16" customWidth="1"/>
    <col min="1847" max="1847" width="2.7109375" style="16" customWidth="1"/>
    <col min="1848" max="1848" width="11.5703125" style="16" bestFit="1" customWidth="1"/>
    <col min="1849" max="1849" width="10.42578125" style="16" bestFit="1" customWidth="1"/>
    <col min="1850" max="1850" width="6.42578125" style="16" bestFit="1" customWidth="1"/>
    <col min="1851" max="1851" width="5.85546875" style="16" bestFit="1" customWidth="1"/>
    <col min="1852" max="1852" width="10.42578125" style="16" bestFit="1" customWidth="1"/>
    <col min="1853" max="1853" width="8.7109375" style="16" bestFit="1" customWidth="1"/>
    <col min="1854" max="1854" width="2.7109375" style="16" customWidth="1"/>
    <col min="1855" max="1855" width="5.85546875" style="16" bestFit="1" customWidth="1"/>
    <col min="1856" max="1856" width="12.7109375" style="16" bestFit="1" customWidth="1"/>
    <col min="1857" max="1857" width="11.5703125" style="16" bestFit="1" customWidth="1"/>
    <col min="1858" max="1858" width="2.7109375" style="16" customWidth="1"/>
    <col min="1859" max="1859" width="12.7109375" style="16" bestFit="1" customWidth="1"/>
    <col min="1860" max="1860" width="9.140625" style="16"/>
    <col min="1861" max="1861" width="21.7109375" style="16" bestFit="1" customWidth="1"/>
    <col min="1862" max="1862" width="9.140625" style="16"/>
    <col min="1863" max="1863" width="10.7109375" style="16" customWidth="1"/>
    <col min="1864" max="1864" width="10" style="16" bestFit="1" customWidth="1"/>
    <col min="1865" max="2073" width="9.140625" style="16"/>
    <col min="2074" max="2074" width="6.42578125" style="16" bestFit="1" customWidth="1"/>
    <col min="2075" max="2075" width="6" style="16" bestFit="1" customWidth="1"/>
    <col min="2076" max="2076" width="2.7109375" style="16" customWidth="1"/>
    <col min="2077" max="2078" width="10.42578125" style="16" customWidth="1"/>
    <col min="2079" max="2079" width="2.5703125" style="16" customWidth="1"/>
    <col min="2080" max="2081" width="10.5703125" style="16" customWidth="1"/>
    <col min="2082" max="2082" width="2.5703125" style="16" customWidth="1"/>
    <col min="2083" max="2084" width="10.5703125" style="16" customWidth="1"/>
    <col min="2085" max="2085" width="2.5703125" style="16" customWidth="1"/>
    <col min="2086" max="2086" width="12.140625" style="16" bestFit="1" customWidth="1"/>
    <col min="2087" max="2087" width="10.5703125" style="16" customWidth="1"/>
    <col min="2088" max="2088" width="2.5703125" style="16" customWidth="1"/>
    <col min="2089" max="2090" width="10.5703125" style="16" customWidth="1"/>
    <col min="2091" max="2091" width="2.7109375" style="16" customWidth="1"/>
    <col min="2092" max="2093" width="9.28515625" style="16" bestFit="1" customWidth="1"/>
    <col min="2094" max="2094" width="2.7109375" style="16" customWidth="1"/>
    <col min="2095" max="2096" width="10.42578125" style="16" bestFit="1" customWidth="1"/>
    <col min="2097" max="2097" width="2.5703125" style="16" customWidth="1"/>
    <col min="2098" max="2099" width="10.42578125" style="16" customWidth="1"/>
    <col min="2100" max="2100" width="2.5703125" style="16" customWidth="1"/>
    <col min="2101" max="2102" width="10.42578125" style="16" customWidth="1"/>
    <col min="2103" max="2103" width="2.7109375" style="16" customWidth="1"/>
    <col min="2104" max="2104" width="11.5703125" style="16" bestFit="1" customWidth="1"/>
    <col min="2105" max="2105" width="10.42578125" style="16" bestFit="1" customWidth="1"/>
    <col min="2106" max="2106" width="6.42578125" style="16" bestFit="1" customWidth="1"/>
    <col min="2107" max="2107" width="5.85546875" style="16" bestFit="1" customWidth="1"/>
    <col min="2108" max="2108" width="10.42578125" style="16" bestFit="1" customWidth="1"/>
    <col min="2109" max="2109" width="8.7109375" style="16" bestFit="1" customWidth="1"/>
    <col min="2110" max="2110" width="2.7109375" style="16" customWidth="1"/>
    <col min="2111" max="2111" width="5.85546875" style="16" bestFit="1" customWidth="1"/>
    <col min="2112" max="2112" width="12.7109375" style="16" bestFit="1" customWidth="1"/>
    <col min="2113" max="2113" width="11.5703125" style="16" bestFit="1" customWidth="1"/>
    <col min="2114" max="2114" width="2.7109375" style="16" customWidth="1"/>
    <col min="2115" max="2115" width="12.7109375" style="16" bestFit="1" customWidth="1"/>
    <col min="2116" max="2116" width="9.140625" style="16"/>
    <col min="2117" max="2117" width="21.7109375" style="16" bestFit="1" customWidth="1"/>
    <col min="2118" max="2118" width="9.140625" style="16"/>
    <col min="2119" max="2119" width="10.7109375" style="16" customWidth="1"/>
    <col min="2120" max="2120" width="10" style="16" bestFit="1" customWidth="1"/>
    <col min="2121" max="2329" width="9.140625" style="16"/>
    <col min="2330" max="2330" width="6.42578125" style="16" bestFit="1" customWidth="1"/>
    <col min="2331" max="2331" width="6" style="16" bestFit="1" customWidth="1"/>
    <col min="2332" max="2332" width="2.7109375" style="16" customWidth="1"/>
    <col min="2333" max="2334" width="10.42578125" style="16" customWidth="1"/>
    <col min="2335" max="2335" width="2.5703125" style="16" customWidth="1"/>
    <col min="2336" max="2337" width="10.5703125" style="16" customWidth="1"/>
    <col min="2338" max="2338" width="2.5703125" style="16" customWidth="1"/>
    <col min="2339" max="2340" width="10.5703125" style="16" customWidth="1"/>
    <col min="2341" max="2341" width="2.5703125" style="16" customWidth="1"/>
    <col min="2342" max="2342" width="12.140625" style="16" bestFit="1" customWidth="1"/>
    <col min="2343" max="2343" width="10.5703125" style="16" customWidth="1"/>
    <col min="2344" max="2344" width="2.5703125" style="16" customWidth="1"/>
    <col min="2345" max="2346" width="10.5703125" style="16" customWidth="1"/>
    <col min="2347" max="2347" width="2.7109375" style="16" customWidth="1"/>
    <col min="2348" max="2349" width="9.28515625" style="16" bestFit="1" customWidth="1"/>
    <col min="2350" max="2350" width="2.7109375" style="16" customWidth="1"/>
    <col min="2351" max="2352" width="10.42578125" style="16" bestFit="1" customWidth="1"/>
    <col min="2353" max="2353" width="2.5703125" style="16" customWidth="1"/>
    <col min="2354" max="2355" width="10.42578125" style="16" customWidth="1"/>
    <col min="2356" max="2356" width="2.5703125" style="16" customWidth="1"/>
    <col min="2357" max="2358" width="10.42578125" style="16" customWidth="1"/>
    <col min="2359" max="2359" width="2.7109375" style="16" customWidth="1"/>
    <col min="2360" max="2360" width="11.5703125" style="16" bestFit="1" customWidth="1"/>
    <col min="2361" max="2361" width="10.42578125" style="16" bestFit="1" customWidth="1"/>
    <col min="2362" max="2362" width="6.42578125" style="16" bestFit="1" customWidth="1"/>
    <col min="2363" max="2363" width="5.85546875" style="16" bestFit="1" customWidth="1"/>
    <col min="2364" max="2364" width="10.42578125" style="16" bestFit="1" customWidth="1"/>
    <col min="2365" max="2365" width="8.7109375" style="16" bestFit="1" customWidth="1"/>
    <col min="2366" max="2366" width="2.7109375" style="16" customWidth="1"/>
    <col min="2367" max="2367" width="5.85546875" style="16" bestFit="1" customWidth="1"/>
    <col min="2368" max="2368" width="12.7109375" style="16" bestFit="1" customWidth="1"/>
    <col min="2369" max="2369" width="11.5703125" style="16" bestFit="1" customWidth="1"/>
    <col min="2370" max="2370" width="2.7109375" style="16" customWidth="1"/>
    <col min="2371" max="2371" width="12.7109375" style="16" bestFit="1" customWidth="1"/>
    <col min="2372" max="2372" width="9.140625" style="16"/>
    <col min="2373" max="2373" width="21.7109375" style="16" bestFit="1" customWidth="1"/>
    <col min="2374" max="2374" width="9.140625" style="16"/>
    <col min="2375" max="2375" width="10.7109375" style="16" customWidth="1"/>
    <col min="2376" max="2376" width="10" style="16" bestFit="1" customWidth="1"/>
    <col min="2377" max="2585" width="9.140625" style="16"/>
    <col min="2586" max="2586" width="6.42578125" style="16" bestFit="1" customWidth="1"/>
    <col min="2587" max="2587" width="6" style="16" bestFit="1" customWidth="1"/>
    <col min="2588" max="2588" width="2.7109375" style="16" customWidth="1"/>
    <col min="2589" max="2590" width="10.42578125" style="16" customWidth="1"/>
    <col min="2591" max="2591" width="2.5703125" style="16" customWidth="1"/>
    <col min="2592" max="2593" width="10.5703125" style="16" customWidth="1"/>
    <col min="2594" max="2594" width="2.5703125" style="16" customWidth="1"/>
    <col min="2595" max="2596" width="10.5703125" style="16" customWidth="1"/>
    <col min="2597" max="2597" width="2.5703125" style="16" customWidth="1"/>
    <col min="2598" max="2598" width="12.140625" style="16" bestFit="1" customWidth="1"/>
    <col min="2599" max="2599" width="10.5703125" style="16" customWidth="1"/>
    <col min="2600" max="2600" width="2.5703125" style="16" customWidth="1"/>
    <col min="2601" max="2602" width="10.5703125" style="16" customWidth="1"/>
    <col min="2603" max="2603" width="2.7109375" style="16" customWidth="1"/>
    <col min="2604" max="2605" width="9.28515625" style="16" bestFit="1" customWidth="1"/>
    <col min="2606" max="2606" width="2.7109375" style="16" customWidth="1"/>
    <col min="2607" max="2608" width="10.42578125" style="16" bestFit="1" customWidth="1"/>
    <col min="2609" max="2609" width="2.5703125" style="16" customWidth="1"/>
    <col min="2610" max="2611" width="10.42578125" style="16" customWidth="1"/>
    <col min="2612" max="2612" width="2.5703125" style="16" customWidth="1"/>
    <col min="2613" max="2614" width="10.42578125" style="16" customWidth="1"/>
    <col min="2615" max="2615" width="2.7109375" style="16" customWidth="1"/>
    <col min="2616" max="2616" width="11.5703125" style="16" bestFit="1" customWidth="1"/>
    <col min="2617" max="2617" width="10.42578125" style="16" bestFit="1" customWidth="1"/>
    <col min="2618" max="2618" width="6.42578125" style="16" bestFit="1" customWidth="1"/>
    <col min="2619" max="2619" width="5.85546875" style="16" bestFit="1" customWidth="1"/>
    <col min="2620" max="2620" width="10.42578125" style="16" bestFit="1" customWidth="1"/>
    <col min="2621" max="2621" width="8.7109375" style="16" bestFit="1" customWidth="1"/>
    <col min="2622" max="2622" width="2.7109375" style="16" customWidth="1"/>
    <col min="2623" max="2623" width="5.85546875" style="16" bestFit="1" customWidth="1"/>
    <col min="2624" max="2624" width="12.7109375" style="16" bestFit="1" customWidth="1"/>
    <col min="2625" max="2625" width="11.5703125" style="16" bestFit="1" customWidth="1"/>
    <col min="2626" max="2626" width="2.7109375" style="16" customWidth="1"/>
    <col min="2627" max="2627" width="12.7109375" style="16" bestFit="1" customWidth="1"/>
    <col min="2628" max="2628" width="9.140625" style="16"/>
    <col min="2629" max="2629" width="21.7109375" style="16" bestFit="1" customWidth="1"/>
    <col min="2630" max="2630" width="9.140625" style="16"/>
    <col min="2631" max="2631" width="10.7109375" style="16" customWidth="1"/>
    <col min="2632" max="2632" width="10" style="16" bestFit="1" customWidth="1"/>
    <col min="2633" max="2841" width="9.140625" style="16"/>
    <col min="2842" max="2842" width="6.42578125" style="16" bestFit="1" customWidth="1"/>
    <col min="2843" max="2843" width="6" style="16" bestFit="1" customWidth="1"/>
    <col min="2844" max="2844" width="2.7109375" style="16" customWidth="1"/>
    <col min="2845" max="2846" width="10.42578125" style="16" customWidth="1"/>
    <col min="2847" max="2847" width="2.5703125" style="16" customWidth="1"/>
    <col min="2848" max="2849" width="10.5703125" style="16" customWidth="1"/>
    <col min="2850" max="2850" width="2.5703125" style="16" customWidth="1"/>
    <col min="2851" max="2852" width="10.5703125" style="16" customWidth="1"/>
    <col min="2853" max="2853" width="2.5703125" style="16" customWidth="1"/>
    <col min="2854" max="2854" width="12.140625" style="16" bestFit="1" customWidth="1"/>
    <col min="2855" max="2855" width="10.5703125" style="16" customWidth="1"/>
    <col min="2856" max="2856" width="2.5703125" style="16" customWidth="1"/>
    <col min="2857" max="2858" width="10.5703125" style="16" customWidth="1"/>
    <col min="2859" max="2859" width="2.7109375" style="16" customWidth="1"/>
    <col min="2860" max="2861" width="9.28515625" style="16" bestFit="1" customWidth="1"/>
    <col min="2862" max="2862" width="2.7109375" style="16" customWidth="1"/>
    <col min="2863" max="2864" width="10.42578125" style="16" bestFit="1" customWidth="1"/>
    <col min="2865" max="2865" width="2.5703125" style="16" customWidth="1"/>
    <col min="2866" max="2867" width="10.42578125" style="16" customWidth="1"/>
    <col min="2868" max="2868" width="2.5703125" style="16" customWidth="1"/>
    <col min="2869" max="2870" width="10.42578125" style="16" customWidth="1"/>
    <col min="2871" max="2871" width="2.7109375" style="16" customWidth="1"/>
    <col min="2872" max="2872" width="11.5703125" style="16" bestFit="1" customWidth="1"/>
    <col min="2873" max="2873" width="10.42578125" style="16" bestFit="1" customWidth="1"/>
    <col min="2874" max="2874" width="6.42578125" style="16" bestFit="1" customWidth="1"/>
    <col min="2875" max="2875" width="5.85546875" style="16" bestFit="1" customWidth="1"/>
    <col min="2876" max="2876" width="10.42578125" style="16" bestFit="1" customWidth="1"/>
    <col min="2877" max="2877" width="8.7109375" style="16" bestFit="1" customWidth="1"/>
    <col min="2878" max="2878" width="2.7109375" style="16" customWidth="1"/>
    <col min="2879" max="2879" width="5.85546875" style="16" bestFit="1" customWidth="1"/>
    <col min="2880" max="2880" width="12.7109375" style="16" bestFit="1" customWidth="1"/>
    <col min="2881" max="2881" width="11.5703125" style="16" bestFit="1" customWidth="1"/>
    <col min="2882" max="2882" width="2.7109375" style="16" customWidth="1"/>
    <col min="2883" max="2883" width="12.7109375" style="16" bestFit="1" customWidth="1"/>
    <col min="2884" max="2884" width="9.140625" style="16"/>
    <col min="2885" max="2885" width="21.7109375" style="16" bestFit="1" customWidth="1"/>
    <col min="2886" max="2886" width="9.140625" style="16"/>
    <col min="2887" max="2887" width="10.7109375" style="16" customWidth="1"/>
    <col min="2888" max="2888" width="10" style="16" bestFit="1" customWidth="1"/>
    <col min="2889" max="3097" width="9.140625" style="16"/>
    <col min="3098" max="3098" width="6.42578125" style="16" bestFit="1" customWidth="1"/>
    <col min="3099" max="3099" width="6" style="16" bestFit="1" customWidth="1"/>
    <col min="3100" max="3100" width="2.7109375" style="16" customWidth="1"/>
    <col min="3101" max="3102" width="10.42578125" style="16" customWidth="1"/>
    <col min="3103" max="3103" width="2.5703125" style="16" customWidth="1"/>
    <col min="3104" max="3105" width="10.5703125" style="16" customWidth="1"/>
    <col min="3106" max="3106" width="2.5703125" style="16" customWidth="1"/>
    <col min="3107" max="3108" width="10.5703125" style="16" customWidth="1"/>
    <col min="3109" max="3109" width="2.5703125" style="16" customWidth="1"/>
    <col min="3110" max="3110" width="12.140625" style="16" bestFit="1" customWidth="1"/>
    <col min="3111" max="3111" width="10.5703125" style="16" customWidth="1"/>
    <col min="3112" max="3112" width="2.5703125" style="16" customWidth="1"/>
    <col min="3113" max="3114" width="10.5703125" style="16" customWidth="1"/>
    <col min="3115" max="3115" width="2.7109375" style="16" customWidth="1"/>
    <col min="3116" max="3117" width="9.28515625" style="16" bestFit="1" customWidth="1"/>
    <col min="3118" max="3118" width="2.7109375" style="16" customWidth="1"/>
    <col min="3119" max="3120" width="10.42578125" style="16" bestFit="1" customWidth="1"/>
    <col min="3121" max="3121" width="2.5703125" style="16" customWidth="1"/>
    <col min="3122" max="3123" width="10.42578125" style="16" customWidth="1"/>
    <col min="3124" max="3124" width="2.5703125" style="16" customWidth="1"/>
    <col min="3125" max="3126" width="10.42578125" style="16" customWidth="1"/>
    <col min="3127" max="3127" width="2.7109375" style="16" customWidth="1"/>
    <col min="3128" max="3128" width="11.5703125" style="16" bestFit="1" customWidth="1"/>
    <col min="3129" max="3129" width="10.42578125" style="16" bestFit="1" customWidth="1"/>
    <col min="3130" max="3130" width="6.42578125" style="16" bestFit="1" customWidth="1"/>
    <col min="3131" max="3131" width="5.85546875" style="16" bestFit="1" customWidth="1"/>
    <col min="3132" max="3132" width="10.42578125" style="16" bestFit="1" customWidth="1"/>
    <col min="3133" max="3133" width="8.7109375" style="16" bestFit="1" customWidth="1"/>
    <col min="3134" max="3134" width="2.7109375" style="16" customWidth="1"/>
    <col min="3135" max="3135" width="5.85546875" style="16" bestFit="1" customWidth="1"/>
    <col min="3136" max="3136" width="12.7109375" style="16" bestFit="1" customWidth="1"/>
    <col min="3137" max="3137" width="11.5703125" style="16" bestFit="1" customWidth="1"/>
    <col min="3138" max="3138" width="2.7109375" style="16" customWidth="1"/>
    <col min="3139" max="3139" width="12.7109375" style="16" bestFit="1" customWidth="1"/>
    <col min="3140" max="3140" width="9.140625" style="16"/>
    <col min="3141" max="3141" width="21.7109375" style="16" bestFit="1" customWidth="1"/>
    <col min="3142" max="3142" width="9.140625" style="16"/>
    <col min="3143" max="3143" width="10.7109375" style="16" customWidth="1"/>
    <col min="3144" max="3144" width="10" style="16" bestFit="1" customWidth="1"/>
    <col min="3145" max="3353" width="9.140625" style="16"/>
    <col min="3354" max="3354" width="6.42578125" style="16" bestFit="1" customWidth="1"/>
    <col min="3355" max="3355" width="6" style="16" bestFit="1" customWidth="1"/>
    <col min="3356" max="3356" width="2.7109375" style="16" customWidth="1"/>
    <col min="3357" max="3358" width="10.42578125" style="16" customWidth="1"/>
    <col min="3359" max="3359" width="2.5703125" style="16" customWidth="1"/>
    <col min="3360" max="3361" width="10.5703125" style="16" customWidth="1"/>
    <col min="3362" max="3362" width="2.5703125" style="16" customWidth="1"/>
    <col min="3363" max="3364" width="10.5703125" style="16" customWidth="1"/>
    <col min="3365" max="3365" width="2.5703125" style="16" customWidth="1"/>
    <col min="3366" max="3366" width="12.140625" style="16" bestFit="1" customWidth="1"/>
    <col min="3367" max="3367" width="10.5703125" style="16" customWidth="1"/>
    <col min="3368" max="3368" width="2.5703125" style="16" customWidth="1"/>
    <col min="3369" max="3370" width="10.5703125" style="16" customWidth="1"/>
    <col min="3371" max="3371" width="2.7109375" style="16" customWidth="1"/>
    <col min="3372" max="3373" width="9.28515625" style="16" bestFit="1" customWidth="1"/>
    <col min="3374" max="3374" width="2.7109375" style="16" customWidth="1"/>
    <col min="3375" max="3376" width="10.42578125" style="16" bestFit="1" customWidth="1"/>
    <col min="3377" max="3377" width="2.5703125" style="16" customWidth="1"/>
    <col min="3378" max="3379" width="10.42578125" style="16" customWidth="1"/>
    <col min="3380" max="3380" width="2.5703125" style="16" customWidth="1"/>
    <col min="3381" max="3382" width="10.42578125" style="16" customWidth="1"/>
    <col min="3383" max="3383" width="2.7109375" style="16" customWidth="1"/>
    <col min="3384" max="3384" width="11.5703125" style="16" bestFit="1" customWidth="1"/>
    <col min="3385" max="3385" width="10.42578125" style="16" bestFit="1" customWidth="1"/>
    <col min="3386" max="3386" width="6.42578125" style="16" bestFit="1" customWidth="1"/>
    <col min="3387" max="3387" width="5.85546875" style="16" bestFit="1" customWidth="1"/>
    <col min="3388" max="3388" width="10.42578125" style="16" bestFit="1" customWidth="1"/>
    <col min="3389" max="3389" width="8.7109375" style="16" bestFit="1" customWidth="1"/>
    <col min="3390" max="3390" width="2.7109375" style="16" customWidth="1"/>
    <col min="3391" max="3391" width="5.85546875" style="16" bestFit="1" customWidth="1"/>
    <col min="3392" max="3392" width="12.7109375" style="16" bestFit="1" customWidth="1"/>
    <col min="3393" max="3393" width="11.5703125" style="16" bestFit="1" customWidth="1"/>
    <col min="3394" max="3394" width="2.7109375" style="16" customWidth="1"/>
    <col min="3395" max="3395" width="12.7109375" style="16" bestFit="1" customWidth="1"/>
    <col min="3396" max="3396" width="9.140625" style="16"/>
    <col min="3397" max="3397" width="21.7109375" style="16" bestFit="1" customWidth="1"/>
    <col min="3398" max="3398" width="9.140625" style="16"/>
    <col min="3399" max="3399" width="10.7109375" style="16" customWidth="1"/>
    <col min="3400" max="3400" width="10" style="16" bestFit="1" customWidth="1"/>
    <col min="3401" max="3609" width="9.140625" style="16"/>
    <col min="3610" max="3610" width="6.42578125" style="16" bestFit="1" customWidth="1"/>
    <col min="3611" max="3611" width="6" style="16" bestFit="1" customWidth="1"/>
    <col min="3612" max="3612" width="2.7109375" style="16" customWidth="1"/>
    <col min="3613" max="3614" width="10.42578125" style="16" customWidth="1"/>
    <col min="3615" max="3615" width="2.5703125" style="16" customWidth="1"/>
    <col min="3616" max="3617" width="10.5703125" style="16" customWidth="1"/>
    <col min="3618" max="3618" width="2.5703125" style="16" customWidth="1"/>
    <col min="3619" max="3620" width="10.5703125" style="16" customWidth="1"/>
    <col min="3621" max="3621" width="2.5703125" style="16" customWidth="1"/>
    <col min="3622" max="3622" width="12.140625" style="16" bestFit="1" customWidth="1"/>
    <col min="3623" max="3623" width="10.5703125" style="16" customWidth="1"/>
    <col min="3624" max="3624" width="2.5703125" style="16" customWidth="1"/>
    <col min="3625" max="3626" width="10.5703125" style="16" customWidth="1"/>
    <col min="3627" max="3627" width="2.7109375" style="16" customWidth="1"/>
    <col min="3628" max="3629" width="9.28515625" style="16" bestFit="1" customWidth="1"/>
    <col min="3630" max="3630" width="2.7109375" style="16" customWidth="1"/>
    <col min="3631" max="3632" width="10.42578125" style="16" bestFit="1" customWidth="1"/>
    <col min="3633" max="3633" width="2.5703125" style="16" customWidth="1"/>
    <col min="3634" max="3635" width="10.42578125" style="16" customWidth="1"/>
    <col min="3636" max="3636" width="2.5703125" style="16" customWidth="1"/>
    <col min="3637" max="3638" width="10.42578125" style="16" customWidth="1"/>
    <col min="3639" max="3639" width="2.7109375" style="16" customWidth="1"/>
    <col min="3640" max="3640" width="11.5703125" style="16" bestFit="1" customWidth="1"/>
    <col min="3641" max="3641" width="10.42578125" style="16" bestFit="1" customWidth="1"/>
    <col min="3642" max="3642" width="6.42578125" style="16" bestFit="1" customWidth="1"/>
    <col min="3643" max="3643" width="5.85546875" style="16" bestFit="1" customWidth="1"/>
    <col min="3644" max="3644" width="10.42578125" style="16" bestFit="1" customWidth="1"/>
    <col min="3645" max="3645" width="8.7109375" style="16" bestFit="1" customWidth="1"/>
    <col min="3646" max="3646" width="2.7109375" style="16" customWidth="1"/>
    <col min="3647" max="3647" width="5.85546875" style="16" bestFit="1" customWidth="1"/>
    <col min="3648" max="3648" width="12.7109375" style="16" bestFit="1" customWidth="1"/>
    <col min="3649" max="3649" width="11.5703125" style="16" bestFit="1" customWidth="1"/>
    <col min="3650" max="3650" width="2.7109375" style="16" customWidth="1"/>
    <col min="3651" max="3651" width="12.7109375" style="16" bestFit="1" customWidth="1"/>
    <col min="3652" max="3652" width="9.140625" style="16"/>
    <col min="3653" max="3653" width="21.7109375" style="16" bestFit="1" customWidth="1"/>
    <col min="3654" max="3654" width="9.140625" style="16"/>
    <col min="3655" max="3655" width="10.7109375" style="16" customWidth="1"/>
    <col min="3656" max="3656" width="10" style="16" bestFit="1" customWidth="1"/>
    <col min="3657" max="3865" width="9.140625" style="16"/>
    <col min="3866" max="3866" width="6.42578125" style="16" bestFit="1" customWidth="1"/>
    <col min="3867" max="3867" width="6" style="16" bestFit="1" customWidth="1"/>
    <col min="3868" max="3868" width="2.7109375" style="16" customWidth="1"/>
    <col min="3869" max="3870" width="10.42578125" style="16" customWidth="1"/>
    <col min="3871" max="3871" width="2.5703125" style="16" customWidth="1"/>
    <col min="3872" max="3873" width="10.5703125" style="16" customWidth="1"/>
    <col min="3874" max="3874" width="2.5703125" style="16" customWidth="1"/>
    <col min="3875" max="3876" width="10.5703125" style="16" customWidth="1"/>
    <col min="3877" max="3877" width="2.5703125" style="16" customWidth="1"/>
    <col min="3878" max="3878" width="12.140625" style="16" bestFit="1" customWidth="1"/>
    <col min="3879" max="3879" width="10.5703125" style="16" customWidth="1"/>
    <col min="3880" max="3880" width="2.5703125" style="16" customWidth="1"/>
    <col min="3881" max="3882" width="10.5703125" style="16" customWidth="1"/>
    <col min="3883" max="3883" width="2.7109375" style="16" customWidth="1"/>
    <col min="3884" max="3885" width="9.28515625" style="16" bestFit="1" customWidth="1"/>
    <col min="3886" max="3886" width="2.7109375" style="16" customWidth="1"/>
    <col min="3887" max="3888" width="10.42578125" style="16" bestFit="1" customWidth="1"/>
    <col min="3889" max="3889" width="2.5703125" style="16" customWidth="1"/>
    <col min="3890" max="3891" width="10.42578125" style="16" customWidth="1"/>
    <col min="3892" max="3892" width="2.5703125" style="16" customWidth="1"/>
    <col min="3893" max="3894" width="10.42578125" style="16" customWidth="1"/>
    <col min="3895" max="3895" width="2.7109375" style="16" customWidth="1"/>
    <col min="3896" max="3896" width="11.5703125" style="16" bestFit="1" customWidth="1"/>
    <col min="3897" max="3897" width="10.42578125" style="16" bestFit="1" customWidth="1"/>
    <col min="3898" max="3898" width="6.42578125" style="16" bestFit="1" customWidth="1"/>
    <col min="3899" max="3899" width="5.85546875" style="16" bestFit="1" customWidth="1"/>
    <col min="3900" max="3900" width="10.42578125" style="16" bestFit="1" customWidth="1"/>
    <col min="3901" max="3901" width="8.7109375" style="16" bestFit="1" customWidth="1"/>
    <col min="3902" max="3902" width="2.7109375" style="16" customWidth="1"/>
    <col min="3903" max="3903" width="5.85546875" style="16" bestFit="1" customWidth="1"/>
    <col min="3904" max="3904" width="12.7109375" style="16" bestFit="1" customWidth="1"/>
    <col min="3905" max="3905" width="11.5703125" style="16" bestFit="1" customWidth="1"/>
    <col min="3906" max="3906" width="2.7109375" style="16" customWidth="1"/>
    <col min="3907" max="3907" width="12.7109375" style="16" bestFit="1" customWidth="1"/>
    <col min="3908" max="3908" width="9.140625" style="16"/>
    <col min="3909" max="3909" width="21.7109375" style="16" bestFit="1" customWidth="1"/>
    <col min="3910" max="3910" width="9.140625" style="16"/>
    <col min="3911" max="3911" width="10.7109375" style="16" customWidth="1"/>
    <col min="3912" max="3912" width="10" style="16" bestFit="1" customWidth="1"/>
    <col min="3913" max="4121" width="9.140625" style="16"/>
    <col min="4122" max="4122" width="6.42578125" style="16" bestFit="1" customWidth="1"/>
    <col min="4123" max="4123" width="6" style="16" bestFit="1" customWidth="1"/>
    <col min="4124" max="4124" width="2.7109375" style="16" customWidth="1"/>
    <col min="4125" max="4126" width="10.42578125" style="16" customWidth="1"/>
    <col min="4127" max="4127" width="2.5703125" style="16" customWidth="1"/>
    <col min="4128" max="4129" width="10.5703125" style="16" customWidth="1"/>
    <col min="4130" max="4130" width="2.5703125" style="16" customWidth="1"/>
    <col min="4131" max="4132" width="10.5703125" style="16" customWidth="1"/>
    <col min="4133" max="4133" width="2.5703125" style="16" customWidth="1"/>
    <col min="4134" max="4134" width="12.140625" style="16" bestFit="1" customWidth="1"/>
    <col min="4135" max="4135" width="10.5703125" style="16" customWidth="1"/>
    <col min="4136" max="4136" width="2.5703125" style="16" customWidth="1"/>
    <col min="4137" max="4138" width="10.5703125" style="16" customWidth="1"/>
    <col min="4139" max="4139" width="2.7109375" style="16" customWidth="1"/>
    <col min="4140" max="4141" width="9.28515625" style="16" bestFit="1" customWidth="1"/>
    <col min="4142" max="4142" width="2.7109375" style="16" customWidth="1"/>
    <col min="4143" max="4144" width="10.42578125" style="16" bestFit="1" customWidth="1"/>
    <col min="4145" max="4145" width="2.5703125" style="16" customWidth="1"/>
    <col min="4146" max="4147" width="10.42578125" style="16" customWidth="1"/>
    <col min="4148" max="4148" width="2.5703125" style="16" customWidth="1"/>
    <col min="4149" max="4150" width="10.42578125" style="16" customWidth="1"/>
    <col min="4151" max="4151" width="2.7109375" style="16" customWidth="1"/>
    <col min="4152" max="4152" width="11.5703125" style="16" bestFit="1" customWidth="1"/>
    <col min="4153" max="4153" width="10.42578125" style="16" bestFit="1" customWidth="1"/>
    <col min="4154" max="4154" width="6.42578125" style="16" bestFit="1" customWidth="1"/>
    <col min="4155" max="4155" width="5.85546875" style="16" bestFit="1" customWidth="1"/>
    <col min="4156" max="4156" width="10.42578125" style="16" bestFit="1" customWidth="1"/>
    <col min="4157" max="4157" width="8.7109375" style="16" bestFit="1" customWidth="1"/>
    <col min="4158" max="4158" width="2.7109375" style="16" customWidth="1"/>
    <col min="4159" max="4159" width="5.85546875" style="16" bestFit="1" customWidth="1"/>
    <col min="4160" max="4160" width="12.7109375" style="16" bestFit="1" customWidth="1"/>
    <col min="4161" max="4161" width="11.5703125" style="16" bestFit="1" customWidth="1"/>
    <col min="4162" max="4162" width="2.7109375" style="16" customWidth="1"/>
    <col min="4163" max="4163" width="12.7109375" style="16" bestFit="1" customWidth="1"/>
    <col min="4164" max="4164" width="9.140625" style="16"/>
    <col min="4165" max="4165" width="21.7109375" style="16" bestFit="1" customWidth="1"/>
    <col min="4166" max="4166" width="9.140625" style="16"/>
    <col min="4167" max="4167" width="10.7109375" style="16" customWidth="1"/>
    <col min="4168" max="4168" width="10" style="16" bestFit="1" customWidth="1"/>
    <col min="4169" max="4377" width="9.140625" style="16"/>
    <col min="4378" max="4378" width="6.42578125" style="16" bestFit="1" customWidth="1"/>
    <col min="4379" max="4379" width="6" style="16" bestFit="1" customWidth="1"/>
    <col min="4380" max="4380" width="2.7109375" style="16" customWidth="1"/>
    <col min="4381" max="4382" width="10.42578125" style="16" customWidth="1"/>
    <col min="4383" max="4383" width="2.5703125" style="16" customWidth="1"/>
    <col min="4384" max="4385" width="10.5703125" style="16" customWidth="1"/>
    <col min="4386" max="4386" width="2.5703125" style="16" customWidth="1"/>
    <col min="4387" max="4388" width="10.5703125" style="16" customWidth="1"/>
    <col min="4389" max="4389" width="2.5703125" style="16" customWidth="1"/>
    <col min="4390" max="4390" width="12.140625" style="16" bestFit="1" customWidth="1"/>
    <col min="4391" max="4391" width="10.5703125" style="16" customWidth="1"/>
    <col min="4392" max="4392" width="2.5703125" style="16" customWidth="1"/>
    <col min="4393" max="4394" width="10.5703125" style="16" customWidth="1"/>
    <col min="4395" max="4395" width="2.7109375" style="16" customWidth="1"/>
    <col min="4396" max="4397" width="9.28515625" style="16" bestFit="1" customWidth="1"/>
    <col min="4398" max="4398" width="2.7109375" style="16" customWidth="1"/>
    <col min="4399" max="4400" width="10.42578125" style="16" bestFit="1" customWidth="1"/>
    <col min="4401" max="4401" width="2.5703125" style="16" customWidth="1"/>
    <col min="4402" max="4403" width="10.42578125" style="16" customWidth="1"/>
    <col min="4404" max="4404" width="2.5703125" style="16" customWidth="1"/>
    <col min="4405" max="4406" width="10.42578125" style="16" customWidth="1"/>
    <col min="4407" max="4407" width="2.7109375" style="16" customWidth="1"/>
    <col min="4408" max="4408" width="11.5703125" style="16" bestFit="1" customWidth="1"/>
    <col min="4409" max="4409" width="10.42578125" style="16" bestFit="1" customWidth="1"/>
    <col min="4410" max="4410" width="6.42578125" style="16" bestFit="1" customWidth="1"/>
    <col min="4411" max="4411" width="5.85546875" style="16" bestFit="1" customWidth="1"/>
    <col min="4412" max="4412" width="10.42578125" style="16" bestFit="1" customWidth="1"/>
    <col min="4413" max="4413" width="8.7109375" style="16" bestFit="1" customWidth="1"/>
    <col min="4414" max="4414" width="2.7109375" style="16" customWidth="1"/>
    <col min="4415" max="4415" width="5.85546875" style="16" bestFit="1" customWidth="1"/>
    <col min="4416" max="4416" width="12.7109375" style="16" bestFit="1" customWidth="1"/>
    <col min="4417" max="4417" width="11.5703125" style="16" bestFit="1" customWidth="1"/>
    <col min="4418" max="4418" width="2.7109375" style="16" customWidth="1"/>
    <col min="4419" max="4419" width="12.7109375" style="16" bestFit="1" customWidth="1"/>
    <col min="4420" max="4420" width="9.140625" style="16"/>
    <col min="4421" max="4421" width="21.7109375" style="16" bestFit="1" customWidth="1"/>
    <col min="4422" max="4422" width="9.140625" style="16"/>
    <col min="4423" max="4423" width="10.7109375" style="16" customWidth="1"/>
    <col min="4424" max="4424" width="10" style="16" bestFit="1" customWidth="1"/>
    <col min="4425" max="4633" width="9.140625" style="16"/>
    <col min="4634" max="4634" width="6.42578125" style="16" bestFit="1" customWidth="1"/>
    <col min="4635" max="4635" width="6" style="16" bestFit="1" customWidth="1"/>
    <col min="4636" max="4636" width="2.7109375" style="16" customWidth="1"/>
    <col min="4637" max="4638" width="10.42578125" style="16" customWidth="1"/>
    <col min="4639" max="4639" width="2.5703125" style="16" customWidth="1"/>
    <col min="4640" max="4641" width="10.5703125" style="16" customWidth="1"/>
    <col min="4642" max="4642" width="2.5703125" style="16" customWidth="1"/>
    <col min="4643" max="4644" width="10.5703125" style="16" customWidth="1"/>
    <col min="4645" max="4645" width="2.5703125" style="16" customWidth="1"/>
    <col min="4646" max="4646" width="12.140625" style="16" bestFit="1" customWidth="1"/>
    <col min="4647" max="4647" width="10.5703125" style="16" customWidth="1"/>
    <col min="4648" max="4648" width="2.5703125" style="16" customWidth="1"/>
    <col min="4649" max="4650" width="10.5703125" style="16" customWidth="1"/>
    <col min="4651" max="4651" width="2.7109375" style="16" customWidth="1"/>
    <col min="4652" max="4653" width="9.28515625" style="16" bestFit="1" customWidth="1"/>
    <col min="4654" max="4654" width="2.7109375" style="16" customWidth="1"/>
    <col min="4655" max="4656" width="10.42578125" style="16" bestFit="1" customWidth="1"/>
    <col min="4657" max="4657" width="2.5703125" style="16" customWidth="1"/>
    <col min="4658" max="4659" width="10.42578125" style="16" customWidth="1"/>
    <col min="4660" max="4660" width="2.5703125" style="16" customWidth="1"/>
    <col min="4661" max="4662" width="10.42578125" style="16" customWidth="1"/>
    <col min="4663" max="4663" width="2.7109375" style="16" customWidth="1"/>
    <col min="4664" max="4664" width="11.5703125" style="16" bestFit="1" customWidth="1"/>
    <col min="4665" max="4665" width="10.42578125" style="16" bestFit="1" customWidth="1"/>
    <col min="4666" max="4666" width="6.42578125" style="16" bestFit="1" customWidth="1"/>
    <col min="4667" max="4667" width="5.85546875" style="16" bestFit="1" customWidth="1"/>
    <col min="4668" max="4668" width="10.42578125" style="16" bestFit="1" customWidth="1"/>
    <col min="4669" max="4669" width="8.7109375" style="16" bestFit="1" customWidth="1"/>
    <col min="4670" max="4670" width="2.7109375" style="16" customWidth="1"/>
    <col min="4671" max="4671" width="5.85546875" style="16" bestFit="1" customWidth="1"/>
    <col min="4672" max="4672" width="12.7109375" style="16" bestFit="1" customWidth="1"/>
    <col min="4673" max="4673" width="11.5703125" style="16" bestFit="1" customWidth="1"/>
    <col min="4674" max="4674" width="2.7109375" style="16" customWidth="1"/>
    <col min="4675" max="4675" width="12.7109375" style="16" bestFit="1" customWidth="1"/>
    <col min="4676" max="4676" width="9.140625" style="16"/>
    <col min="4677" max="4677" width="21.7109375" style="16" bestFit="1" customWidth="1"/>
    <col min="4678" max="4678" width="9.140625" style="16"/>
    <col min="4679" max="4679" width="10.7109375" style="16" customWidth="1"/>
    <col min="4680" max="4680" width="10" style="16" bestFit="1" customWidth="1"/>
    <col min="4681" max="4889" width="9.140625" style="16"/>
    <col min="4890" max="4890" width="6.42578125" style="16" bestFit="1" customWidth="1"/>
    <col min="4891" max="4891" width="6" style="16" bestFit="1" customWidth="1"/>
    <col min="4892" max="4892" width="2.7109375" style="16" customWidth="1"/>
    <col min="4893" max="4894" width="10.42578125" style="16" customWidth="1"/>
    <col min="4895" max="4895" width="2.5703125" style="16" customWidth="1"/>
    <col min="4896" max="4897" width="10.5703125" style="16" customWidth="1"/>
    <col min="4898" max="4898" width="2.5703125" style="16" customWidth="1"/>
    <col min="4899" max="4900" width="10.5703125" style="16" customWidth="1"/>
    <col min="4901" max="4901" width="2.5703125" style="16" customWidth="1"/>
    <col min="4902" max="4902" width="12.140625" style="16" bestFit="1" customWidth="1"/>
    <col min="4903" max="4903" width="10.5703125" style="16" customWidth="1"/>
    <col min="4904" max="4904" width="2.5703125" style="16" customWidth="1"/>
    <col min="4905" max="4906" width="10.5703125" style="16" customWidth="1"/>
    <col min="4907" max="4907" width="2.7109375" style="16" customWidth="1"/>
    <col min="4908" max="4909" width="9.28515625" style="16" bestFit="1" customWidth="1"/>
    <col min="4910" max="4910" width="2.7109375" style="16" customWidth="1"/>
    <col min="4911" max="4912" width="10.42578125" style="16" bestFit="1" customWidth="1"/>
    <col min="4913" max="4913" width="2.5703125" style="16" customWidth="1"/>
    <col min="4914" max="4915" width="10.42578125" style="16" customWidth="1"/>
    <col min="4916" max="4916" width="2.5703125" style="16" customWidth="1"/>
    <col min="4917" max="4918" width="10.42578125" style="16" customWidth="1"/>
    <col min="4919" max="4919" width="2.7109375" style="16" customWidth="1"/>
    <col min="4920" max="4920" width="11.5703125" style="16" bestFit="1" customWidth="1"/>
    <col min="4921" max="4921" width="10.42578125" style="16" bestFit="1" customWidth="1"/>
    <col min="4922" max="4922" width="6.42578125" style="16" bestFit="1" customWidth="1"/>
    <col min="4923" max="4923" width="5.85546875" style="16" bestFit="1" customWidth="1"/>
    <col min="4924" max="4924" width="10.42578125" style="16" bestFit="1" customWidth="1"/>
    <col min="4925" max="4925" width="8.7109375" style="16" bestFit="1" customWidth="1"/>
    <col min="4926" max="4926" width="2.7109375" style="16" customWidth="1"/>
    <col min="4927" max="4927" width="5.85546875" style="16" bestFit="1" customWidth="1"/>
    <col min="4928" max="4928" width="12.7109375" style="16" bestFit="1" customWidth="1"/>
    <col min="4929" max="4929" width="11.5703125" style="16" bestFit="1" customWidth="1"/>
    <col min="4930" max="4930" width="2.7109375" style="16" customWidth="1"/>
    <col min="4931" max="4931" width="12.7109375" style="16" bestFit="1" customWidth="1"/>
    <col min="4932" max="4932" width="9.140625" style="16"/>
    <col min="4933" max="4933" width="21.7109375" style="16" bestFit="1" customWidth="1"/>
    <col min="4934" max="4934" width="9.140625" style="16"/>
    <col min="4935" max="4935" width="10.7109375" style="16" customWidth="1"/>
    <col min="4936" max="4936" width="10" style="16" bestFit="1" customWidth="1"/>
    <col min="4937" max="5145" width="9.140625" style="16"/>
    <col min="5146" max="5146" width="6.42578125" style="16" bestFit="1" customWidth="1"/>
    <col min="5147" max="5147" width="6" style="16" bestFit="1" customWidth="1"/>
    <col min="5148" max="5148" width="2.7109375" style="16" customWidth="1"/>
    <col min="5149" max="5150" width="10.42578125" style="16" customWidth="1"/>
    <col min="5151" max="5151" width="2.5703125" style="16" customWidth="1"/>
    <col min="5152" max="5153" width="10.5703125" style="16" customWidth="1"/>
    <col min="5154" max="5154" width="2.5703125" style="16" customWidth="1"/>
    <col min="5155" max="5156" width="10.5703125" style="16" customWidth="1"/>
    <col min="5157" max="5157" width="2.5703125" style="16" customWidth="1"/>
    <col min="5158" max="5158" width="12.140625" style="16" bestFit="1" customWidth="1"/>
    <col min="5159" max="5159" width="10.5703125" style="16" customWidth="1"/>
    <col min="5160" max="5160" width="2.5703125" style="16" customWidth="1"/>
    <col min="5161" max="5162" width="10.5703125" style="16" customWidth="1"/>
    <col min="5163" max="5163" width="2.7109375" style="16" customWidth="1"/>
    <col min="5164" max="5165" width="9.28515625" style="16" bestFit="1" customWidth="1"/>
    <col min="5166" max="5166" width="2.7109375" style="16" customWidth="1"/>
    <col min="5167" max="5168" width="10.42578125" style="16" bestFit="1" customWidth="1"/>
    <col min="5169" max="5169" width="2.5703125" style="16" customWidth="1"/>
    <col min="5170" max="5171" width="10.42578125" style="16" customWidth="1"/>
    <col min="5172" max="5172" width="2.5703125" style="16" customWidth="1"/>
    <col min="5173" max="5174" width="10.42578125" style="16" customWidth="1"/>
    <col min="5175" max="5175" width="2.7109375" style="16" customWidth="1"/>
    <col min="5176" max="5176" width="11.5703125" style="16" bestFit="1" customWidth="1"/>
    <col min="5177" max="5177" width="10.42578125" style="16" bestFit="1" customWidth="1"/>
    <col min="5178" max="5178" width="6.42578125" style="16" bestFit="1" customWidth="1"/>
    <col min="5179" max="5179" width="5.85546875" style="16" bestFit="1" customWidth="1"/>
    <col min="5180" max="5180" width="10.42578125" style="16" bestFit="1" customWidth="1"/>
    <col min="5181" max="5181" width="8.7109375" style="16" bestFit="1" customWidth="1"/>
    <col min="5182" max="5182" width="2.7109375" style="16" customWidth="1"/>
    <col min="5183" max="5183" width="5.85546875" style="16" bestFit="1" customWidth="1"/>
    <col min="5184" max="5184" width="12.7109375" style="16" bestFit="1" customWidth="1"/>
    <col min="5185" max="5185" width="11.5703125" style="16" bestFit="1" customWidth="1"/>
    <col min="5186" max="5186" width="2.7109375" style="16" customWidth="1"/>
    <col min="5187" max="5187" width="12.7109375" style="16" bestFit="1" customWidth="1"/>
    <col min="5188" max="5188" width="9.140625" style="16"/>
    <col min="5189" max="5189" width="21.7109375" style="16" bestFit="1" customWidth="1"/>
    <col min="5190" max="5190" width="9.140625" style="16"/>
    <col min="5191" max="5191" width="10.7109375" style="16" customWidth="1"/>
    <col min="5192" max="5192" width="10" style="16" bestFit="1" customWidth="1"/>
    <col min="5193" max="5401" width="9.140625" style="16"/>
    <col min="5402" max="5402" width="6.42578125" style="16" bestFit="1" customWidth="1"/>
    <col min="5403" max="5403" width="6" style="16" bestFit="1" customWidth="1"/>
    <col min="5404" max="5404" width="2.7109375" style="16" customWidth="1"/>
    <col min="5405" max="5406" width="10.42578125" style="16" customWidth="1"/>
    <col min="5407" max="5407" width="2.5703125" style="16" customWidth="1"/>
    <col min="5408" max="5409" width="10.5703125" style="16" customWidth="1"/>
    <col min="5410" max="5410" width="2.5703125" style="16" customWidth="1"/>
    <col min="5411" max="5412" width="10.5703125" style="16" customWidth="1"/>
    <col min="5413" max="5413" width="2.5703125" style="16" customWidth="1"/>
    <col min="5414" max="5414" width="12.140625" style="16" bestFit="1" customWidth="1"/>
    <col min="5415" max="5415" width="10.5703125" style="16" customWidth="1"/>
    <col min="5416" max="5416" width="2.5703125" style="16" customWidth="1"/>
    <col min="5417" max="5418" width="10.5703125" style="16" customWidth="1"/>
    <col min="5419" max="5419" width="2.7109375" style="16" customWidth="1"/>
    <col min="5420" max="5421" width="9.28515625" style="16" bestFit="1" customWidth="1"/>
    <col min="5422" max="5422" width="2.7109375" style="16" customWidth="1"/>
    <col min="5423" max="5424" width="10.42578125" style="16" bestFit="1" customWidth="1"/>
    <col min="5425" max="5425" width="2.5703125" style="16" customWidth="1"/>
    <col min="5426" max="5427" width="10.42578125" style="16" customWidth="1"/>
    <col min="5428" max="5428" width="2.5703125" style="16" customWidth="1"/>
    <col min="5429" max="5430" width="10.42578125" style="16" customWidth="1"/>
    <col min="5431" max="5431" width="2.7109375" style="16" customWidth="1"/>
    <col min="5432" max="5432" width="11.5703125" style="16" bestFit="1" customWidth="1"/>
    <col min="5433" max="5433" width="10.42578125" style="16" bestFit="1" customWidth="1"/>
    <col min="5434" max="5434" width="6.42578125" style="16" bestFit="1" customWidth="1"/>
    <col min="5435" max="5435" width="5.85546875" style="16" bestFit="1" customWidth="1"/>
    <col min="5436" max="5436" width="10.42578125" style="16" bestFit="1" customWidth="1"/>
    <col min="5437" max="5437" width="8.7109375" style="16" bestFit="1" customWidth="1"/>
    <col min="5438" max="5438" width="2.7109375" style="16" customWidth="1"/>
    <col min="5439" max="5439" width="5.85546875" style="16" bestFit="1" customWidth="1"/>
    <col min="5440" max="5440" width="12.7109375" style="16" bestFit="1" customWidth="1"/>
    <col min="5441" max="5441" width="11.5703125" style="16" bestFit="1" customWidth="1"/>
    <col min="5442" max="5442" width="2.7109375" style="16" customWidth="1"/>
    <col min="5443" max="5443" width="12.7109375" style="16" bestFit="1" customWidth="1"/>
    <col min="5444" max="5444" width="9.140625" style="16"/>
    <col min="5445" max="5445" width="21.7109375" style="16" bestFit="1" customWidth="1"/>
    <col min="5446" max="5446" width="9.140625" style="16"/>
    <col min="5447" max="5447" width="10.7109375" style="16" customWidth="1"/>
    <col min="5448" max="5448" width="10" style="16" bestFit="1" customWidth="1"/>
    <col min="5449" max="5657" width="9.140625" style="16"/>
    <col min="5658" max="5658" width="6.42578125" style="16" bestFit="1" customWidth="1"/>
    <col min="5659" max="5659" width="6" style="16" bestFit="1" customWidth="1"/>
    <col min="5660" max="5660" width="2.7109375" style="16" customWidth="1"/>
    <col min="5661" max="5662" width="10.42578125" style="16" customWidth="1"/>
    <col min="5663" max="5663" width="2.5703125" style="16" customWidth="1"/>
    <col min="5664" max="5665" width="10.5703125" style="16" customWidth="1"/>
    <col min="5666" max="5666" width="2.5703125" style="16" customWidth="1"/>
    <col min="5667" max="5668" width="10.5703125" style="16" customWidth="1"/>
    <col min="5669" max="5669" width="2.5703125" style="16" customWidth="1"/>
    <col min="5670" max="5670" width="12.140625" style="16" bestFit="1" customWidth="1"/>
    <col min="5671" max="5671" width="10.5703125" style="16" customWidth="1"/>
    <col min="5672" max="5672" width="2.5703125" style="16" customWidth="1"/>
    <col min="5673" max="5674" width="10.5703125" style="16" customWidth="1"/>
    <col min="5675" max="5675" width="2.7109375" style="16" customWidth="1"/>
    <col min="5676" max="5677" width="9.28515625" style="16" bestFit="1" customWidth="1"/>
    <col min="5678" max="5678" width="2.7109375" style="16" customWidth="1"/>
    <col min="5679" max="5680" width="10.42578125" style="16" bestFit="1" customWidth="1"/>
    <col min="5681" max="5681" width="2.5703125" style="16" customWidth="1"/>
    <col min="5682" max="5683" width="10.42578125" style="16" customWidth="1"/>
    <col min="5684" max="5684" width="2.5703125" style="16" customWidth="1"/>
    <col min="5685" max="5686" width="10.42578125" style="16" customWidth="1"/>
    <col min="5687" max="5687" width="2.7109375" style="16" customWidth="1"/>
    <col min="5688" max="5688" width="11.5703125" style="16" bestFit="1" customWidth="1"/>
    <col min="5689" max="5689" width="10.42578125" style="16" bestFit="1" customWidth="1"/>
    <col min="5690" max="5690" width="6.42578125" style="16" bestFit="1" customWidth="1"/>
    <col min="5691" max="5691" width="5.85546875" style="16" bestFit="1" customWidth="1"/>
    <col min="5692" max="5692" width="10.42578125" style="16" bestFit="1" customWidth="1"/>
    <col min="5693" max="5693" width="8.7109375" style="16" bestFit="1" customWidth="1"/>
    <col min="5694" max="5694" width="2.7109375" style="16" customWidth="1"/>
    <col min="5695" max="5695" width="5.85546875" style="16" bestFit="1" customWidth="1"/>
    <col min="5696" max="5696" width="12.7109375" style="16" bestFit="1" customWidth="1"/>
    <col min="5697" max="5697" width="11.5703125" style="16" bestFit="1" customWidth="1"/>
    <col min="5698" max="5698" width="2.7109375" style="16" customWidth="1"/>
    <col min="5699" max="5699" width="12.7109375" style="16" bestFit="1" customWidth="1"/>
    <col min="5700" max="5700" width="9.140625" style="16"/>
    <col min="5701" max="5701" width="21.7109375" style="16" bestFit="1" customWidth="1"/>
    <col min="5702" max="5702" width="9.140625" style="16"/>
    <col min="5703" max="5703" width="10.7109375" style="16" customWidth="1"/>
    <col min="5704" max="5704" width="10" style="16" bestFit="1" customWidth="1"/>
    <col min="5705" max="5913" width="9.140625" style="16"/>
    <col min="5914" max="5914" width="6.42578125" style="16" bestFit="1" customWidth="1"/>
    <col min="5915" max="5915" width="6" style="16" bestFit="1" customWidth="1"/>
    <col min="5916" max="5916" width="2.7109375" style="16" customWidth="1"/>
    <col min="5917" max="5918" width="10.42578125" style="16" customWidth="1"/>
    <col min="5919" max="5919" width="2.5703125" style="16" customWidth="1"/>
    <col min="5920" max="5921" width="10.5703125" style="16" customWidth="1"/>
    <col min="5922" max="5922" width="2.5703125" style="16" customWidth="1"/>
    <col min="5923" max="5924" width="10.5703125" style="16" customWidth="1"/>
    <col min="5925" max="5925" width="2.5703125" style="16" customWidth="1"/>
    <col min="5926" max="5926" width="12.140625" style="16" bestFit="1" customWidth="1"/>
    <col min="5927" max="5927" width="10.5703125" style="16" customWidth="1"/>
    <col min="5928" max="5928" width="2.5703125" style="16" customWidth="1"/>
    <col min="5929" max="5930" width="10.5703125" style="16" customWidth="1"/>
    <col min="5931" max="5931" width="2.7109375" style="16" customWidth="1"/>
    <col min="5932" max="5933" width="9.28515625" style="16" bestFit="1" customWidth="1"/>
    <col min="5934" max="5934" width="2.7109375" style="16" customWidth="1"/>
    <col min="5935" max="5936" width="10.42578125" style="16" bestFit="1" customWidth="1"/>
    <col min="5937" max="5937" width="2.5703125" style="16" customWidth="1"/>
    <col min="5938" max="5939" width="10.42578125" style="16" customWidth="1"/>
    <col min="5940" max="5940" width="2.5703125" style="16" customWidth="1"/>
    <col min="5941" max="5942" width="10.42578125" style="16" customWidth="1"/>
    <col min="5943" max="5943" width="2.7109375" style="16" customWidth="1"/>
    <col min="5944" max="5944" width="11.5703125" style="16" bestFit="1" customWidth="1"/>
    <col min="5945" max="5945" width="10.42578125" style="16" bestFit="1" customWidth="1"/>
    <col min="5946" max="5946" width="6.42578125" style="16" bestFit="1" customWidth="1"/>
    <col min="5947" max="5947" width="5.85546875" style="16" bestFit="1" customWidth="1"/>
    <col min="5948" max="5948" width="10.42578125" style="16" bestFit="1" customWidth="1"/>
    <col min="5949" max="5949" width="8.7109375" style="16" bestFit="1" customWidth="1"/>
    <col min="5950" max="5950" width="2.7109375" style="16" customWidth="1"/>
    <col min="5951" max="5951" width="5.85546875" style="16" bestFit="1" customWidth="1"/>
    <col min="5952" max="5952" width="12.7109375" style="16" bestFit="1" customWidth="1"/>
    <col min="5953" max="5953" width="11.5703125" style="16" bestFit="1" customWidth="1"/>
    <col min="5954" max="5954" width="2.7109375" style="16" customWidth="1"/>
    <col min="5955" max="5955" width="12.7109375" style="16" bestFit="1" customWidth="1"/>
    <col min="5956" max="5956" width="9.140625" style="16"/>
    <col min="5957" max="5957" width="21.7109375" style="16" bestFit="1" customWidth="1"/>
    <col min="5958" max="5958" width="9.140625" style="16"/>
    <col min="5959" max="5959" width="10.7109375" style="16" customWidth="1"/>
    <col min="5960" max="5960" width="10" style="16" bestFit="1" customWidth="1"/>
    <col min="5961" max="6169" width="9.140625" style="16"/>
    <col min="6170" max="6170" width="6.42578125" style="16" bestFit="1" customWidth="1"/>
    <col min="6171" max="6171" width="6" style="16" bestFit="1" customWidth="1"/>
    <col min="6172" max="6172" width="2.7109375" style="16" customWidth="1"/>
    <col min="6173" max="6174" width="10.42578125" style="16" customWidth="1"/>
    <col min="6175" max="6175" width="2.5703125" style="16" customWidth="1"/>
    <col min="6176" max="6177" width="10.5703125" style="16" customWidth="1"/>
    <col min="6178" max="6178" width="2.5703125" style="16" customWidth="1"/>
    <col min="6179" max="6180" width="10.5703125" style="16" customWidth="1"/>
    <col min="6181" max="6181" width="2.5703125" style="16" customWidth="1"/>
    <col min="6182" max="6182" width="12.140625" style="16" bestFit="1" customWidth="1"/>
    <col min="6183" max="6183" width="10.5703125" style="16" customWidth="1"/>
    <col min="6184" max="6184" width="2.5703125" style="16" customWidth="1"/>
    <col min="6185" max="6186" width="10.5703125" style="16" customWidth="1"/>
    <col min="6187" max="6187" width="2.7109375" style="16" customWidth="1"/>
    <col min="6188" max="6189" width="9.28515625" style="16" bestFit="1" customWidth="1"/>
    <col min="6190" max="6190" width="2.7109375" style="16" customWidth="1"/>
    <col min="6191" max="6192" width="10.42578125" style="16" bestFit="1" customWidth="1"/>
    <col min="6193" max="6193" width="2.5703125" style="16" customWidth="1"/>
    <col min="6194" max="6195" width="10.42578125" style="16" customWidth="1"/>
    <col min="6196" max="6196" width="2.5703125" style="16" customWidth="1"/>
    <col min="6197" max="6198" width="10.42578125" style="16" customWidth="1"/>
    <col min="6199" max="6199" width="2.7109375" style="16" customWidth="1"/>
    <col min="6200" max="6200" width="11.5703125" style="16" bestFit="1" customWidth="1"/>
    <col min="6201" max="6201" width="10.42578125" style="16" bestFit="1" customWidth="1"/>
    <col min="6202" max="6202" width="6.42578125" style="16" bestFit="1" customWidth="1"/>
    <col min="6203" max="6203" width="5.85546875" style="16" bestFit="1" customWidth="1"/>
    <col min="6204" max="6204" width="10.42578125" style="16" bestFit="1" customWidth="1"/>
    <col min="6205" max="6205" width="8.7109375" style="16" bestFit="1" customWidth="1"/>
    <col min="6206" max="6206" width="2.7109375" style="16" customWidth="1"/>
    <col min="6207" max="6207" width="5.85546875" style="16" bestFit="1" customWidth="1"/>
    <col min="6208" max="6208" width="12.7109375" style="16" bestFit="1" customWidth="1"/>
    <col min="6209" max="6209" width="11.5703125" style="16" bestFit="1" customWidth="1"/>
    <col min="6210" max="6210" width="2.7109375" style="16" customWidth="1"/>
    <col min="6211" max="6211" width="12.7109375" style="16" bestFit="1" customWidth="1"/>
    <col min="6212" max="6212" width="9.140625" style="16"/>
    <col min="6213" max="6213" width="21.7109375" style="16" bestFit="1" customWidth="1"/>
    <col min="6214" max="6214" width="9.140625" style="16"/>
    <col min="6215" max="6215" width="10.7109375" style="16" customWidth="1"/>
    <col min="6216" max="6216" width="10" style="16" bestFit="1" customWidth="1"/>
    <col min="6217" max="6425" width="9.140625" style="16"/>
    <col min="6426" max="6426" width="6.42578125" style="16" bestFit="1" customWidth="1"/>
    <col min="6427" max="6427" width="6" style="16" bestFit="1" customWidth="1"/>
    <col min="6428" max="6428" width="2.7109375" style="16" customWidth="1"/>
    <col min="6429" max="6430" width="10.42578125" style="16" customWidth="1"/>
    <col min="6431" max="6431" width="2.5703125" style="16" customWidth="1"/>
    <col min="6432" max="6433" width="10.5703125" style="16" customWidth="1"/>
    <col min="6434" max="6434" width="2.5703125" style="16" customWidth="1"/>
    <col min="6435" max="6436" width="10.5703125" style="16" customWidth="1"/>
    <col min="6437" max="6437" width="2.5703125" style="16" customWidth="1"/>
    <col min="6438" max="6438" width="12.140625" style="16" bestFit="1" customWidth="1"/>
    <col min="6439" max="6439" width="10.5703125" style="16" customWidth="1"/>
    <col min="6440" max="6440" width="2.5703125" style="16" customWidth="1"/>
    <col min="6441" max="6442" width="10.5703125" style="16" customWidth="1"/>
    <col min="6443" max="6443" width="2.7109375" style="16" customWidth="1"/>
    <col min="6444" max="6445" width="9.28515625" style="16" bestFit="1" customWidth="1"/>
    <col min="6446" max="6446" width="2.7109375" style="16" customWidth="1"/>
    <col min="6447" max="6448" width="10.42578125" style="16" bestFit="1" customWidth="1"/>
    <col min="6449" max="6449" width="2.5703125" style="16" customWidth="1"/>
    <col min="6450" max="6451" width="10.42578125" style="16" customWidth="1"/>
    <col min="6452" max="6452" width="2.5703125" style="16" customWidth="1"/>
    <col min="6453" max="6454" width="10.42578125" style="16" customWidth="1"/>
    <col min="6455" max="6455" width="2.7109375" style="16" customWidth="1"/>
    <col min="6456" max="6456" width="11.5703125" style="16" bestFit="1" customWidth="1"/>
    <col min="6457" max="6457" width="10.42578125" style="16" bestFit="1" customWidth="1"/>
    <col min="6458" max="6458" width="6.42578125" style="16" bestFit="1" customWidth="1"/>
    <col min="6459" max="6459" width="5.85546875" style="16" bestFit="1" customWidth="1"/>
    <col min="6460" max="6460" width="10.42578125" style="16" bestFit="1" customWidth="1"/>
    <col min="6461" max="6461" width="8.7109375" style="16" bestFit="1" customWidth="1"/>
    <col min="6462" max="6462" width="2.7109375" style="16" customWidth="1"/>
    <col min="6463" max="6463" width="5.85546875" style="16" bestFit="1" customWidth="1"/>
    <col min="6464" max="6464" width="12.7109375" style="16" bestFit="1" customWidth="1"/>
    <col min="6465" max="6465" width="11.5703125" style="16" bestFit="1" customWidth="1"/>
    <col min="6466" max="6466" width="2.7109375" style="16" customWidth="1"/>
    <col min="6467" max="6467" width="12.7109375" style="16" bestFit="1" customWidth="1"/>
    <col min="6468" max="6468" width="9.140625" style="16"/>
    <col min="6469" max="6469" width="21.7109375" style="16" bestFit="1" customWidth="1"/>
    <col min="6470" max="6470" width="9.140625" style="16"/>
    <col min="6471" max="6471" width="10.7109375" style="16" customWidth="1"/>
    <col min="6472" max="6472" width="10" style="16" bestFit="1" customWidth="1"/>
    <col min="6473" max="6681" width="9.140625" style="16"/>
    <col min="6682" max="6682" width="6.42578125" style="16" bestFit="1" customWidth="1"/>
    <col min="6683" max="6683" width="6" style="16" bestFit="1" customWidth="1"/>
    <col min="6684" max="6684" width="2.7109375" style="16" customWidth="1"/>
    <col min="6685" max="6686" width="10.42578125" style="16" customWidth="1"/>
    <col min="6687" max="6687" width="2.5703125" style="16" customWidth="1"/>
    <col min="6688" max="6689" width="10.5703125" style="16" customWidth="1"/>
    <col min="6690" max="6690" width="2.5703125" style="16" customWidth="1"/>
    <col min="6691" max="6692" width="10.5703125" style="16" customWidth="1"/>
    <col min="6693" max="6693" width="2.5703125" style="16" customWidth="1"/>
    <col min="6694" max="6694" width="12.140625" style="16" bestFit="1" customWidth="1"/>
    <col min="6695" max="6695" width="10.5703125" style="16" customWidth="1"/>
    <col min="6696" max="6696" width="2.5703125" style="16" customWidth="1"/>
    <col min="6697" max="6698" width="10.5703125" style="16" customWidth="1"/>
    <col min="6699" max="6699" width="2.7109375" style="16" customWidth="1"/>
    <col min="6700" max="6701" width="9.28515625" style="16" bestFit="1" customWidth="1"/>
    <col min="6702" max="6702" width="2.7109375" style="16" customWidth="1"/>
    <col min="6703" max="6704" width="10.42578125" style="16" bestFit="1" customWidth="1"/>
    <col min="6705" max="6705" width="2.5703125" style="16" customWidth="1"/>
    <col min="6706" max="6707" width="10.42578125" style="16" customWidth="1"/>
    <col min="6708" max="6708" width="2.5703125" style="16" customWidth="1"/>
    <col min="6709" max="6710" width="10.42578125" style="16" customWidth="1"/>
    <col min="6711" max="6711" width="2.7109375" style="16" customWidth="1"/>
    <col min="6712" max="6712" width="11.5703125" style="16" bestFit="1" customWidth="1"/>
    <col min="6713" max="6713" width="10.42578125" style="16" bestFit="1" customWidth="1"/>
    <col min="6714" max="6714" width="6.42578125" style="16" bestFit="1" customWidth="1"/>
    <col min="6715" max="6715" width="5.85546875" style="16" bestFit="1" customWidth="1"/>
    <col min="6716" max="6716" width="10.42578125" style="16" bestFit="1" customWidth="1"/>
    <col min="6717" max="6717" width="8.7109375" style="16" bestFit="1" customWidth="1"/>
    <col min="6718" max="6718" width="2.7109375" style="16" customWidth="1"/>
    <col min="6719" max="6719" width="5.85546875" style="16" bestFit="1" customWidth="1"/>
    <col min="6720" max="6720" width="12.7109375" style="16" bestFit="1" customWidth="1"/>
    <col min="6721" max="6721" width="11.5703125" style="16" bestFit="1" customWidth="1"/>
    <col min="6722" max="6722" width="2.7109375" style="16" customWidth="1"/>
    <col min="6723" max="6723" width="12.7109375" style="16" bestFit="1" customWidth="1"/>
    <col min="6724" max="6724" width="9.140625" style="16"/>
    <col min="6725" max="6725" width="21.7109375" style="16" bestFit="1" customWidth="1"/>
    <col min="6726" max="6726" width="9.140625" style="16"/>
    <col min="6727" max="6727" width="10.7109375" style="16" customWidth="1"/>
    <col min="6728" max="6728" width="10" style="16" bestFit="1" customWidth="1"/>
    <col min="6729" max="6937" width="9.140625" style="16"/>
    <col min="6938" max="6938" width="6.42578125" style="16" bestFit="1" customWidth="1"/>
    <col min="6939" max="6939" width="6" style="16" bestFit="1" customWidth="1"/>
    <col min="6940" max="6940" width="2.7109375" style="16" customWidth="1"/>
    <col min="6941" max="6942" width="10.42578125" style="16" customWidth="1"/>
    <col min="6943" max="6943" width="2.5703125" style="16" customWidth="1"/>
    <col min="6944" max="6945" width="10.5703125" style="16" customWidth="1"/>
    <col min="6946" max="6946" width="2.5703125" style="16" customWidth="1"/>
    <col min="6947" max="6948" width="10.5703125" style="16" customWidth="1"/>
    <col min="6949" max="6949" width="2.5703125" style="16" customWidth="1"/>
    <col min="6950" max="6950" width="12.140625" style="16" bestFit="1" customWidth="1"/>
    <col min="6951" max="6951" width="10.5703125" style="16" customWidth="1"/>
    <col min="6952" max="6952" width="2.5703125" style="16" customWidth="1"/>
    <col min="6953" max="6954" width="10.5703125" style="16" customWidth="1"/>
    <col min="6955" max="6955" width="2.7109375" style="16" customWidth="1"/>
    <col min="6956" max="6957" width="9.28515625" style="16" bestFit="1" customWidth="1"/>
    <col min="6958" max="6958" width="2.7109375" style="16" customWidth="1"/>
    <col min="6959" max="6960" width="10.42578125" style="16" bestFit="1" customWidth="1"/>
    <col min="6961" max="6961" width="2.5703125" style="16" customWidth="1"/>
    <col min="6962" max="6963" width="10.42578125" style="16" customWidth="1"/>
    <col min="6964" max="6964" width="2.5703125" style="16" customWidth="1"/>
    <col min="6965" max="6966" width="10.42578125" style="16" customWidth="1"/>
    <col min="6967" max="6967" width="2.7109375" style="16" customWidth="1"/>
    <col min="6968" max="6968" width="11.5703125" style="16" bestFit="1" customWidth="1"/>
    <col min="6969" max="6969" width="10.42578125" style="16" bestFit="1" customWidth="1"/>
    <col min="6970" max="6970" width="6.42578125" style="16" bestFit="1" customWidth="1"/>
    <col min="6971" max="6971" width="5.85546875" style="16" bestFit="1" customWidth="1"/>
    <col min="6972" max="6972" width="10.42578125" style="16" bestFit="1" customWidth="1"/>
    <col min="6973" max="6973" width="8.7109375" style="16" bestFit="1" customWidth="1"/>
    <col min="6974" max="6974" width="2.7109375" style="16" customWidth="1"/>
    <col min="6975" max="6975" width="5.85546875" style="16" bestFit="1" customWidth="1"/>
    <col min="6976" max="6976" width="12.7109375" style="16" bestFit="1" customWidth="1"/>
    <col min="6977" max="6977" width="11.5703125" style="16" bestFit="1" customWidth="1"/>
    <col min="6978" max="6978" width="2.7109375" style="16" customWidth="1"/>
    <col min="6979" max="6979" width="12.7109375" style="16" bestFit="1" customWidth="1"/>
    <col min="6980" max="6980" width="9.140625" style="16"/>
    <col min="6981" max="6981" width="21.7109375" style="16" bestFit="1" customWidth="1"/>
    <col min="6982" max="6982" width="9.140625" style="16"/>
    <col min="6983" max="6983" width="10.7109375" style="16" customWidth="1"/>
    <col min="6984" max="6984" width="10" style="16" bestFit="1" customWidth="1"/>
    <col min="6985" max="7193" width="9.140625" style="16"/>
    <col min="7194" max="7194" width="6.42578125" style="16" bestFit="1" customWidth="1"/>
    <col min="7195" max="7195" width="6" style="16" bestFit="1" customWidth="1"/>
    <col min="7196" max="7196" width="2.7109375" style="16" customWidth="1"/>
    <col min="7197" max="7198" width="10.42578125" style="16" customWidth="1"/>
    <col min="7199" max="7199" width="2.5703125" style="16" customWidth="1"/>
    <col min="7200" max="7201" width="10.5703125" style="16" customWidth="1"/>
    <col min="7202" max="7202" width="2.5703125" style="16" customWidth="1"/>
    <col min="7203" max="7204" width="10.5703125" style="16" customWidth="1"/>
    <col min="7205" max="7205" width="2.5703125" style="16" customWidth="1"/>
    <col min="7206" max="7206" width="12.140625" style="16" bestFit="1" customWidth="1"/>
    <col min="7207" max="7207" width="10.5703125" style="16" customWidth="1"/>
    <col min="7208" max="7208" width="2.5703125" style="16" customWidth="1"/>
    <col min="7209" max="7210" width="10.5703125" style="16" customWidth="1"/>
    <col min="7211" max="7211" width="2.7109375" style="16" customWidth="1"/>
    <col min="7212" max="7213" width="9.28515625" style="16" bestFit="1" customWidth="1"/>
    <col min="7214" max="7214" width="2.7109375" style="16" customWidth="1"/>
    <col min="7215" max="7216" width="10.42578125" style="16" bestFit="1" customWidth="1"/>
    <col min="7217" max="7217" width="2.5703125" style="16" customWidth="1"/>
    <col min="7218" max="7219" width="10.42578125" style="16" customWidth="1"/>
    <col min="7220" max="7220" width="2.5703125" style="16" customWidth="1"/>
    <col min="7221" max="7222" width="10.42578125" style="16" customWidth="1"/>
    <col min="7223" max="7223" width="2.7109375" style="16" customWidth="1"/>
    <col min="7224" max="7224" width="11.5703125" style="16" bestFit="1" customWidth="1"/>
    <col min="7225" max="7225" width="10.42578125" style="16" bestFit="1" customWidth="1"/>
    <col min="7226" max="7226" width="6.42578125" style="16" bestFit="1" customWidth="1"/>
    <col min="7227" max="7227" width="5.85546875" style="16" bestFit="1" customWidth="1"/>
    <col min="7228" max="7228" width="10.42578125" style="16" bestFit="1" customWidth="1"/>
    <col min="7229" max="7229" width="8.7109375" style="16" bestFit="1" customWidth="1"/>
    <col min="7230" max="7230" width="2.7109375" style="16" customWidth="1"/>
    <col min="7231" max="7231" width="5.85546875" style="16" bestFit="1" customWidth="1"/>
    <col min="7232" max="7232" width="12.7109375" style="16" bestFit="1" customWidth="1"/>
    <col min="7233" max="7233" width="11.5703125" style="16" bestFit="1" customWidth="1"/>
    <col min="7234" max="7234" width="2.7109375" style="16" customWidth="1"/>
    <col min="7235" max="7235" width="12.7109375" style="16" bestFit="1" customWidth="1"/>
    <col min="7236" max="7236" width="9.140625" style="16"/>
    <col min="7237" max="7237" width="21.7109375" style="16" bestFit="1" customWidth="1"/>
    <col min="7238" max="7238" width="9.140625" style="16"/>
    <col min="7239" max="7239" width="10.7109375" style="16" customWidth="1"/>
    <col min="7240" max="7240" width="10" style="16" bestFit="1" customWidth="1"/>
    <col min="7241" max="7449" width="9.140625" style="16"/>
    <col min="7450" max="7450" width="6.42578125" style="16" bestFit="1" customWidth="1"/>
    <col min="7451" max="7451" width="6" style="16" bestFit="1" customWidth="1"/>
    <col min="7452" max="7452" width="2.7109375" style="16" customWidth="1"/>
    <col min="7453" max="7454" width="10.42578125" style="16" customWidth="1"/>
    <col min="7455" max="7455" width="2.5703125" style="16" customWidth="1"/>
    <col min="7456" max="7457" width="10.5703125" style="16" customWidth="1"/>
    <col min="7458" max="7458" width="2.5703125" style="16" customWidth="1"/>
    <col min="7459" max="7460" width="10.5703125" style="16" customWidth="1"/>
    <col min="7461" max="7461" width="2.5703125" style="16" customWidth="1"/>
    <col min="7462" max="7462" width="12.140625" style="16" bestFit="1" customWidth="1"/>
    <col min="7463" max="7463" width="10.5703125" style="16" customWidth="1"/>
    <col min="7464" max="7464" width="2.5703125" style="16" customWidth="1"/>
    <col min="7465" max="7466" width="10.5703125" style="16" customWidth="1"/>
    <col min="7467" max="7467" width="2.7109375" style="16" customWidth="1"/>
    <col min="7468" max="7469" width="9.28515625" style="16" bestFit="1" customWidth="1"/>
    <col min="7470" max="7470" width="2.7109375" style="16" customWidth="1"/>
    <col min="7471" max="7472" width="10.42578125" style="16" bestFit="1" customWidth="1"/>
    <col min="7473" max="7473" width="2.5703125" style="16" customWidth="1"/>
    <col min="7474" max="7475" width="10.42578125" style="16" customWidth="1"/>
    <col min="7476" max="7476" width="2.5703125" style="16" customWidth="1"/>
    <col min="7477" max="7478" width="10.42578125" style="16" customWidth="1"/>
    <col min="7479" max="7479" width="2.7109375" style="16" customWidth="1"/>
    <col min="7480" max="7480" width="11.5703125" style="16" bestFit="1" customWidth="1"/>
    <col min="7481" max="7481" width="10.42578125" style="16" bestFit="1" customWidth="1"/>
    <col min="7482" max="7482" width="6.42578125" style="16" bestFit="1" customWidth="1"/>
    <col min="7483" max="7483" width="5.85546875" style="16" bestFit="1" customWidth="1"/>
    <col min="7484" max="7484" width="10.42578125" style="16" bestFit="1" customWidth="1"/>
    <col min="7485" max="7485" width="8.7109375" style="16" bestFit="1" customWidth="1"/>
    <col min="7486" max="7486" width="2.7109375" style="16" customWidth="1"/>
    <col min="7487" max="7487" width="5.85546875" style="16" bestFit="1" customWidth="1"/>
    <col min="7488" max="7488" width="12.7109375" style="16" bestFit="1" customWidth="1"/>
    <col min="7489" max="7489" width="11.5703125" style="16" bestFit="1" customWidth="1"/>
    <col min="7490" max="7490" width="2.7109375" style="16" customWidth="1"/>
    <col min="7491" max="7491" width="12.7109375" style="16" bestFit="1" customWidth="1"/>
    <col min="7492" max="7492" width="9.140625" style="16"/>
    <col min="7493" max="7493" width="21.7109375" style="16" bestFit="1" customWidth="1"/>
    <col min="7494" max="7494" width="9.140625" style="16"/>
    <col min="7495" max="7495" width="10.7109375" style="16" customWidth="1"/>
    <col min="7496" max="7496" width="10" style="16" bestFit="1" customWidth="1"/>
    <col min="7497" max="7705" width="9.140625" style="16"/>
    <col min="7706" max="7706" width="6.42578125" style="16" bestFit="1" customWidth="1"/>
    <col min="7707" max="7707" width="6" style="16" bestFit="1" customWidth="1"/>
    <col min="7708" max="7708" width="2.7109375" style="16" customWidth="1"/>
    <col min="7709" max="7710" width="10.42578125" style="16" customWidth="1"/>
    <col min="7711" max="7711" width="2.5703125" style="16" customWidth="1"/>
    <col min="7712" max="7713" width="10.5703125" style="16" customWidth="1"/>
    <col min="7714" max="7714" width="2.5703125" style="16" customWidth="1"/>
    <col min="7715" max="7716" width="10.5703125" style="16" customWidth="1"/>
    <col min="7717" max="7717" width="2.5703125" style="16" customWidth="1"/>
    <col min="7718" max="7718" width="12.140625" style="16" bestFit="1" customWidth="1"/>
    <col min="7719" max="7719" width="10.5703125" style="16" customWidth="1"/>
    <col min="7720" max="7720" width="2.5703125" style="16" customWidth="1"/>
    <col min="7721" max="7722" width="10.5703125" style="16" customWidth="1"/>
    <col min="7723" max="7723" width="2.7109375" style="16" customWidth="1"/>
    <col min="7724" max="7725" width="9.28515625" style="16" bestFit="1" customWidth="1"/>
    <col min="7726" max="7726" width="2.7109375" style="16" customWidth="1"/>
    <col min="7727" max="7728" width="10.42578125" style="16" bestFit="1" customWidth="1"/>
    <col min="7729" max="7729" width="2.5703125" style="16" customWidth="1"/>
    <col min="7730" max="7731" width="10.42578125" style="16" customWidth="1"/>
    <col min="7732" max="7732" width="2.5703125" style="16" customWidth="1"/>
    <col min="7733" max="7734" width="10.42578125" style="16" customWidth="1"/>
    <col min="7735" max="7735" width="2.7109375" style="16" customWidth="1"/>
    <col min="7736" max="7736" width="11.5703125" style="16" bestFit="1" customWidth="1"/>
    <col min="7737" max="7737" width="10.42578125" style="16" bestFit="1" customWidth="1"/>
    <col min="7738" max="7738" width="6.42578125" style="16" bestFit="1" customWidth="1"/>
    <col min="7739" max="7739" width="5.85546875" style="16" bestFit="1" customWidth="1"/>
    <col min="7740" max="7740" width="10.42578125" style="16" bestFit="1" customWidth="1"/>
    <col min="7741" max="7741" width="8.7109375" style="16" bestFit="1" customWidth="1"/>
    <col min="7742" max="7742" width="2.7109375" style="16" customWidth="1"/>
    <col min="7743" max="7743" width="5.85546875" style="16" bestFit="1" customWidth="1"/>
    <col min="7744" max="7744" width="12.7109375" style="16" bestFit="1" customWidth="1"/>
    <col min="7745" max="7745" width="11.5703125" style="16" bestFit="1" customWidth="1"/>
    <col min="7746" max="7746" width="2.7109375" style="16" customWidth="1"/>
    <col min="7747" max="7747" width="12.7109375" style="16" bestFit="1" customWidth="1"/>
    <col min="7748" max="7748" width="9.140625" style="16"/>
    <col min="7749" max="7749" width="21.7109375" style="16" bestFit="1" customWidth="1"/>
    <col min="7750" max="7750" width="9.140625" style="16"/>
    <col min="7751" max="7751" width="10.7109375" style="16" customWidth="1"/>
    <col min="7752" max="7752" width="10" style="16" bestFit="1" customWidth="1"/>
    <col min="7753" max="7961" width="9.140625" style="16"/>
    <col min="7962" max="7962" width="6.42578125" style="16" bestFit="1" customWidth="1"/>
    <col min="7963" max="7963" width="6" style="16" bestFit="1" customWidth="1"/>
    <col min="7964" max="7964" width="2.7109375" style="16" customWidth="1"/>
    <col min="7965" max="7966" width="10.42578125" style="16" customWidth="1"/>
    <col min="7967" max="7967" width="2.5703125" style="16" customWidth="1"/>
    <col min="7968" max="7969" width="10.5703125" style="16" customWidth="1"/>
    <col min="7970" max="7970" width="2.5703125" style="16" customWidth="1"/>
    <col min="7971" max="7972" width="10.5703125" style="16" customWidth="1"/>
    <col min="7973" max="7973" width="2.5703125" style="16" customWidth="1"/>
    <col min="7974" max="7974" width="12.140625" style="16" bestFit="1" customWidth="1"/>
    <col min="7975" max="7975" width="10.5703125" style="16" customWidth="1"/>
    <col min="7976" max="7976" width="2.5703125" style="16" customWidth="1"/>
    <col min="7977" max="7978" width="10.5703125" style="16" customWidth="1"/>
    <col min="7979" max="7979" width="2.7109375" style="16" customWidth="1"/>
    <col min="7980" max="7981" width="9.28515625" style="16" bestFit="1" customWidth="1"/>
    <col min="7982" max="7982" width="2.7109375" style="16" customWidth="1"/>
    <col min="7983" max="7984" width="10.42578125" style="16" bestFit="1" customWidth="1"/>
    <col min="7985" max="7985" width="2.5703125" style="16" customWidth="1"/>
    <col min="7986" max="7987" width="10.42578125" style="16" customWidth="1"/>
    <col min="7988" max="7988" width="2.5703125" style="16" customWidth="1"/>
    <col min="7989" max="7990" width="10.42578125" style="16" customWidth="1"/>
    <col min="7991" max="7991" width="2.7109375" style="16" customWidth="1"/>
    <col min="7992" max="7992" width="11.5703125" style="16" bestFit="1" customWidth="1"/>
    <col min="7993" max="7993" width="10.42578125" style="16" bestFit="1" customWidth="1"/>
    <col min="7994" max="7994" width="6.42578125" style="16" bestFit="1" customWidth="1"/>
    <col min="7995" max="7995" width="5.85546875" style="16" bestFit="1" customWidth="1"/>
    <col min="7996" max="7996" width="10.42578125" style="16" bestFit="1" customWidth="1"/>
    <col min="7997" max="7997" width="8.7109375" style="16" bestFit="1" customWidth="1"/>
    <col min="7998" max="7998" width="2.7109375" style="16" customWidth="1"/>
    <col min="7999" max="7999" width="5.85546875" style="16" bestFit="1" customWidth="1"/>
    <col min="8000" max="8000" width="12.7109375" style="16" bestFit="1" customWidth="1"/>
    <col min="8001" max="8001" width="11.5703125" style="16" bestFit="1" customWidth="1"/>
    <col min="8002" max="8002" width="2.7109375" style="16" customWidth="1"/>
    <col min="8003" max="8003" width="12.7109375" style="16" bestFit="1" customWidth="1"/>
    <col min="8004" max="8004" width="9.140625" style="16"/>
    <col min="8005" max="8005" width="21.7109375" style="16" bestFit="1" customWidth="1"/>
    <col min="8006" max="8006" width="9.140625" style="16"/>
    <col min="8007" max="8007" width="10.7109375" style="16" customWidth="1"/>
    <col min="8008" max="8008" width="10" style="16" bestFit="1" customWidth="1"/>
    <col min="8009" max="8217" width="9.140625" style="16"/>
    <col min="8218" max="8218" width="6.42578125" style="16" bestFit="1" customWidth="1"/>
    <col min="8219" max="8219" width="6" style="16" bestFit="1" customWidth="1"/>
    <col min="8220" max="8220" width="2.7109375" style="16" customWidth="1"/>
    <col min="8221" max="8222" width="10.42578125" style="16" customWidth="1"/>
    <col min="8223" max="8223" width="2.5703125" style="16" customWidth="1"/>
    <col min="8224" max="8225" width="10.5703125" style="16" customWidth="1"/>
    <col min="8226" max="8226" width="2.5703125" style="16" customWidth="1"/>
    <col min="8227" max="8228" width="10.5703125" style="16" customWidth="1"/>
    <col min="8229" max="8229" width="2.5703125" style="16" customWidth="1"/>
    <col min="8230" max="8230" width="12.140625" style="16" bestFit="1" customWidth="1"/>
    <col min="8231" max="8231" width="10.5703125" style="16" customWidth="1"/>
    <col min="8232" max="8232" width="2.5703125" style="16" customWidth="1"/>
    <col min="8233" max="8234" width="10.5703125" style="16" customWidth="1"/>
    <col min="8235" max="8235" width="2.7109375" style="16" customWidth="1"/>
    <col min="8236" max="8237" width="9.28515625" style="16" bestFit="1" customWidth="1"/>
    <col min="8238" max="8238" width="2.7109375" style="16" customWidth="1"/>
    <col min="8239" max="8240" width="10.42578125" style="16" bestFit="1" customWidth="1"/>
    <col min="8241" max="8241" width="2.5703125" style="16" customWidth="1"/>
    <col min="8242" max="8243" width="10.42578125" style="16" customWidth="1"/>
    <col min="8244" max="8244" width="2.5703125" style="16" customWidth="1"/>
    <col min="8245" max="8246" width="10.42578125" style="16" customWidth="1"/>
    <col min="8247" max="8247" width="2.7109375" style="16" customWidth="1"/>
    <col min="8248" max="8248" width="11.5703125" style="16" bestFit="1" customWidth="1"/>
    <col min="8249" max="8249" width="10.42578125" style="16" bestFit="1" customWidth="1"/>
    <col min="8250" max="8250" width="6.42578125" style="16" bestFit="1" customWidth="1"/>
    <col min="8251" max="8251" width="5.85546875" style="16" bestFit="1" customWidth="1"/>
    <col min="8252" max="8252" width="10.42578125" style="16" bestFit="1" customWidth="1"/>
    <col min="8253" max="8253" width="8.7109375" style="16" bestFit="1" customWidth="1"/>
    <col min="8254" max="8254" width="2.7109375" style="16" customWidth="1"/>
    <col min="8255" max="8255" width="5.85546875" style="16" bestFit="1" customWidth="1"/>
    <col min="8256" max="8256" width="12.7109375" style="16" bestFit="1" customWidth="1"/>
    <col min="8257" max="8257" width="11.5703125" style="16" bestFit="1" customWidth="1"/>
    <col min="8258" max="8258" width="2.7109375" style="16" customWidth="1"/>
    <col min="8259" max="8259" width="12.7109375" style="16" bestFit="1" customWidth="1"/>
    <col min="8260" max="8260" width="9.140625" style="16"/>
    <col min="8261" max="8261" width="21.7109375" style="16" bestFit="1" customWidth="1"/>
    <col min="8262" max="8262" width="9.140625" style="16"/>
    <col min="8263" max="8263" width="10.7109375" style="16" customWidth="1"/>
    <col min="8264" max="8264" width="10" style="16" bestFit="1" customWidth="1"/>
    <col min="8265" max="8473" width="9.140625" style="16"/>
    <col min="8474" max="8474" width="6.42578125" style="16" bestFit="1" customWidth="1"/>
    <col min="8475" max="8475" width="6" style="16" bestFit="1" customWidth="1"/>
    <col min="8476" max="8476" width="2.7109375" style="16" customWidth="1"/>
    <col min="8477" max="8478" width="10.42578125" style="16" customWidth="1"/>
    <col min="8479" max="8479" width="2.5703125" style="16" customWidth="1"/>
    <col min="8480" max="8481" width="10.5703125" style="16" customWidth="1"/>
    <col min="8482" max="8482" width="2.5703125" style="16" customWidth="1"/>
    <col min="8483" max="8484" width="10.5703125" style="16" customWidth="1"/>
    <col min="8485" max="8485" width="2.5703125" style="16" customWidth="1"/>
    <col min="8486" max="8486" width="12.140625" style="16" bestFit="1" customWidth="1"/>
    <col min="8487" max="8487" width="10.5703125" style="16" customWidth="1"/>
    <col min="8488" max="8488" width="2.5703125" style="16" customWidth="1"/>
    <col min="8489" max="8490" width="10.5703125" style="16" customWidth="1"/>
    <col min="8491" max="8491" width="2.7109375" style="16" customWidth="1"/>
    <col min="8492" max="8493" width="9.28515625" style="16" bestFit="1" customWidth="1"/>
    <col min="8494" max="8494" width="2.7109375" style="16" customWidth="1"/>
    <col min="8495" max="8496" width="10.42578125" style="16" bestFit="1" customWidth="1"/>
    <col min="8497" max="8497" width="2.5703125" style="16" customWidth="1"/>
    <col min="8498" max="8499" width="10.42578125" style="16" customWidth="1"/>
    <col min="8500" max="8500" width="2.5703125" style="16" customWidth="1"/>
    <col min="8501" max="8502" width="10.42578125" style="16" customWidth="1"/>
    <col min="8503" max="8503" width="2.7109375" style="16" customWidth="1"/>
    <col min="8504" max="8504" width="11.5703125" style="16" bestFit="1" customWidth="1"/>
    <col min="8505" max="8505" width="10.42578125" style="16" bestFit="1" customWidth="1"/>
    <col min="8506" max="8506" width="6.42578125" style="16" bestFit="1" customWidth="1"/>
    <col min="8507" max="8507" width="5.85546875" style="16" bestFit="1" customWidth="1"/>
    <col min="8508" max="8508" width="10.42578125" style="16" bestFit="1" customWidth="1"/>
    <col min="8509" max="8509" width="8.7109375" style="16" bestFit="1" customWidth="1"/>
    <col min="8510" max="8510" width="2.7109375" style="16" customWidth="1"/>
    <col min="8511" max="8511" width="5.85546875" style="16" bestFit="1" customWidth="1"/>
    <col min="8512" max="8512" width="12.7109375" style="16" bestFit="1" customWidth="1"/>
    <col min="8513" max="8513" width="11.5703125" style="16" bestFit="1" customWidth="1"/>
    <col min="8514" max="8514" width="2.7109375" style="16" customWidth="1"/>
    <col min="8515" max="8515" width="12.7109375" style="16" bestFit="1" customWidth="1"/>
    <col min="8516" max="8516" width="9.140625" style="16"/>
    <col min="8517" max="8517" width="21.7109375" style="16" bestFit="1" customWidth="1"/>
    <col min="8518" max="8518" width="9.140625" style="16"/>
    <col min="8519" max="8519" width="10.7109375" style="16" customWidth="1"/>
    <col min="8520" max="8520" width="10" style="16" bestFit="1" customWidth="1"/>
    <col min="8521" max="8729" width="9.140625" style="16"/>
    <col min="8730" max="8730" width="6.42578125" style="16" bestFit="1" customWidth="1"/>
    <col min="8731" max="8731" width="6" style="16" bestFit="1" customWidth="1"/>
    <col min="8732" max="8732" width="2.7109375" style="16" customWidth="1"/>
    <col min="8733" max="8734" width="10.42578125" style="16" customWidth="1"/>
    <col min="8735" max="8735" width="2.5703125" style="16" customWidth="1"/>
    <col min="8736" max="8737" width="10.5703125" style="16" customWidth="1"/>
    <col min="8738" max="8738" width="2.5703125" style="16" customWidth="1"/>
    <col min="8739" max="8740" width="10.5703125" style="16" customWidth="1"/>
    <col min="8741" max="8741" width="2.5703125" style="16" customWidth="1"/>
    <col min="8742" max="8742" width="12.140625" style="16" bestFit="1" customWidth="1"/>
    <col min="8743" max="8743" width="10.5703125" style="16" customWidth="1"/>
    <col min="8744" max="8744" width="2.5703125" style="16" customWidth="1"/>
    <col min="8745" max="8746" width="10.5703125" style="16" customWidth="1"/>
    <col min="8747" max="8747" width="2.7109375" style="16" customWidth="1"/>
    <col min="8748" max="8749" width="9.28515625" style="16" bestFit="1" customWidth="1"/>
    <col min="8750" max="8750" width="2.7109375" style="16" customWidth="1"/>
    <col min="8751" max="8752" width="10.42578125" style="16" bestFit="1" customWidth="1"/>
    <col min="8753" max="8753" width="2.5703125" style="16" customWidth="1"/>
    <col min="8754" max="8755" width="10.42578125" style="16" customWidth="1"/>
    <col min="8756" max="8756" width="2.5703125" style="16" customWidth="1"/>
    <col min="8757" max="8758" width="10.42578125" style="16" customWidth="1"/>
    <col min="8759" max="8759" width="2.7109375" style="16" customWidth="1"/>
    <col min="8760" max="8760" width="11.5703125" style="16" bestFit="1" customWidth="1"/>
    <col min="8761" max="8761" width="10.42578125" style="16" bestFit="1" customWidth="1"/>
    <col min="8762" max="8762" width="6.42578125" style="16" bestFit="1" customWidth="1"/>
    <col min="8763" max="8763" width="5.85546875" style="16" bestFit="1" customWidth="1"/>
    <col min="8764" max="8764" width="10.42578125" style="16" bestFit="1" customWidth="1"/>
    <col min="8765" max="8765" width="8.7109375" style="16" bestFit="1" customWidth="1"/>
    <col min="8766" max="8766" width="2.7109375" style="16" customWidth="1"/>
    <col min="8767" max="8767" width="5.85546875" style="16" bestFit="1" customWidth="1"/>
    <col min="8768" max="8768" width="12.7109375" style="16" bestFit="1" customWidth="1"/>
    <col min="8769" max="8769" width="11.5703125" style="16" bestFit="1" customWidth="1"/>
    <col min="8770" max="8770" width="2.7109375" style="16" customWidth="1"/>
    <col min="8771" max="8771" width="12.7109375" style="16" bestFit="1" customWidth="1"/>
    <col min="8772" max="8772" width="9.140625" style="16"/>
    <col min="8773" max="8773" width="21.7109375" style="16" bestFit="1" customWidth="1"/>
    <col min="8774" max="8774" width="9.140625" style="16"/>
    <col min="8775" max="8775" width="10.7109375" style="16" customWidth="1"/>
    <col min="8776" max="8776" width="10" style="16" bestFit="1" customWidth="1"/>
    <col min="8777" max="8985" width="9.140625" style="16"/>
    <col min="8986" max="8986" width="6.42578125" style="16" bestFit="1" customWidth="1"/>
    <col min="8987" max="8987" width="6" style="16" bestFit="1" customWidth="1"/>
    <col min="8988" max="8988" width="2.7109375" style="16" customWidth="1"/>
    <col min="8989" max="8990" width="10.42578125" style="16" customWidth="1"/>
    <col min="8991" max="8991" width="2.5703125" style="16" customWidth="1"/>
    <col min="8992" max="8993" width="10.5703125" style="16" customWidth="1"/>
    <col min="8994" max="8994" width="2.5703125" style="16" customWidth="1"/>
    <col min="8995" max="8996" width="10.5703125" style="16" customWidth="1"/>
    <col min="8997" max="8997" width="2.5703125" style="16" customWidth="1"/>
    <col min="8998" max="8998" width="12.140625" style="16" bestFit="1" customWidth="1"/>
    <col min="8999" max="8999" width="10.5703125" style="16" customWidth="1"/>
    <col min="9000" max="9000" width="2.5703125" style="16" customWidth="1"/>
    <col min="9001" max="9002" width="10.5703125" style="16" customWidth="1"/>
    <col min="9003" max="9003" width="2.7109375" style="16" customWidth="1"/>
    <col min="9004" max="9005" width="9.28515625" style="16" bestFit="1" customWidth="1"/>
    <col min="9006" max="9006" width="2.7109375" style="16" customWidth="1"/>
    <col min="9007" max="9008" width="10.42578125" style="16" bestFit="1" customWidth="1"/>
    <col min="9009" max="9009" width="2.5703125" style="16" customWidth="1"/>
    <col min="9010" max="9011" width="10.42578125" style="16" customWidth="1"/>
    <col min="9012" max="9012" width="2.5703125" style="16" customWidth="1"/>
    <col min="9013" max="9014" width="10.42578125" style="16" customWidth="1"/>
    <col min="9015" max="9015" width="2.7109375" style="16" customWidth="1"/>
    <col min="9016" max="9016" width="11.5703125" style="16" bestFit="1" customWidth="1"/>
    <col min="9017" max="9017" width="10.42578125" style="16" bestFit="1" customWidth="1"/>
    <col min="9018" max="9018" width="6.42578125" style="16" bestFit="1" customWidth="1"/>
    <col min="9019" max="9019" width="5.85546875" style="16" bestFit="1" customWidth="1"/>
    <col min="9020" max="9020" width="10.42578125" style="16" bestFit="1" customWidth="1"/>
    <col min="9021" max="9021" width="8.7109375" style="16" bestFit="1" customWidth="1"/>
    <col min="9022" max="9022" width="2.7109375" style="16" customWidth="1"/>
    <col min="9023" max="9023" width="5.85546875" style="16" bestFit="1" customWidth="1"/>
    <col min="9024" max="9024" width="12.7109375" style="16" bestFit="1" customWidth="1"/>
    <col min="9025" max="9025" width="11.5703125" style="16" bestFit="1" customWidth="1"/>
    <col min="9026" max="9026" width="2.7109375" style="16" customWidth="1"/>
    <col min="9027" max="9027" width="12.7109375" style="16" bestFit="1" customWidth="1"/>
    <col min="9028" max="9028" width="9.140625" style="16"/>
    <col min="9029" max="9029" width="21.7109375" style="16" bestFit="1" customWidth="1"/>
    <col min="9030" max="9030" width="9.140625" style="16"/>
    <col min="9031" max="9031" width="10.7109375" style="16" customWidth="1"/>
    <col min="9032" max="9032" width="10" style="16" bestFit="1" customWidth="1"/>
    <col min="9033" max="9241" width="9.140625" style="16"/>
    <col min="9242" max="9242" width="6.42578125" style="16" bestFit="1" customWidth="1"/>
    <col min="9243" max="9243" width="6" style="16" bestFit="1" customWidth="1"/>
    <col min="9244" max="9244" width="2.7109375" style="16" customWidth="1"/>
    <col min="9245" max="9246" width="10.42578125" style="16" customWidth="1"/>
    <col min="9247" max="9247" width="2.5703125" style="16" customWidth="1"/>
    <col min="9248" max="9249" width="10.5703125" style="16" customWidth="1"/>
    <col min="9250" max="9250" width="2.5703125" style="16" customWidth="1"/>
    <col min="9251" max="9252" width="10.5703125" style="16" customWidth="1"/>
    <col min="9253" max="9253" width="2.5703125" style="16" customWidth="1"/>
    <col min="9254" max="9254" width="12.140625" style="16" bestFit="1" customWidth="1"/>
    <col min="9255" max="9255" width="10.5703125" style="16" customWidth="1"/>
    <col min="9256" max="9256" width="2.5703125" style="16" customWidth="1"/>
    <col min="9257" max="9258" width="10.5703125" style="16" customWidth="1"/>
    <col min="9259" max="9259" width="2.7109375" style="16" customWidth="1"/>
    <col min="9260" max="9261" width="9.28515625" style="16" bestFit="1" customWidth="1"/>
    <col min="9262" max="9262" width="2.7109375" style="16" customWidth="1"/>
    <col min="9263" max="9264" width="10.42578125" style="16" bestFit="1" customWidth="1"/>
    <col min="9265" max="9265" width="2.5703125" style="16" customWidth="1"/>
    <col min="9266" max="9267" width="10.42578125" style="16" customWidth="1"/>
    <col min="9268" max="9268" width="2.5703125" style="16" customWidth="1"/>
    <col min="9269" max="9270" width="10.42578125" style="16" customWidth="1"/>
    <col min="9271" max="9271" width="2.7109375" style="16" customWidth="1"/>
    <col min="9272" max="9272" width="11.5703125" style="16" bestFit="1" customWidth="1"/>
    <col min="9273" max="9273" width="10.42578125" style="16" bestFit="1" customWidth="1"/>
    <col min="9274" max="9274" width="6.42578125" style="16" bestFit="1" customWidth="1"/>
    <col min="9275" max="9275" width="5.85546875" style="16" bestFit="1" customWidth="1"/>
    <col min="9276" max="9276" width="10.42578125" style="16" bestFit="1" customWidth="1"/>
    <col min="9277" max="9277" width="8.7109375" style="16" bestFit="1" customWidth="1"/>
    <col min="9278" max="9278" width="2.7109375" style="16" customWidth="1"/>
    <col min="9279" max="9279" width="5.85546875" style="16" bestFit="1" customWidth="1"/>
    <col min="9280" max="9280" width="12.7109375" style="16" bestFit="1" customWidth="1"/>
    <col min="9281" max="9281" width="11.5703125" style="16" bestFit="1" customWidth="1"/>
    <col min="9282" max="9282" width="2.7109375" style="16" customWidth="1"/>
    <col min="9283" max="9283" width="12.7109375" style="16" bestFit="1" customWidth="1"/>
    <col min="9284" max="9284" width="9.140625" style="16"/>
    <col min="9285" max="9285" width="21.7109375" style="16" bestFit="1" customWidth="1"/>
    <col min="9286" max="9286" width="9.140625" style="16"/>
    <col min="9287" max="9287" width="10.7109375" style="16" customWidth="1"/>
    <col min="9288" max="9288" width="10" style="16" bestFit="1" customWidth="1"/>
    <col min="9289" max="9497" width="9.140625" style="16"/>
    <col min="9498" max="9498" width="6.42578125" style="16" bestFit="1" customWidth="1"/>
    <col min="9499" max="9499" width="6" style="16" bestFit="1" customWidth="1"/>
    <col min="9500" max="9500" width="2.7109375" style="16" customWidth="1"/>
    <col min="9501" max="9502" width="10.42578125" style="16" customWidth="1"/>
    <col min="9503" max="9503" width="2.5703125" style="16" customWidth="1"/>
    <col min="9504" max="9505" width="10.5703125" style="16" customWidth="1"/>
    <col min="9506" max="9506" width="2.5703125" style="16" customWidth="1"/>
    <col min="9507" max="9508" width="10.5703125" style="16" customWidth="1"/>
    <col min="9509" max="9509" width="2.5703125" style="16" customWidth="1"/>
    <col min="9510" max="9510" width="12.140625" style="16" bestFit="1" customWidth="1"/>
    <col min="9511" max="9511" width="10.5703125" style="16" customWidth="1"/>
    <col min="9512" max="9512" width="2.5703125" style="16" customWidth="1"/>
    <col min="9513" max="9514" width="10.5703125" style="16" customWidth="1"/>
    <col min="9515" max="9515" width="2.7109375" style="16" customWidth="1"/>
    <col min="9516" max="9517" width="9.28515625" style="16" bestFit="1" customWidth="1"/>
    <col min="9518" max="9518" width="2.7109375" style="16" customWidth="1"/>
    <col min="9519" max="9520" width="10.42578125" style="16" bestFit="1" customWidth="1"/>
    <col min="9521" max="9521" width="2.5703125" style="16" customWidth="1"/>
    <col min="9522" max="9523" width="10.42578125" style="16" customWidth="1"/>
    <col min="9524" max="9524" width="2.5703125" style="16" customWidth="1"/>
    <col min="9525" max="9526" width="10.42578125" style="16" customWidth="1"/>
    <col min="9527" max="9527" width="2.7109375" style="16" customWidth="1"/>
    <col min="9528" max="9528" width="11.5703125" style="16" bestFit="1" customWidth="1"/>
    <col min="9529" max="9529" width="10.42578125" style="16" bestFit="1" customWidth="1"/>
    <col min="9530" max="9530" width="6.42578125" style="16" bestFit="1" customWidth="1"/>
    <col min="9531" max="9531" width="5.85546875" style="16" bestFit="1" customWidth="1"/>
    <col min="9532" max="9532" width="10.42578125" style="16" bestFit="1" customWidth="1"/>
    <col min="9533" max="9533" width="8.7109375" style="16" bestFit="1" customWidth="1"/>
    <col min="9534" max="9534" width="2.7109375" style="16" customWidth="1"/>
    <col min="9535" max="9535" width="5.85546875" style="16" bestFit="1" customWidth="1"/>
    <col min="9536" max="9536" width="12.7109375" style="16" bestFit="1" customWidth="1"/>
    <col min="9537" max="9537" width="11.5703125" style="16" bestFit="1" customWidth="1"/>
    <col min="9538" max="9538" width="2.7109375" style="16" customWidth="1"/>
    <col min="9539" max="9539" width="12.7109375" style="16" bestFit="1" customWidth="1"/>
    <col min="9540" max="9540" width="9.140625" style="16"/>
    <col min="9541" max="9541" width="21.7109375" style="16" bestFit="1" customWidth="1"/>
    <col min="9542" max="9542" width="9.140625" style="16"/>
    <col min="9543" max="9543" width="10.7109375" style="16" customWidth="1"/>
    <col min="9544" max="9544" width="10" style="16" bestFit="1" customWidth="1"/>
    <col min="9545" max="9753" width="9.140625" style="16"/>
    <col min="9754" max="9754" width="6.42578125" style="16" bestFit="1" customWidth="1"/>
    <col min="9755" max="9755" width="6" style="16" bestFit="1" customWidth="1"/>
    <col min="9756" max="9756" width="2.7109375" style="16" customWidth="1"/>
    <col min="9757" max="9758" width="10.42578125" style="16" customWidth="1"/>
    <col min="9759" max="9759" width="2.5703125" style="16" customWidth="1"/>
    <col min="9760" max="9761" width="10.5703125" style="16" customWidth="1"/>
    <col min="9762" max="9762" width="2.5703125" style="16" customWidth="1"/>
    <col min="9763" max="9764" width="10.5703125" style="16" customWidth="1"/>
    <col min="9765" max="9765" width="2.5703125" style="16" customWidth="1"/>
    <col min="9766" max="9766" width="12.140625" style="16" bestFit="1" customWidth="1"/>
    <col min="9767" max="9767" width="10.5703125" style="16" customWidth="1"/>
    <col min="9768" max="9768" width="2.5703125" style="16" customWidth="1"/>
    <col min="9769" max="9770" width="10.5703125" style="16" customWidth="1"/>
    <col min="9771" max="9771" width="2.7109375" style="16" customWidth="1"/>
    <col min="9772" max="9773" width="9.28515625" style="16" bestFit="1" customWidth="1"/>
    <col min="9774" max="9774" width="2.7109375" style="16" customWidth="1"/>
    <col min="9775" max="9776" width="10.42578125" style="16" bestFit="1" customWidth="1"/>
    <col min="9777" max="9777" width="2.5703125" style="16" customWidth="1"/>
    <col min="9778" max="9779" width="10.42578125" style="16" customWidth="1"/>
    <col min="9780" max="9780" width="2.5703125" style="16" customWidth="1"/>
    <col min="9781" max="9782" width="10.42578125" style="16" customWidth="1"/>
    <col min="9783" max="9783" width="2.7109375" style="16" customWidth="1"/>
    <col min="9784" max="9784" width="11.5703125" style="16" bestFit="1" customWidth="1"/>
    <col min="9785" max="9785" width="10.42578125" style="16" bestFit="1" customWidth="1"/>
    <col min="9786" max="9786" width="6.42578125" style="16" bestFit="1" customWidth="1"/>
    <col min="9787" max="9787" width="5.85546875" style="16" bestFit="1" customWidth="1"/>
    <col min="9788" max="9788" width="10.42578125" style="16" bestFit="1" customWidth="1"/>
    <col min="9789" max="9789" width="8.7109375" style="16" bestFit="1" customWidth="1"/>
    <col min="9790" max="9790" width="2.7109375" style="16" customWidth="1"/>
    <col min="9791" max="9791" width="5.85546875" style="16" bestFit="1" customWidth="1"/>
    <col min="9792" max="9792" width="12.7109375" style="16" bestFit="1" customWidth="1"/>
    <col min="9793" max="9793" width="11.5703125" style="16" bestFit="1" customWidth="1"/>
    <col min="9794" max="9794" width="2.7109375" style="16" customWidth="1"/>
    <col min="9795" max="9795" width="12.7109375" style="16" bestFit="1" customWidth="1"/>
    <col min="9796" max="9796" width="9.140625" style="16"/>
    <col min="9797" max="9797" width="21.7109375" style="16" bestFit="1" customWidth="1"/>
    <col min="9798" max="9798" width="9.140625" style="16"/>
    <col min="9799" max="9799" width="10.7109375" style="16" customWidth="1"/>
    <col min="9800" max="9800" width="10" style="16" bestFit="1" customWidth="1"/>
    <col min="9801" max="10009" width="9.140625" style="16"/>
    <col min="10010" max="10010" width="6.42578125" style="16" bestFit="1" customWidth="1"/>
    <col min="10011" max="10011" width="6" style="16" bestFit="1" customWidth="1"/>
    <col min="10012" max="10012" width="2.7109375" style="16" customWidth="1"/>
    <col min="10013" max="10014" width="10.42578125" style="16" customWidth="1"/>
    <col min="10015" max="10015" width="2.5703125" style="16" customWidth="1"/>
    <col min="10016" max="10017" width="10.5703125" style="16" customWidth="1"/>
    <col min="10018" max="10018" width="2.5703125" style="16" customWidth="1"/>
    <col min="10019" max="10020" width="10.5703125" style="16" customWidth="1"/>
    <col min="10021" max="10021" width="2.5703125" style="16" customWidth="1"/>
    <col min="10022" max="10022" width="12.140625" style="16" bestFit="1" customWidth="1"/>
    <col min="10023" max="10023" width="10.5703125" style="16" customWidth="1"/>
    <col min="10024" max="10024" width="2.5703125" style="16" customWidth="1"/>
    <col min="10025" max="10026" width="10.5703125" style="16" customWidth="1"/>
    <col min="10027" max="10027" width="2.7109375" style="16" customWidth="1"/>
    <col min="10028" max="10029" width="9.28515625" style="16" bestFit="1" customWidth="1"/>
    <col min="10030" max="10030" width="2.7109375" style="16" customWidth="1"/>
    <col min="10031" max="10032" width="10.42578125" style="16" bestFit="1" customWidth="1"/>
    <col min="10033" max="10033" width="2.5703125" style="16" customWidth="1"/>
    <col min="10034" max="10035" width="10.42578125" style="16" customWidth="1"/>
    <col min="10036" max="10036" width="2.5703125" style="16" customWidth="1"/>
    <col min="10037" max="10038" width="10.42578125" style="16" customWidth="1"/>
    <col min="10039" max="10039" width="2.7109375" style="16" customWidth="1"/>
    <col min="10040" max="10040" width="11.5703125" style="16" bestFit="1" customWidth="1"/>
    <col min="10041" max="10041" width="10.42578125" style="16" bestFit="1" customWidth="1"/>
    <col min="10042" max="10042" width="6.42578125" style="16" bestFit="1" customWidth="1"/>
    <col min="10043" max="10043" width="5.85546875" style="16" bestFit="1" customWidth="1"/>
    <col min="10044" max="10044" width="10.42578125" style="16" bestFit="1" customWidth="1"/>
    <col min="10045" max="10045" width="8.7109375" style="16" bestFit="1" customWidth="1"/>
    <col min="10046" max="10046" width="2.7109375" style="16" customWidth="1"/>
    <col min="10047" max="10047" width="5.85546875" style="16" bestFit="1" customWidth="1"/>
    <col min="10048" max="10048" width="12.7109375" style="16" bestFit="1" customWidth="1"/>
    <col min="10049" max="10049" width="11.5703125" style="16" bestFit="1" customWidth="1"/>
    <col min="10050" max="10050" width="2.7109375" style="16" customWidth="1"/>
    <col min="10051" max="10051" width="12.7109375" style="16" bestFit="1" customWidth="1"/>
    <col min="10052" max="10052" width="9.140625" style="16"/>
    <col min="10053" max="10053" width="21.7109375" style="16" bestFit="1" customWidth="1"/>
    <col min="10054" max="10054" width="9.140625" style="16"/>
    <col min="10055" max="10055" width="10.7109375" style="16" customWidth="1"/>
    <col min="10056" max="10056" width="10" style="16" bestFit="1" customWidth="1"/>
    <col min="10057" max="10265" width="9.140625" style="16"/>
    <col min="10266" max="10266" width="6.42578125" style="16" bestFit="1" customWidth="1"/>
    <col min="10267" max="10267" width="6" style="16" bestFit="1" customWidth="1"/>
    <col min="10268" max="10268" width="2.7109375" style="16" customWidth="1"/>
    <col min="10269" max="10270" width="10.42578125" style="16" customWidth="1"/>
    <col min="10271" max="10271" width="2.5703125" style="16" customWidth="1"/>
    <col min="10272" max="10273" width="10.5703125" style="16" customWidth="1"/>
    <col min="10274" max="10274" width="2.5703125" style="16" customWidth="1"/>
    <col min="10275" max="10276" width="10.5703125" style="16" customWidth="1"/>
    <col min="10277" max="10277" width="2.5703125" style="16" customWidth="1"/>
    <col min="10278" max="10278" width="12.140625" style="16" bestFit="1" customWidth="1"/>
    <col min="10279" max="10279" width="10.5703125" style="16" customWidth="1"/>
    <col min="10280" max="10280" width="2.5703125" style="16" customWidth="1"/>
    <col min="10281" max="10282" width="10.5703125" style="16" customWidth="1"/>
    <col min="10283" max="10283" width="2.7109375" style="16" customWidth="1"/>
    <col min="10284" max="10285" width="9.28515625" style="16" bestFit="1" customWidth="1"/>
    <col min="10286" max="10286" width="2.7109375" style="16" customWidth="1"/>
    <col min="10287" max="10288" width="10.42578125" style="16" bestFit="1" customWidth="1"/>
    <col min="10289" max="10289" width="2.5703125" style="16" customWidth="1"/>
    <col min="10290" max="10291" width="10.42578125" style="16" customWidth="1"/>
    <col min="10292" max="10292" width="2.5703125" style="16" customWidth="1"/>
    <col min="10293" max="10294" width="10.42578125" style="16" customWidth="1"/>
    <col min="10295" max="10295" width="2.7109375" style="16" customWidth="1"/>
    <col min="10296" max="10296" width="11.5703125" style="16" bestFit="1" customWidth="1"/>
    <col min="10297" max="10297" width="10.42578125" style="16" bestFit="1" customWidth="1"/>
    <col min="10298" max="10298" width="6.42578125" style="16" bestFit="1" customWidth="1"/>
    <col min="10299" max="10299" width="5.85546875" style="16" bestFit="1" customWidth="1"/>
    <col min="10300" max="10300" width="10.42578125" style="16" bestFit="1" customWidth="1"/>
    <col min="10301" max="10301" width="8.7109375" style="16" bestFit="1" customWidth="1"/>
    <col min="10302" max="10302" width="2.7109375" style="16" customWidth="1"/>
    <col min="10303" max="10303" width="5.85546875" style="16" bestFit="1" customWidth="1"/>
    <col min="10304" max="10304" width="12.7109375" style="16" bestFit="1" customWidth="1"/>
    <col min="10305" max="10305" width="11.5703125" style="16" bestFit="1" customWidth="1"/>
    <col min="10306" max="10306" width="2.7109375" style="16" customWidth="1"/>
    <col min="10307" max="10307" width="12.7109375" style="16" bestFit="1" customWidth="1"/>
    <col min="10308" max="10308" width="9.140625" style="16"/>
    <col min="10309" max="10309" width="21.7109375" style="16" bestFit="1" customWidth="1"/>
    <col min="10310" max="10310" width="9.140625" style="16"/>
    <col min="10311" max="10311" width="10.7109375" style="16" customWidth="1"/>
    <col min="10312" max="10312" width="10" style="16" bestFit="1" customWidth="1"/>
    <col min="10313" max="10521" width="9.140625" style="16"/>
    <col min="10522" max="10522" width="6.42578125" style="16" bestFit="1" customWidth="1"/>
    <col min="10523" max="10523" width="6" style="16" bestFit="1" customWidth="1"/>
    <col min="10524" max="10524" width="2.7109375" style="16" customWidth="1"/>
    <col min="10525" max="10526" width="10.42578125" style="16" customWidth="1"/>
    <col min="10527" max="10527" width="2.5703125" style="16" customWidth="1"/>
    <col min="10528" max="10529" width="10.5703125" style="16" customWidth="1"/>
    <col min="10530" max="10530" width="2.5703125" style="16" customWidth="1"/>
    <col min="10531" max="10532" width="10.5703125" style="16" customWidth="1"/>
    <col min="10533" max="10533" width="2.5703125" style="16" customWidth="1"/>
    <col min="10534" max="10534" width="12.140625" style="16" bestFit="1" customWidth="1"/>
    <col min="10535" max="10535" width="10.5703125" style="16" customWidth="1"/>
    <col min="10536" max="10536" width="2.5703125" style="16" customWidth="1"/>
    <col min="10537" max="10538" width="10.5703125" style="16" customWidth="1"/>
    <col min="10539" max="10539" width="2.7109375" style="16" customWidth="1"/>
    <col min="10540" max="10541" width="9.28515625" style="16" bestFit="1" customWidth="1"/>
    <col min="10542" max="10542" width="2.7109375" style="16" customWidth="1"/>
    <col min="10543" max="10544" width="10.42578125" style="16" bestFit="1" customWidth="1"/>
    <col min="10545" max="10545" width="2.5703125" style="16" customWidth="1"/>
    <col min="10546" max="10547" width="10.42578125" style="16" customWidth="1"/>
    <col min="10548" max="10548" width="2.5703125" style="16" customWidth="1"/>
    <col min="10549" max="10550" width="10.42578125" style="16" customWidth="1"/>
    <col min="10551" max="10551" width="2.7109375" style="16" customWidth="1"/>
    <col min="10552" max="10552" width="11.5703125" style="16" bestFit="1" customWidth="1"/>
    <col min="10553" max="10553" width="10.42578125" style="16" bestFit="1" customWidth="1"/>
    <col min="10554" max="10554" width="6.42578125" style="16" bestFit="1" customWidth="1"/>
    <col min="10555" max="10555" width="5.85546875" style="16" bestFit="1" customWidth="1"/>
    <col min="10556" max="10556" width="10.42578125" style="16" bestFit="1" customWidth="1"/>
    <col min="10557" max="10557" width="8.7109375" style="16" bestFit="1" customWidth="1"/>
    <col min="10558" max="10558" width="2.7109375" style="16" customWidth="1"/>
    <col min="10559" max="10559" width="5.85546875" style="16" bestFit="1" customWidth="1"/>
    <col min="10560" max="10560" width="12.7109375" style="16" bestFit="1" customWidth="1"/>
    <col min="10561" max="10561" width="11.5703125" style="16" bestFit="1" customWidth="1"/>
    <col min="10562" max="10562" width="2.7109375" style="16" customWidth="1"/>
    <col min="10563" max="10563" width="12.7109375" style="16" bestFit="1" customWidth="1"/>
    <col min="10564" max="10564" width="9.140625" style="16"/>
    <col min="10565" max="10565" width="21.7109375" style="16" bestFit="1" customWidth="1"/>
    <col min="10566" max="10566" width="9.140625" style="16"/>
    <col min="10567" max="10567" width="10.7109375" style="16" customWidth="1"/>
    <col min="10568" max="10568" width="10" style="16" bestFit="1" customWidth="1"/>
    <col min="10569" max="10777" width="9.140625" style="16"/>
    <col min="10778" max="10778" width="6.42578125" style="16" bestFit="1" customWidth="1"/>
    <col min="10779" max="10779" width="6" style="16" bestFit="1" customWidth="1"/>
    <col min="10780" max="10780" width="2.7109375" style="16" customWidth="1"/>
    <col min="10781" max="10782" width="10.42578125" style="16" customWidth="1"/>
    <col min="10783" max="10783" width="2.5703125" style="16" customWidth="1"/>
    <col min="10784" max="10785" width="10.5703125" style="16" customWidth="1"/>
    <col min="10786" max="10786" width="2.5703125" style="16" customWidth="1"/>
    <col min="10787" max="10788" width="10.5703125" style="16" customWidth="1"/>
    <col min="10789" max="10789" width="2.5703125" style="16" customWidth="1"/>
    <col min="10790" max="10790" width="12.140625" style="16" bestFit="1" customWidth="1"/>
    <col min="10791" max="10791" width="10.5703125" style="16" customWidth="1"/>
    <col min="10792" max="10792" width="2.5703125" style="16" customWidth="1"/>
    <col min="10793" max="10794" width="10.5703125" style="16" customWidth="1"/>
    <col min="10795" max="10795" width="2.7109375" style="16" customWidth="1"/>
    <col min="10796" max="10797" width="9.28515625" style="16" bestFit="1" customWidth="1"/>
    <col min="10798" max="10798" width="2.7109375" style="16" customWidth="1"/>
    <col min="10799" max="10800" width="10.42578125" style="16" bestFit="1" customWidth="1"/>
    <col min="10801" max="10801" width="2.5703125" style="16" customWidth="1"/>
    <col min="10802" max="10803" width="10.42578125" style="16" customWidth="1"/>
    <col min="10804" max="10804" width="2.5703125" style="16" customWidth="1"/>
    <col min="10805" max="10806" width="10.42578125" style="16" customWidth="1"/>
    <col min="10807" max="10807" width="2.7109375" style="16" customWidth="1"/>
    <col min="10808" max="10808" width="11.5703125" style="16" bestFit="1" customWidth="1"/>
    <col min="10809" max="10809" width="10.42578125" style="16" bestFit="1" customWidth="1"/>
    <col min="10810" max="10810" width="6.42578125" style="16" bestFit="1" customWidth="1"/>
    <col min="10811" max="10811" width="5.85546875" style="16" bestFit="1" customWidth="1"/>
    <col min="10812" max="10812" width="10.42578125" style="16" bestFit="1" customWidth="1"/>
    <col min="10813" max="10813" width="8.7109375" style="16" bestFit="1" customWidth="1"/>
    <col min="10814" max="10814" width="2.7109375" style="16" customWidth="1"/>
    <col min="10815" max="10815" width="5.85546875" style="16" bestFit="1" customWidth="1"/>
    <col min="10816" max="10816" width="12.7109375" style="16" bestFit="1" customWidth="1"/>
    <col min="10817" max="10817" width="11.5703125" style="16" bestFit="1" customWidth="1"/>
    <col min="10818" max="10818" width="2.7109375" style="16" customWidth="1"/>
    <col min="10819" max="10819" width="12.7109375" style="16" bestFit="1" customWidth="1"/>
    <col min="10820" max="10820" width="9.140625" style="16"/>
    <col min="10821" max="10821" width="21.7109375" style="16" bestFit="1" customWidth="1"/>
    <col min="10822" max="10822" width="9.140625" style="16"/>
    <col min="10823" max="10823" width="10.7109375" style="16" customWidth="1"/>
    <col min="10824" max="10824" width="10" style="16" bestFit="1" customWidth="1"/>
    <col min="10825" max="11033" width="9.140625" style="16"/>
    <col min="11034" max="11034" width="6.42578125" style="16" bestFit="1" customWidth="1"/>
    <col min="11035" max="11035" width="6" style="16" bestFit="1" customWidth="1"/>
    <col min="11036" max="11036" width="2.7109375" style="16" customWidth="1"/>
    <col min="11037" max="11038" width="10.42578125" style="16" customWidth="1"/>
    <col min="11039" max="11039" width="2.5703125" style="16" customWidth="1"/>
    <col min="11040" max="11041" width="10.5703125" style="16" customWidth="1"/>
    <col min="11042" max="11042" width="2.5703125" style="16" customWidth="1"/>
    <col min="11043" max="11044" width="10.5703125" style="16" customWidth="1"/>
    <col min="11045" max="11045" width="2.5703125" style="16" customWidth="1"/>
    <col min="11046" max="11046" width="12.140625" style="16" bestFit="1" customWidth="1"/>
    <col min="11047" max="11047" width="10.5703125" style="16" customWidth="1"/>
    <col min="11048" max="11048" width="2.5703125" style="16" customWidth="1"/>
    <col min="11049" max="11050" width="10.5703125" style="16" customWidth="1"/>
    <col min="11051" max="11051" width="2.7109375" style="16" customWidth="1"/>
    <col min="11052" max="11053" width="9.28515625" style="16" bestFit="1" customWidth="1"/>
    <col min="11054" max="11054" width="2.7109375" style="16" customWidth="1"/>
    <col min="11055" max="11056" width="10.42578125" style="16" bestFit="1" customWidth="1"/>
    <col min="11057" max="11057" width="2.5703125" style="16" customWidth="1"/>
    <col min="11058" max="11059" width="10.42578125" style="16" customWidth="1"/>
    <col min="11060" max="11060" width="2.5703125" style="16" customWidth="1"/>
    <col min="11061" max="11062" width="10.42578125" style="16" customWidth="1"/>
    <col min="11063" max="11063" width="2.7109375" style="16" customWidth="1"/>
    <col min="11064" max="11064" width="11.5703125" style="16" bestFit="1" customWidth="1"/>
    <col min="11065" max="11065" width="10.42578125" style="16" bestFit="1" customWidth="1"/>
    <col min="11066" max="11066" width="6.42578125" style="16" bestFit="1" customWidth="1"/>
    <col min="11067" max="11067" width="5.85546875" style="16" bestFit="1" customWidth="1"/>
    <col min="11068" max="11068" width="10.42578125" style="16" bestFit="1" customWidth="1"/>
    <col min="11069" max="11069" width="8.7109375" style="16" bestFit="1" customWidth="1"/>
    <col min="11070" max="11070" width="2.7109375" style="16" customWidth="1"/>
    <col min="11071" max="11071" width="5.85546875" style="16" bestFit="1" customWidth="1"/>
    <col min="11072" max="11072" width="12.7109375" style="16" bestFit="1" customWidth="1"/>
    <col min="11073" max="11073" width="11.5703125" style="16" bestFit="1" customWidth="1"/>
    <col min="11074" max="11074" width="2.7109375" style="16" customWidth="1"/>
    <col min="11075" max="11075" width="12.7109375" style="16" bestFit="1" customWidth="1"/>
    <col min="11076" max="11076" width="9.140625" style="16"/>
    <col min="11077" max="11077" width="21.7109375" style="16" bestFit="1" customWidth="1"/>
    <col min="11078" max="11078" width="9.140625" style="16"/>
    <col min="11079" max="11079" width="10.7109375" style="16" customWidth="1"/>
    <col min="11080" max="11080" width="10" style="16" bestFit="1" customWidth="1"/>
    <col min="11081" max="11289" width="9.140625" style="16"/>
    <col min="11290" max="11290" width="6.42578125" style="16" bestFit="1" customWidth="1"/>
    <col min="11291" max="11291" width="6" style="16" bestFit="1" customWidth="1"/>
    <col min="11292" max="11292" width="2.7109375" style="16" customWidth="1"/>
    <col min="11293" max="11294" width="10.42578125" style="16" customWidth="1"/>
    <col min="11295" max="11295" width="2.5703125" style="16" customWidth="1"/>
    <col min="11296" max="11297" width="10.5703125" style="16" customWidth="1"/>
    <col min="11298" max="11298" width="2.5703125" style="16" customWidth="1"/>
    <col min="11299" max="11300" width="10.5703125" style="16" customWidth="1"/>
    <col min="11301" max="11301" width="2.5703125" style="16" customWidth="1"/>
    <col min="11302" max="11302" width="12.140625" style="16" bestFit="1" customWidth="1"/>
    <col min="11303" max="11303" width="10.5703125" style="16" customWidth="1"/>
    <col min="11304" max="11304" width="2.5703125" style="16" customWidth="1"/>
    <col min="11305" max="11306" width="10.5703125" style="16" customWidth="1"/>
    <col min="11307" max="11307" width="2.7109375" style="16" customWidth="1"/>
    <col min="11308" max="11309" width="9.28515625" style="16" bestFit="1" customWidth="1"/>
    <col min="11310" max="11310" width="2.7109375" style="16" customWidth="1"/>
    <col min="11311" max="11312" width="10.42578125" style="16" bestFit="1" customWidth="1"/>
    <col min="11313" max="11313" width="2.5703125" style="16" customWidth="1"/>
    <col min="11314" max="11315" width="10.42578125" style="16" customWidth="1"/>
    <col min="11316" max="11316" width="2.5703125" style="16" customWidth="1"/>
    <col min="11317" max="11318" width="10.42578125" style="16" customWidth="1"/>
    <col min="11319" max="11319" width="2.7109375" style="16" customWidth="1"/>
    <col min="11320" max="11320" width="11.5703125" style="16" bestFit="1" customWidth="1"/>
    <col min="11321" max="11321" width="10.42578125" style="16" bestFit="1" customWidth="1"/>
    <col min="11322" max="11322" width="6.42578125" style="16" bestFit="1" customWidth="1"/>
    <col min="11323" max="11323" width="5.85546875" style="16" bestFit="1" customWidth="1"/>
    <col min="11324" max="11324" width="10.42578125" style="16" bestFit="1" customWidth="1"/>
    <col min="11325" max="11325" width="8.7109375" style="16" bestFit="1" customWidth="1"/>
    <col min="11326" max="11326" width="2.7109375" style="16" customWidth="1"/>
    <col min="11327" max="11327" width="5.85546875" style="16" bestFit="1" customWidth="1"/>
    <col min="11328" max="11328" width="12.7109375" style="16" bestFit="1" customWidth="1"/>
    <col min="11329" max="11329" width="11.5703125" style="16" bestFit="1" customWidth="1"/>
    <col min="11330" max="11330" width="2.7109375" style="16" customWidth="1"/>
    <col min="11331" max="11331" width="12.7109375" style="16" bestFit="1" customWidth="1"/>
    <col min="11332" max="11332" width="9.140625" style="16"/>
    <col min="11333" max="11333" width="21.7109375" style="16" bestFit="1" customWidth="1"/>
    <col min="11334" max="11334" width="9.140625" style="16"/>
    <col min="11335" max="11335" width="10.7109375" style="16" customWidth="1"/>
    <col min="11336" max="11336" width="10" style="16" bestFit="1" customWidth="1"/>
    <col min="11337" max="11545" width="9.140625" style="16"/>
    <col min="11546" max="11546" width="6.42578125" style="16" bestFit="1" customWidth="1"/>
    <col min="11547" max="11547" width="6" style="16" bestFit="1" customWidth="1"/>
    <col min="11548" max="11548" width="2.7109375" style="16" customWidth="1"/>
    <col min="11549" max="11550" width="10.42578125" style="16" customWidth="1"/>
    <col min="11551" max="11551" width="2.5703125" style="16" customWidth="1"/>
    <col min="11552" max="11553" width="10.5703125" style="16" customWidth="1"/>
    <col min="11554" max="11554" width="2.5703125" style="16" customWidth="1"/>
    <col min="11555" max="11556" width="10.5703125" style="16" customWidth="1"/>
    <col min="11557" max="11557" width="2.5703125" style="16" customWidth="1"/>
    <col min="11558" max="11558" width="12.140625" style="16" bestFit="1" customWidth="1"/>
    <col min="11559" max="11559" width="10.5703125" style="16" customWidth="1"/>
    <col min="11560" max="11560" width="2.5703125" style="16" customWidth="1"/>
    <col min="11561" max="11562" width="10.5703125" style="16" customWidth="1"/>
    <col min="11563" max="11563" width="2.7109375" style="16" customWidth="1"/>
    <col min="11564" max="11565" width="9.28515625" style="16" bestFit="1" customWidth="1"/>
    <col min="11566" max="11566" width="2.7109375" style="16" customWidth="1"/>
    <col min="11567" max="11568" width="10.42578125" style="16" bestFit="1" customWidth="1"/>
    <col min="11569" max="11569" width="2.5703125" style="16" customWidth="1"/>
    <col min="11570" max="11571" width="10.42578125" style="16" customWidth="1"/>
    <col min="11572" max="11572" width="2.5703125" style="16" customWidth="1"/>
    <col min="11573" max="11574" width="10.42578125" style="16" customWidth="1"/>
    <col min="11575" max="11575" width="2.7109375" style="16" customWidth="1"/>
    <col min="11576" max="11576" width="11.5703125" style="16" bestFit="1" customWidth="1"/>
    <col min="11577" max="11577" width="10.42578125" style="16" bestFit="1" customWidth="1"/>
    <col min="11578" max="11578" width="6.42578125" style="16" bestFit="1" customWidth="1"/>
    <col min="11579" max="11579" width="5.85546875" style="16" bestFit="1" customWidth="1"/>
    <col min="11580" max="11580" width="10.42578125" style="16" bestFit="1" customWidth="1"/>
    <col min="11581" max="11581" width="8.7109375" style="16" bestFit="1" customWidth="1"/>
    <col min="11582" max="11582" width="2.7109375" style="16" customWidth="1"/>
    <col min="11583" max="11583" width="5.85546875" style="16" bestFit="1" customWidth="1"/>
    <col min="11584" max="11584" width="12.7109375" style="16" bestFit="1" customWidth="1"/>
    <col min="11585" max="11585" width="11.5703125" style="16" bestFit="1" customWidth="1"/>
    <col min="11586" max="11586" width="2.7109375" style="16" customWidth="1"/>
    <col min="11587" max="11587" width="12.7109375" style="16" bestFit="1" customWidth="1"/>
    <col min="11588" max="11588" width="9.140625" style="16"/>
    <col min="11589" max="11589" width="21.7109375" style="16" bestFit="1" customWidth="1"/>
    <col min="11590" max="11590" width="9.140625" style="16"/>
    <col min="11591" max="11591" width="10.7109375" style="16" customWidth="1"/>
    <col min="11592" max="11592" width="10" style="16" bestFit="1" customWidth="1"/>
    <col min="11593" max="11801" width="9.140625" style="16"/>
    <col min="11802" max="11802" width="6.42578125" style="16" bestFit="1" customWidth="1"/>
    <col min="11803" max="11803" width="6" style="16" bestFit="1" customWidth="1"/>
    <col min="11804" max="11804" width="2.7109375" style="16" customWidth="1"/>
    <col min="11805" max="11806" width="10.42578125" style="16" customWidth="1"/>
    <col min="11807" max="11807" width="2.5703125" style="16" customWidth="1"/>
    <col min="11808" max="11809" width="10.5703125" style="16" customWidth="1"/>
    <col min="11810" max="11810" width="2.5703125" style="16" customWidth="1"/>
    <col min="11811" max="11812" width="10.5703125" style="16" customWidth="1"/>
    <col min="11813" max="11813" width="2.5703125" style="16" customWidth="1"/>
    <col min="11814" max="11814" width="12.140625" style="16" bestFit="1" customWidth="1"/>
    <col min="11815" max="11815" width="10.5703125" style="16" customWidth="1"/>
    <col min="11816" max="11816" width="2.5703125" style="16" customWidth="1"/>
    <col min="11817" max="11818" width="10.5703125" style="16" customWidth="1"/>
    <col min="11819" max="11819" width="2.7109375" style="16" customWidth="1"/>
    <col min="11820" max="11821" width="9.28515625" style="16" bestFit="1" customWidth="1"/>
    <col min="11822" max="11822" width="2.7109375" style="16" customWidth="1"/>
    <col min="11823" max="11824" width="10.42578125" style="16" bestFit="1" customWidth="1"/>
    <col min="11825" max="11825" width="2.5703125" style="16" customWidth="1"/>
    <col min="11826" max="11827" width="10.42578125" style="16" customWidth="1"/>
    <col min="11828" max="11828" width="2.5703125" style="16" customWidth="1"/>
    <col min="11829" max="11830" width="10.42578125" style="16" customWidth="1"/>
    <col min="11831" max="11831" width="2.7109375" style="16" customWidth="1"/>
    <col min="11832" max="11832" width="11.5703125" style="16" bestFit="1" customWidth="1"/>
    <col min="11833" max="11833" width="10.42578125" style="16" bestFit="1" customWidth="1"/>
    <col min="11834" max="11834" width="6.42578125" style="16" bestFit="1" customWidth="1"/>
    <col min="11835" max="11835" width="5.85546875" style="16" bestFit="1" customWidth="1"/>
    <col min="11836" max="11836" width="10.42578125" style="16" bestFit="1" customWidth="1"/>
    <col min="11837" max="11837" width="8.7109375" style="16" bestFit="1" customWidth="1"/>
    <col min="11838" max="11838" width="2.7109375" style="16" customWidth="1"/>
    <col min="11839" max="11839" width="5.85546875" style="16" bestFit="1" customWidth="1"/>
    <col min="11840" max="11840" width="12.7109375" style="16" bestFit="1" customWidth="1"/>
    <col min="11841" max="11841" width="11.5703125" style="16" bestFit="1" customWidth="1"/>
    <col min="11842" max="11842" width="2.7109375" style="16" customWidth="1"/>
    <col min="11843" max="11843" width="12.7109375" style="16" bestFit="1" customWidth="1"/>
    <col min="11844" max="11844" width="9.140625" style="16"/>
    <col min="11845" max="11845" width="21.7109375" style="16" bestFit="1" customWidth="1"/>
    <col min="11846" max="11846" width="9.140625" style="16"/>
    <col min="11847" max="11847" width="10.7109375" style="16" customWidth="1"/>
    <col min="11848" max="11848" width="10" style="16" bestFit="1" customWidth="1"/>
    <col min="11849" max="12057" width="9.140625" style="16"/>
    <col min="12058" max="12058" width="6.42578125" style="16" bestFit="1" customWidth="1"/>
    <col min="12059" max="12059" width="6" style="16" bestFit="1" customWidth="1"/>
    <col min="12060" max="12060" width="2.7109375" style="16" customWidth="1"/>
    <col min="12061" max="12062" width="10.42578125" style="16" customWidth="1"/>
    <col min="12063" max="12063" width="2.5703125" style="16" customWidth="1"/>
    <col min="12064" max="12065" width="10.5703125" style="16" customWidth="1"/>
    <col min="12066" max="12066" width="2.5703125" style="16" customWidth="1"/>
    <col min="12067" max="12068" width="10.5703125" style="16" customWidth="1"/>
    <col min="12069" max="12069" width="2.5703125" style="16" customWidth="1"/>
    <col min="12070" max="12070" width="12.140625" style="16" bestFit="1" customWidth="1"/>
    <col min="12071" max="12071" width="10.5703125" style="16" customWidth="1"/>
    <col min="12072" max="12072" width="2.5703125" style="16" customWidth="1"/>
    <col min="12073" max="12074" width="10.5703125" style="16" customWidth="1"/>
    <col min="12075" max="12075" width="2.7109375" style="16" customWidth="1"/>
    <col min="12076" max="12077" width="9.28515625" style="16" bestFit="1" customWidth="1"/>
    <col min="12078" max="12078" width="2.7109375" style="16" customWidth="1"/>
    <col min="12079" max="12080" width="10.42578125" style="16" bestFit="1" customWidth="1"/>
    <col min="12081" max="12081" width="2.5703125" style="16" customWidth="1"/>
    <col min="12082" max="12083" width="10.42578125" style="16" customWidth="1"/>
    <col min="12084" max="12084" width="2.5703125" style="16" customWidth="1"/>
    <col min="12085" max="12086" width="10.42578125" style="16" customWidth="1"/>
    <col min="12087" max="12087" width="2.7109375" style="16" customWidth="1"/>
    <col min="12088" max="12088" width="11.5703125" style="16" bestFit="1" customWidth="1"/>
    <col min="12089" max="12089" width="10.42578125" style="16" bestFit="1" customWidth="1"/>
    <col min="12090" max="12090" width="6.42578125" style="16" bestFit="1" customWidth="1"/>
    <col min="12091" max="12091" width="5.85546875" style="16" bestFit="1" customWidth="1"/>
    <col min="12092" max="12092" width="10.42578125" style="16" bestFit="1" customWidth="1"/>
    <col min="12093" max="12093" width="8.7109375" style="16" bestFit="1" customWidth="1"/>
    <col min="12094" max="12094" width="2.7109375" style="16" customWidth="1"/>
    <col min="12095" max="12095" width="5.85546875" style="16" bestFit="1" customWidth="1"/>
    <col min="12096" max="12096" width="12.7109375" style="16" bestFit="1" customWidth="1"/>
    <col min="12097" max="12097" width="11.5703125" style="16" bestFit="1" customWidth="1"/>
    <col min="12098" max="12098" width="2.7109375" style="16" customWidth="1"/>
    <col min="12099" max="12099" width="12.7109375" style="16" bestFit="1" customWidth="1"/>
    <col min="12100" max="12100" width="9.140625" style="16"/>
    <col min="12101" max="12101" width="21.7109375" style="16" bestFit="1" customWidth="1"/>
    <col min="12102" max="12102" width="9.140625" style="16"/>
    <col min="12103" max="12103" width="10.7109375" style="16" customWidth="1"/>
    <col min="12104" max="12104" width="10" style="16" bestFit="1" customWidth="1"/>
    <col min="12105" max="12313" width="9.140625" style="16"/>
    <col min="12314" max="12314" width="6.42578125" style="16" bestFit="1" customWidth="1"/>
    <col min="12315" max="12315" width="6" style="16" bestFit="1" customWidth="1"/>
    <col min="12316" max="12316" width="2.7109375" style="16" customWidth="1"/>
    <col min="12317" max="12318" width="10.42578125" style="16" customWidth="1"/>
    <col min="12319" max="12319" width="2.5703125" style="16" customWidth="1"/>
    <col min="12320" max="12321" width="10.5703125" style="16" customWidth="1"/>
    <col min="12322" max="12322" width="2.5703125" style="16" customWidth="1"/>
    <col min="12323" max="12324" width="10.5703125" style="16" customWidth="1"/>
    <col min="12325" max="12325" width="2.5703125" style="16" customWidth="1"/>
    <col min="12326" max="12326" width="12.140625" style="16" bestFit="1" customWidth="1"/>
    <col min="12327" max="12327" width="10.5703125" style="16" customWidth="1"/>
    <col min="12328" max="12328" width="2.5703125" style="16" customWidth="1"/>
    <col min="12329" max="12330" width="10.5703125" style="16" customWidth="1"/>
    <col min="12331" max="12331" width="2.7109375" style="16" customWidth="1"/>
    <col min="12332" max="12333" width="9.28515625" style="16" bestFit="1" customWidth="1"/>
    <col min="12334" max="12334" width="2.7109375" style="16" customWidth="1"/>
    <col min="12335" max="12336" width="10.42578125" style="16" bestFit="1" customWidth="1"/>
    <col min="12337" max="12337" width="2.5703125" style="16" customWidth="1"/>
    <col min="12338" max="12339" width="10.42578125" style="16" customWidth="1"/>
    <col min="12340" max="12340" width="2.5703125" style="16" customWidth="1"/>
    <col min="12341" max="12342" width="10.42578125" style="16" customWidth="1"/>
    <col min="12343" max="12343" width="2.7109375" style="16" customWidth="1"/>
    <col min="12344" max="12344" width="11.5703125" style="16" bestFit="1" customWidth="1"/>
    <col min="12345" max="12345" width="10.42578125" style="16" bestFit="1" customWidth="1"/>
    <col min="12346" max="12346" width="6.42578125" style="16" bestFit="1" customWidth="1"/>
    <col min="12347" max="12347" width="5.85546875" style="16" bestFit="1" customWidth="1"/>
    <col min="12348" max="12348" width="10.42578125" style="16" bestFit="1" customWidth="1"/>
    <col min="12349" max="12349" width="8.7109375" style="16" bestFit="1" customWidth="1"/>
    <col min="12350" max="12350" width="2.7109375" style="16" customWidth="1"/>
    <col min="12351" max="12351" width="5.85546875" style="16" bestFit="1" customWidth="1"/>
    <col min="12352" max="12352" width="12.7109375" style="16" bestFit="1" customWidth="1"/>
    <col min="12353" max="12353" width="11.5703125" style="16" bestFit="1" customWidth="1"/>
    <col min="12354" max="12354" width="2.7109375" style="16" customWidth="1"/>
    <col min="12355" max="12355" width="12.7109375" style="16" bestFit="1" customWidth="1"/>
    <col min="12356" max="12356" width="9.140625" style="16"/>
    <col min="12357" max="12357" width="21.7109375" style="16" bestFit="1" customWidth="1"/>
    <col min="12358" max="12358" width="9.140625" style="16"/>
    <col min="12359" max="12359" width="10.7109375" style="16" customWidth="1"/>
    <col min="12360" max="12360" width="10" style="16" bestFit="1" customWidth="1"/>
    <col min="12361" max="12569" width="9.140625" style="16"/>
    <col min="12570" max="12570" width="6.42578125" style="16" bestFit="1" customWidth="1"/>
    <col min="12571" max="12571" width="6" style="16" bestFit="1" customWidth="1"/>
    <col min="12572" max="12572" width="2.7109375" style="16" customWidth="1"/>
    <col min="12573" max="12574" width="10.42578125" style="16" customWidth="1"/>
    <col min="12575" max="12575" width="2.5703125" style="16" customWidth="1"/>
    <col min="12576" max="12577" width="10.5703125" style="16" customWidth="1"/>
    <col min="12578" max="12578" width="2.5703125" style="16" customWidth="1"/>
    <col min="12579" max="12580" width="10.5703125" style="16" customWidth="1"/>
    <col min="12581" max="12581" width="2.5703125" style="16" customWidth="1"/>
    <col min="12582" max="12582" width="12.140625" style="16" bestFit="1" customWidth="1"/>
    <col min="12583" max="12583" width="10.5703125" style="16" customWidth="1"/>
    <col min="12584" max="12584" width="2.5703125" style="16" customWidth="1"/>
    <col min="12585" max="12586" width="10.5703125" style="16" customWidth="1"/>
    <col min="12587" max="12587" width="2.7109375" style="16" customWidth="1"/>
    <col min="12588" max="12589" width="9.28515625" style="16" bestFit="1" customWidth="1"/>
    <col min="12590" max="12590" width="2.7109375" style="16" customWidth="1"/>
    <col min="12591" max="12592" width="10.42578125" style="16" bestFit="1" customWidth="1"/>
    <col min="12593" max="12593" width="2.5703125" style="16" customWidth="1"/>
    <col min="12594" max="12595" width="10.42578125" style="16" customWidth="1"/>
    <col min="12596" max="12596" width="2.5703125" style="16" customWidth="1"/>
    <col min="12597" max="12598" width="10.42578125" style="16" customWidth="1"/>
    <col min="12599" max="12599" width="2.7109375" style="16" customWidth="1"/>
    <col min="12600" max="12600" width="11.5703125" style="16" bestFit="1" customWidth="1"/>
    <col min="12601" max="12601" width="10.42578125" style="16" bestFit="1" customWidth="1"/>
    <col min="12602" max="12602" width="6.42578125" style="16" bestFit="1" customWidth="1"/>
    <col min="12603" max="12603" width="5.85546875" style="16" bestFit="1" customWidth="1"/>
    <col min="12604" max="12604" width="10.42578125" style="16" bestFit="1" customWidth="1"/>
    <col min="12605" max="12605" width="8.7109375" style="16" bestFit="1" customWidth="1"/>
    <col min="12606" max="12606" width="2.7109375" style="16" customWidth="1"/>
    <col min="12607" max="12607" width="5.85546875" style="16" bestFit="1" customWidth="1"/>
    <col min="12608" max="12608" width="12.7109375" style="16" bestFit="1" customWidth="1"/>
    <col min="12609" max="12609" width="11.5703125" style="16" bestFit="1" customWidth="1"/>
    <col min="12610" max="12610" width="2.7109375" style="16" customWidth="1"/>
    <col min="12611" max="12611" width="12.7109375" style="16" bestFit="1" customWidth="1"/>
    <col min="12612" max="12612" width="9.140625" style="16"/>
    <col min="12613" max="12613" width="21.7109375" style="16" bestFit="1" customWidth="1"/>
    <col min="12614" max="12614" width="9.140625" style="16"/>
    <col min="12615" max="12615" width="10.7109375" style="16" customWidth="1"/>
    <col min="12616" max="12616" width="10" style="16" bestFit="1" customWidth="1"/>
    <col min="12617" max="12825" width="9.140625" style="16"/>
    <col min="12826" max="12826" width="6.42578125" style="16" bestFit="1" customWidth="1"/>
    <col min="12827" max="12827" width="6" style="16" bestFit="1" customWidth="1"/>
    <col min="12828" max="12828" width="2.7109375" style="16" customWidth="1"/>
    <col min="12829" max="12830" width="10.42578125" style="16" customWidth="1"/>
    <col min="12831" max="12831" width="2.5703125" style="16" customWidth="1"/>
    <col min="12832" max="12833" width="10.5703125" style="16" customWidth="1"/>
    <col min="12834" max="12834" width="2.5703125" style="16" customWidth="1"/>
    <col min="12835" max="12836" width="10.5703125" style="16" customWidth="1"/>
    <col min="12837" max="12837" width="2.5703125" style="16" customWidth="1"/>
    <col min="12838" max="12838" width="12.140625" style="16" bestFit="1" customWidth="1"/>
    <col min="12839" max="12839" width="10.5703125" style="16" customWidth="1"/>
    <col min="12840" max="12840" width="2.5703125" style="16" customWidth="1"/>
    <col min="12841" max="12842" width="10.5703125" style="16" customWidth="1"/>
    <col min="12843" max="12843" width="2.7109375" style="16" customWidth="1"/>
    <col min="12844" max="12845" width="9.28515625" style="16" bestFit="1" customWidth="1"/>
    <col min="12846" max="12846" width="2.7109375" style="16" customWidth="1"/>
    <col min="12847" max="12848" width="10.42578125" style="16" bestFit="1" customWidth="1"/>
    <col min="12849" max="12849" width="2.5703125" style="16" customWidth="1"/>
    <col min="12850" max="12851" width="10.42578125" style="16" customWidth="1"/>
    <col min="12852" max="12852" width="2.5703125" style="16" customWidth="1"/>
    <col min="12853" max="12854" width="10.42578125" style="16" customWidth="1"/>
    <col min="12855" max="12855" width="2.7109375" style="16" customWidth="1"/>
    <col min="12856" max="12856" width="11.5703125" style="16" bestFit="1" customWidth="1"/>
    <col min="12857" max="12857" width="10.42578125" style="16" bestFit="1" customWidth="1"/>
    <col min="12858" max="12858" width="6.42578125" style="16" bestFit="1" customWidth="1"/>
    <col min="12859" max="12859" width="5.85546875" style="16" bestFit="1" customWidth="1"/>
    <col min="12860" max="12860" width="10.42578125" style="16" bestFit="1" customWidth="1"/>
    <col min="12861" max="12861" width="8.7109375" style="16" bestFit="1" customWidth="1"/>
    <col min="12862" max="12862" width="2.7109375" style="16" customWidth="1"/>
    <col min="12863" max="12863" width="5.85546875" style="16" bestFit="1" customWidth="1"/>
    <col min="12864" max="12864" width="12.7109375" style="16" bestFit="1" customWidth="1"/>
    <col min="12865" max="12865" width="11.5703125" style="16" bestFit="1" customWidth="1"/>
    <col min="12866" max="12866" width="2.7109375" style="16" customWidth="1"/>
    <col min="12867" max="12867" width="12.7109375" style="16" bestFit="1" customWidth="1"/>
    <col min="12868" max="12868" width="9.140625" style="16"/>
    <col min="12869" max="12869" width="21.7109375" style="16" bestFit="1" customWidth="1"/>
    <col min="12870" max="12870" width="9.140625" style="16"/>
    <col min="12871" max="12871" width="10.7109375" style="16" customWidth="1"/>
    <col min="12872" max="12872" width="10" style="16" bestFit="1" customWidth="1"/>
    <col min="12873" max="13081" width="9.140625" style="16"/>
    <col min="13082" max="13082" width="6.42578125" style="16" bestFit="1" customWidth="1"/>
    <col min="13083" max="13083" width="6" style="16" bestFit="1" customWidth="1"/>
    <col min="13084" max="13084" width="2.7109375" style="16" customWidth="1"/>
    <col min="13085" max="13086" width="10.42578125" style="16" customWidth="1"/>
    <col min="13087" max="13087" width="2.5703125" style="16" customWidth="1"/>
    <col min="13088" max="13089" width="10.5703125" style="16" customWidth="1"/>
    <col min="13090" max="13090" width="2.5703125" style="16" customWidth="1"/>
    <col min="13091" max="13092" width="10.5703125" style="16" customWidth="1"/>
    <col min="13093" max="13093" width="2.5703125" style="16" customWidth="1"/>
    <col min="13094" max="13094" width="12.140625" style="16" bestFit="1" customWidth="1"/>
    <col min="13095" max="13095" width="10.5703125" style="16" customWidth="1"/>
    <col min="13096" max="13096" width="2.5703125" style="16" customWidth="1"/>
    <col min="13097" max="13098" width="10.5703125" style="16" customWidth="1"/>
    <col min="13099" max="13099" width="2.7109375" style="16" customWidth="1"/>
    <col min="13100" max="13101" width="9.28515625" style="16" bestFit="1" customWidth="1"/>
    <col min="13102" max="13102" width="2.7109375" style="16" customWidth="1"/>
    <col min="13103" max="13104" width="10.42578125" style="16" bestFit="1" customWidth="1"/>
    <col min="13105" max="13105" width="2.5703125" style="16" customWidth="1"/>
    <col min="13106" max="13107" width="10.42578125" style="16" customWidth="1"/>
    <col min="13108" max="13108" width="2.5703125" style="16" customWidth="1"/>
    <col min="13109" max="13110" width="10.42578125" style="16" customWidth="1"/>
    <col min="13111" max="13111" width="2.7109375" style="16" customWidth="1"/>
    <col min="13112" max="13112" width="11.5703125" style="16" bestFit="1" customWidth="1"/>
    <col min="13113" max="13113" width="10.42578125" style="16" bestFit="1" customWidth="1"/>
    <col min="13114" max="13114" width="6.42578125" style="16" bestFit="1" customWidth="1"/>
    <col min="13115" max="13115" width="5.85546875" style="16" bestFit="1" customWidth="1"/>
    <col min="13116" max="13116" width="10.42578125" style="16" bestFit="1" customWidth="1"/>
    <col min="13117" max="13117" width="8.7109375" style="16" bestFit="1" customWidth="1"/>
    <col min="13118" max="13118" width="2.7109375" style="16" customWidth="1"/>
    <col min="13119" max="13119" width="5.85546875" style="16" bestFit="1" customWidth="1"/>
    <col min="13120" max="13120" width="12.7109375" style="16" bestFit="1" customWidth="1"/>
    <col min="13121" max="13121" width="11.5703125" style="16" bestFit="1" customWidth="1"/>
    <col min="13122" max="13122" width="2.7109375" style="16" customWidth="1"/>
    <col min="13123" max="13123" width="12.7109375" style="16" bestFit="1" customWidth="1"/>
    <col min="13124" max="13124" width="9.140625" style="16"/>
    <col min="13125" max="13125" width="21.7109375" style="16" bestFit="1" customWidth="1"/>
    <col min="13126" max="13126" width="9.140625" style="16"/>
    <col min="13127" max="13127" width="10.7109375" style="16" customWidth="1"/>
    <col min="13128" max="13128" width="10" style="16" bestFit="1" customWidth="1"/>
    <col min="13129" max="13337" width="9.140625" style="16"/>
    <col min="13338" max="13338" width="6.42578125" style="16" bestFit="1" customWidth="1"/>
    <col min="13339" max="13339" width="6" style="16" bestFit="1" customWidth="1"/>
    <col min="13340" max="13340" width="2.7109375" style="16" customWidth="1"/>
    <col min="13341" max="13342" width="10.42578125" style="16" customWidth="1"/>
    <col min="13343" max="13343" width="2.5703125" style="16" customWidth="1"/>
    <col min="13344" max="13345" width="10.5703125" style="16" customWidth="1"/>
    <col min="13346" max="13346" width="2.5703125" style="16" customWidth="1"/>
    <col min="13347" max="13348" width="10.5703125" style="16" customWidth="1"/>
    <col min="13349" max="13349" width="2.5703125" style="16" customWidth="1"/>
    <col min="13350" max="13350" width="12.140625" style="16" bestFit="1" customWidth="1"/>
    <col min="13351" max="13351" width="10.5703125" style="16" customWidth="1"/>
    <col min="13352" max="13352" width="2.5703125" style="16" customWidth="1"/>
    <col min="13353" max="13354" width="10.5703125" style="16" customWidth="1"/>
    <col min="13355" max="13355" width="2.7109375" style="16" customWidth="1"/>
    <col min="13356" max="13357" width="9.28515625" style="16" bestFit="1" customWidth="1"/>
    <col min="13358" max="13358" width="2.7109375" style="16" customWidth="1"/>
    <col min="13359" max="13360" width="10.42578125" style="16" bestFit="1" customWidth="1"/>
    <col min="13361" max="13361" width="2.5703125" style="16" customWidth="1"/>
    <col min="13362" max="13363" width="10.42578125" style="16" customWidth="1"/>
    <col min="13364" max="13364" width="2.5703125" style="16" customWidth="1"/>
    <col min="13365" max="13366" width="10.42578125" style="16" customWidth="1"/>
    <col min="13367" max="13367" width="2.7109375" style="16" customWidth="1"/>
    <col min="13368" max="13368" width="11.5703125" style="16" bestFit="1" customWidth="1"/>
    <col min="13369" max="13369" width="10.42578125" style="16" bestFit="1" customWidth="1"/>
    <col min="13370" max="13370" width="6.42578125" style="16" bestFit="1" customWidth="1"/>
    <col min="13371" max="13371" width="5.85546875" style="16" bestFit="1" customWidth="1"/>
    <col min="13372" max="13372" width="10.42578125" style="16" bestFit="1" customWidth="1"/>
    <col min="13373" max="13373" width="8.7109375" style="16" bestFit="1" customWidth="1"/>
    <col min="13374" max="13374" width="2.7109375" style="16" customWidth="1"/>
    <col min="13375" max="13375" width="5.85546875" style="16" bestFit="1" customWidth="1"/>
    <col min="13376" max="13376" width="12.7109375" style="16" bestFit="1" customWidth="1"/>
    <col min="13377" max="13377" width="11.5703125" style="16" bestFit="1" customWidth="1"/>
    <col min="13378" max="13378" width="2.7109375" style="16" customWidth="1"/>
    <col min="13379" max="13379" width="12.7109375" style="16" bestFit="1" customWidth="1"/>
    <col min="13380" max="13380" width="9.140625" style="16"/>
    <col min="13381" max="13381" width="21.7109375" style="16" bestFit="1" customWidth="1"/>
    <col min="13382" max="13382" width="9.140625" style="16"/>
    <col min="13383" max="13383" width="10.7109375" style="16" customWidth="1"/>
    <col min="13384" max="13384" width="10" style="16" bestFit="1" customWidth="1"/>
    <col min="13385" max="13593" width="9.140625" style="16"/>
    <col min="13594" max="13594" width="6.42578125" style="16" bestFit="1" customWidth="1"/>
    <col min="13595" max="13595" width="6" style="16" bestFit="1" customWidth="1"/>
    <col min="13596" max="13596" width="2.7109375" style="16" customWidth="1"/>
    <col min="13597" max="13598" width="10.42578125" style="16" customWidth="1"/>
    <col min="13599" max="13599" width="2.5703125" style="16" customWidth="1"/>
    <col min="13600" max="13601" width="10.5703125" style="16" customWidth="1"/>
    <col min="13602" max="13602" width="2.5703125" style="16" customWidth="1"/>
    <col min="13603" max="13604" width="10.5703125" style="16" customWidth="1"/>
    <col min="13605" max="13605" width="2.5703125" style="16" customWidth="1"/>
    <col min="13606" max="13606" width="12.140625" style="16" bestFit="1" customWidth="1"/>
    <col min="13607" max="13607" width="10.5703125" style="16" customWidth="1"/>
    <col min="13608" max="13608" width="2.5703125" style="16" customWidth="1"/>
    <col min="13609" max="13610" width="10.5703125" style="16" customWidth="1"/>
    <col min="13611" max="13611" width="2.7109375" style="16" customWidth="1"/>
    <col min="13612" max="13613" width="9.28515625" style="16" bestFit="1" customWidth="1"/>
    <col min="13614" max="13614" width="2.7109375" style="16" customWidth="1"/>
    <col min="13615" max="13616" width="10.42578125" style="16" bestFit="1" customWidth="1"/>
    <col min="13617" max="13617" width="2.5703125" style="16" customWidth="1"/>
    <col min="13618" max="13619" width="10.42578125" style="16" customWidth="1"/>
    <col min="13620" max="13620" width="2.5703125" style="16" customWidth="1"/>
    <col min="13621" max="13622" width="10.42578125" style="16" customWidth="1"/>
    <col min="13623" max="13623" width="2.7109375" style="16" customWidth="1"/>
    <col min="13624" max="13624" width="11.5703125" style="16" bestFit="1" customWidth="1"/>
    <col min="13625" max="13625" width="10.42578125" style="16" bestFit="1" customWidth="1"/>
    <col min="13626" max="13626" width="6.42578125" style="16" bestFit="1" customWidth="1"/>
    <col min="13627" max="13627" width="5.85546875" style="16" bestFit="1" customWidth="1"/>
    <col min="13628" max="13628" width="10.42578125" style="16" bestFit="1" customWidth="1"/>
    <col min="13629" max="13629" width="8.7109375" style="16" bestFit="1" customWidth="1"/>
    <col min="13630" max="13630" width="2.7109375" style="16" customWidth="1"/>
    <col min="13631" max="13631" width="5.85546875" style="16" bestFit="1" customWidth="1"/>
    <col min="13632" max="13632" width="12.7109375" style="16" bestFit="1" customWidth="1"/>
    <col min="13633" max="13633" width="11.5703125" style="16" bestFit="1" customWidth="1"/>
    <col min="13634" max="13634" width="2.7109375" style="16" customWidth="1"/>
    <col min="13635" max="13635" width="12.7109375" style="16" bestFit="1" customWidth="1"/>
    <col min="13636" max="13636" width="9.140625" style="16"/>
    <col min="13637" max="13637" width="21.7109375" style="16" bestFit="1" customWidth="1"/>
    <col min="13638" max="13638" width="9.140625" style="16"/>
    <col min="13639" max="13639" width="10.7109375" style="16" customWidth="1"/>
    <col min="13640" max="13640" width="10" style="16" bestFit="1" customWidth="1"/>
    <col min="13641" max="13849" width="9.140625" style="16"/>
    <col min="13850" max="13850" width="6.42578125" style="16" bestFit="1" customWidth="1"/>
    <col min="13851" max="13851" width="6" style="16" bestFit="1" customWidth="1"/>
    <col min="13852" max="13852" width="2.7109375" style="16" customWidth="1"/>
    <col min="13853" max="13854" width="10.42578125" style="16" customWidth="1"/>
    <col min="13855" max="13855" width="2.5703125" style="16" customWidth="1"/>
    <col min="13856" max="13857" width="10.5703125" style="16" customWidth="1"/>
    <col min="13858" max="13858" width="2.5703125" style="16" customWidth="1"/>
    <col min="13859" max="13860" width="10.5703125" style="16" customWidth="1"/>
    <col min="13861" max="13861" width="2.5703125" style="16" customWidth="1"/>
    <col min="13862" max="13862" width="12.140625" style="16" bestFit="1" customWidth="1"/>
    <col min="13863" max="13863" width="10.5703125" style="16" customWidth="1"/>
    <col min="13864" max="13864" width="2.5703125" style="16" customWidth="1"/>
    <col min="13865" max="13866" width="10.5703125" style="16" customWidth="1"/>
    <col min="13867" max="13867" width="2.7109375" style="16" customWidth="1"/>
    <col min="13868" max="13869" width="9.28515625" style="16" bestFit="1" customWidth="1"/>
    <col min="13870" max="13870" width="2.7109375" style="16" customWidth="1"/>
    <col min="13871" max="13872" width="10.42578125" style="16" bestFit="1" customWidth="1"/>
    <col min="13873" max="13873" width="2.5703125" style="16" customWidth="1"/>
    <col min="13874" max="13875" width="10.42578125" style="16" customWidth="1"/>
    <col min="13876" max="13876" width="2.5703125" style="16" customWidth="1"/>
    <col min="13877" max="13878" width="10.42578125" style="16" customWidth="1"/>
    <col min="13879" max="13879" width="2.7109375" style="16" customWidth="1"/>
    <col min="13880" max="13880" width="11.5703125" style="16" bestFit="1" customWidth="1"/>
    <col min="13881" max="13881" width="10.42578125" style="16" bestFit="1" customWidth="1"/>
    <col min="13882" max="13882" width="6.42578125" style="16" bestFit="1" customWidth="1"/>
    <col min="13883" max="13883" width="5.85546875" style="16" bestFit="1" customWidth="1"/>
    <col min="13884" max="13884" width="10.42578125" style="16" bestFit="1" customWidth="1"/>
    <col min="13885" max="13885" width="8.7109375" style="16" bestFit="1" customWidth="1"/>
    <col min="13886" max="13886" width="2.7109375" style="16" customWidth="1"/>
    <col min="13887" max="13887" width="5.85546875" style="16" bestFit="1" customWidth="1"/>
    <col min="13888" max="13888" width="12.7109375" style="16" bestFit="1" customWidth="1"/>
    <col min="13889" max="13889" width="11.5703125" style="16" bestFit="1" customWidth="1"/>
    <col min="13890" max="13890" width="2.7109375" style="16" customWidth="1"/>
    <col min="13891" max="13891" width="12.7109375" style="16" bestFit="1" customWidth="1"/>
    <col min="13892" max="13892" width="9.140625" style="16"/>
    <col min="13893" max="13893" width="21.7109375" style="16" bestFit="1" customWidth="1"/>
    <col min="13894" max="13894" width="9.140625" style="16"/>
    <col min="13895" max="13895" width="10.7109375" style="16" customWidth="1"/>
    <col min="13896" max="13896" width="10" style="16" bestFit="1" customWidth="1"/>
    <col min="13897" max="14105" width="9.140625" style="16"/>
    <col min="14106" max="14106" width="6.42578125" style="16" bestFit="1" customWidth="1"/>
    <col min="14107" max="14107" width="6" style="16" bestFit="1" customWidth="1"/>
    <col min="14108" max="14108" width="2.7109375" style="16" customWidth="1"/>
    <col min="14109" max="14110" width="10.42578125" style="16" customWidth="1"/>
    <col min="14111" max="14111" width="2.5703125" style="16" customWidth="1"/>
    <col min="14112" max="14113" width="10.5703125" style="16" customWidth="1"/>
    <col min="14114" max="14114" width="2.5703125" style="16" customWidth="1"/>
    <col min="14115" max="14116" width="10.5703125" style="16" customWidth="1"/>
    <col min="14117" max="14117" width="2.5703125" style="16" customWidth="1"/>
    <col min="14118" max="14118" width="12.140625" style="16" bestFit="1" customWidth="1"/>
    <col min="14119" max="14119" width="10.5703125" style="16" customWidth="1"/>
    <col min="14120" max="14120" width="2.5703125" style="16" customWidth="1"/>
    <col min="14121" max="14122" width="10.5703125" style="16" customWidth="1"/>
    <col min="14123" max="14123" width="2.7109375" style="16" customWidth="1"/>
    <col min="14124" max="14125" width="9.28515625" style="16" bestFit="1" customWidth="1"/>
    <col min="14126" max="14126" width="2.7109375" style="16" customWidth="1"/>
    <col min="14127" max="14128" width="10.42578125" style="16" bestFit="1" customWidth="1"/>
    <col min="14129" max="14129" width="2.5703125" style="16" customWidth="1"/>
    <col min="14130" max="14131" width="10.42578125" style="16" customWidth="1"/>
    <col min="14132" max="14132" width="2.5703125" style="16" customWidth="1"/>
    <col min="14133" max="14134" width="10.42578125" style="16" customWidth="1"/>
    <col min="14135" max="14135" width="2.7109375" style="16" customWidth="1"/>
    <col min="14136" max="14136" width="11.5703125" style="16" bestFit="1" customWidth="1"/>
    <col min="14137" max="14137" width="10.42578125" style="16" bestFit="1" customWidth="1"/>
    <col min="14138" max="14138" width="6.42578125" style="16" bestFit="1" customWidth="1"/>
    <col min="14139" max="14139" width="5.85546875" style="16" bestFit="1" customWidth="1"/>
    <col min="14140" max="14140" width="10.42578125" style="16" bestFit="1" customWidth="1"/>
    <col min="14141" max="14141" width="8.7109375" style="16" bestFit="1" customWidth="1"/>
    <col min="14142" max="14142" width="2.7109375" style="16" customWidth="1"/>
    <col min="14143" max="14143" width="5.85546875" style="16" bestFit="1" customWidth="1"/>
    <col min="14144" max="14144" width="12.7109375" style="16" bestFit="1" customWidth="1"/>
    <col min="14145" max="14145" width="11.5703125" style="16" bestFit="1" customWidth="1"/>
    <col min="14146" max="14146" width="2.7109375" style="16" customWidth="1"/>
    <col min="14147" max="14147" width="12.7109375" style="16" bestFit="1" customWidth="1"/>
    <col min="14148" max="14148" width="9.140625" style="16"/>
    <col min="14149" max="14149" width="21.7109375" style="16" bestFit="1" customWidth="1"/>
    <col min="14150" max="14150" width="9.140625" style="16"/>
    <col min="14151" max="14151" width="10.7109375" style="16" customWidth="1"/>
    <col min="14152" max="14152" width="10" style="16" bestFit="1" customWidth="1"/>
    <col min="14153" max="14361" width="9.140625" style="16"/>
    <col min="14362" max="14362" width="6.42578125" style="16" bestFit="1" customWidth="1"/>
    <col min="14363" max="14363" width="6" style="16" bestFit="1" customWidth="1"/>
    <col min="14364" max="14364" width="2.7109375" style="16" customWidth="1"/>
    <col min="14365" max="14366" width="10.42578125" style="16" customWidth="1"/>
    <col min="14367" max="14367" width="2.5703125" style="16" customWidth="1"/>
    <col min="14368" max="14369" width="10.5703125" style="16" customWidth="1"/>
    <col min="14370" max="14370" width="2.5703125" style="16" customWidth="1"/>
    <col min="14371" max="14372" width="10.5703125" style="16" customWidth="1"/>
    <col min="14373" max="14373" width="2.5703125" style="16" customWidth="1"/>
    <col min="14374" max="14374" width="12.140625" style="16" bestFit="1" customWidth="1"/>
    <col min="14375" max="14375" width="10.5703125" style="16" customWidth="1"/>
    <col min="14376" max="14376" width="2.5703125" style="16" customWidth="1"/>
    <col min="14377" max="14378" width="10.5703125" style="16" customWidth="1"/>
    <col min="14379" max="14379" width="2.7109375" style="16" customWidth="1"/>
    <col min="14380" max="14381" width="9.28515625" style="16" bestFit="1" customWidth="1"/>
    <col min="14382" max="14382" width="2.7109375" style="16" customWidth="1"/>
    <col min="14383" max="14384" width="10.42578125" style="16" bestFit="1" customWidth="1"/>
    <col min="14385" max="14385" width="2.5703125" style="16" customWidth="1"/>
    <col min="14386" max="14387" width="10.42578125" style="16" customWidth="1"/>
    <col min="14388" max="14388" width="2.5703125" style="16" customWidth="1"/>
    <col min="14389" max="14390" width="10.42578125" style="16" customWidth="1"/>
    <col min="14391" max="14391" width="2.7109375" style="16" customWidth="1"/>
    <col min="14392" max="14392" width="11.5703125" style="16" bestFit="1" customWidth="1"/>
    <col min="14393" max="14393" width="10.42578125" style="16" bestFit="1" customWidth="1"/>
    <col min="14394" max="14394" width="6.42578125" style="16" bestFit="1" customWidth="1"/>
    <col min="14395" max="14395" width="5.85546875" style="16" bestFit="1" customWidth="1"/>
    <col min="14396" max="14396" width="10.42578125" style="16" bestFit="1" customWidth="1"/>
    <col min="14397" max="14397" width="8.7109375" style="16" bestFit="1" customWidth="1"/>
    <col min="14398" max="14398" width="2.7109375" style="16" customWidth="1"/>
    <col min="14399" max="14399" width="5.85546875" style="16" bestFit="1" customWidth="1"/>
    <col min="14400" max="14400" width="12.7109375" style="16" bestFit="1" customWidth="1"/>
    <col min="14401" max="14401" width="11.5703125" style="16" bestFit="1" customWidth="1"/>
    <col min="14402" max="14402" width="2.7109375" style="16" customWidth="1"/>
    <col min="14403" max="14403" width="12.7109375" style="16" bestFit="1" customWidth="1"/>
    <col min="14404" max="14404" width="9.140625" style="16"/>
    <col min="14405" max="14405" width="21.7109375" style="16" bestFit="1" customWidth="1"/>
    <col min="14406" max="14406" width="9.140625" style="16"/>
    <col min="14407" max="14407" width="10.7109375" style="16" customWidth="1"/>
    <col min="14408" max="14408" width="10" style="16" bestFit="1" customWidth="1"/>
    <col min="14409" max="14617" width="9.140625" style="16"/>
    <col min="14618" max="14618" width="6.42578125" style="16" bestFit="1" customWidth="1"/>
    <col min="14619" max="14619" width="6" style="16" bestFit="1" customWidth="1"/>
    <col min="14620" max="14620" width="2.7109375" style="16" customWidth="1"/>
    <col min="14621" max="14622" width="10.42578125" style="16" customWidth="1"/>
    <col min="14623" max="14623" width="2.5703125" style="16" customWidth="1"/>
    <col min="14624" max="14625" width="10.5703125" style="16" customWidth="1"/>
    <col min="14626" max="14626" width="2.5703125" style="16" customWidth="1"/>
    <col min="14627" max="14628" width="10.5703125" style="16" customWidth="1"/>
    <col min="14629" max="14629" width="2.5703125" style="16" customWidth="1"/>
    <col min="14630" max="14630" width="12.140625" style="16" bestFit="1" customWidth="1"/>
    <col min="14631" max="14631" width="10.5703125" style="16" customWidth="1"/>
    <col min="14632" max="14632" width="2.5703125" style="16" customWidth="1"/>
    <col min="14633" max="14634" width="10.5703125" style="16" customWidth="1"/>
    <col min="14635" max="14635" width="2.7109375" style="16" customWidth="1"/>
    <col min="14636" max="14637" width="9.28515625" style="16" bestFit="1" customWidth="1"/>
    <col min="14638" max="14638" width="2.7109375" style="16" customWidth="1"/>
    <col min="14639" max="14640" width="10.42578125" style="16" bestFit="1" customWidth="1"/>
    <col min="14641" max="14641" width="2.5703125" style="16" customWidth="1"/>
    <col min="14642" max="14643" width="10.42578125" style="16" customWidth="1"/>
    <col min="14644" max="14644" width="2.5703125" style="16" customWidth="1"/>
    <col min="14645" max="14646" width="10.42578125" style="16" customWidth="1"/>
    <col min="14647" max="14647" width="2.7109375" style="16" customWidth="1"/>
    <col min="14648" max="14648" width="11.5703125" style="16" bestFit="1" customWidth="1"/>
    <col min="14649" max="14649" width="10.42578125" style="16" bestFit="1" customWidth="1"/>
    <col min="14650" max="14650" width="6.42578125" style="16" bestFit="1" customWidth="1"/>
    <col min="14651" max="14651" width="5.85546875" style="16" bestFit="1" customWidth="1"/>
    <col min="14652" max="14652" width="10.42578125" style="16" bestFit="1" customWidth="1"/>
    <col min="14653" max="14653" width="8.7109375" style="16" bestFit="1" customWidth="1"/>
    <col min="14654" max="14654" width="2.7109375" style="16" customWidth="1"/>
    <col min="14655" max="14655" width="5.85546875" style="16" bestFit="1" customWidth="1"/>
    <col min="14656" max="14656" width="12.7109375" style="16" bestFit="1" customWidth="1"/>
    <col min="14657" max="14657" width="11.5703125" style="16" bestFit="1" customWidth="1"/>
    <col min="14658" max="14658" width="2.7109375" style="16" customWidth="1"/>
    <col min="14659" max="14659" width="12.7109375" style="16" bestFit="1" customWidth="1"/>
    <col min="14660" max="14660" width="9.140625" style="16"/>
    <col min="14661" max="14661" width="21.7109375" style="16" bestFit="1" customWidth="1"/>
    <col min="14662" max="14662" width="9.140625" style="16"/>
    <col min="14663" max="14663" width="10.7109375" style="16" customWidth="1"/>
    <col min="14664" max="14664" width="10" style="16" bestFit="1" customWidth="1"/>
    <col min="14665" max="14873" width="9.140625" style="16"/>
    <col min="14874" max="14874" width="6.42578125" style="16" bestFit="1" customWidth="1"/>
    <col min="14875" max="14875" width="6" style="16" bestFit="1" customWidth="1"/>
    <col min="14876" max="14876" width="2.7109375" style="16" customWidth="1"/>
    <col min="14877" max="14878" width="10.42578125" style="16" customWidth="1"/>
    <col min="14879" max="14879" width="2.5703125" style="16" customWidth="1"/>
    <col min="14880" max="14881" width="10.5703125" style="16" customWidth="1"/>
    <col min="14882" max="14882" width="2.5703125" style="16" customWidth="1"/>
    <col min="14883" max="14884" width="10.5703125" style="16" customWidth="1"/>
    <col min="14885" max="14885" width="2.5703125" style="16" customWidth="1"/>
    <col min="14886" max="14886" width="12.140625" style="16" bestFit="1" customWidth="1"/>
    <col min="14887" max="14887" width="10.5703125" style="16" customWidth="1"/>
    <col min="14888" max="14888" width="2.5703125" style="16" customWidth="1"/>
    <col min="14889" max="14890" width="10.5703125" style="16" customWidth="1"/>
    <col min="14891" max="14891" width="2.7109375" style="16" customWidth="1"/>
    <col min="14892" max="14893" width="9.28515625" style="16" bestFit="1" customWidth="1"/>
    <col min="14894" max="14894" width="2.7109375" style="16" customWidth="1"/>
    <col min="14895" max="14896" width="10.42578125" style="16" bestFit="1" customWidth="1"/>
    <col min="14897" max="14897" width="2.5703125" style="16" customWidth="1"/>
    <col min="14898" max="14899" width="10.42578125" style="16" customWidth="1"/>
    <col min="14900" max="14900" width="2.5703125" style="16" customWidth="1"/>
    <col min="14901" max="14902" width="10.42578125" style="16" customWidth="1"/>
    <col min="14903" max="14903" width="2.7109375" style="16" customWidth="1"/>
    <col min="14904" max="14904" width="11.5703125" style="16" bestFit="1" customWidth="1"/>
    <col min="14905" max="14905" width="10.42578125" style="16" bestFit="1" customWidth="1"/>
    <col min="14906" max="14906" width="6.42578125" style="16" bestFit="1" customWidth="1"/>
    <col min="14907" max="14907" width="5.85546875" style="16" bestFit="1" customWidth="1"/>
    <col min="14908" max="14908" width="10.42578125" style="16" bestFit="1" customWidth="1"/>
    <col min="14909" max="14909" width="8.7109375" style="16" bestFit="1" customWidth="1"/>
    <col min="14910" max="14910" width="2.7109375" style="16" customWidth="1"/>
    <col min="14911" max="14911" width="5.85546875" style="16" bestFit="1" customWidth="1"/>
    <col min="14912" max="14912" width="12.7109375" style="16" bestFit="1" customWidth="1"/>
    <col min="14913" max="14913" width="11.5703125" style="16" bestFit="1" customWidth="1"/>
    <col min="14914" max="14914" width="2.7109375" style="16" customWidth="1"/>
    <col min="14915" max="14915" width="12.7109375" style="16" bestFit="1" customWidth="1"/>
    <col min="14916" max="14916" width="9.140625" style="16"/>
    <col min="14917" max="14917" width="21.7109375" style="16" bestFit="1" customWidth="1"/>
    <col min="14918" max="14918" width="9.140625" style="16"/>
    <col min="14919" max="14919" width="10.7109375" style="16" customWidth="1"/>
    <col min="14920" max="14920" width="10" style="16" bestFit="1" customWidth="1"/>
    <col min="14921" max="15129" width="9.140625" style="16"/>
    <col min="15130" max="15130" width="6.42578125" style="16" bestFit="1" customWidth="1"/>
    <col min="15131" max="15131" width="6" style="16" bestFit="1" customWidth="1"/>
    <col min="15132" max="15132" width="2.7109375" style="16" customWidth="1"/>
    <col min="15133" max="15134" width="10.42578125" style="16" customWidth="1"/>
    <col min="15135" max="15135" width="2.5703125" style="16" customWidth="1"/>
    <col min="15136" max="15137" width="10.5703125" style="16" customWidth="1"/>
    <col min="15138" max="15138" width="2.5703125" style="16" customWidth="1"/>
    <col min="15139" max="15140" width="10.5703125" style="16" customWidth="1"/>
    <col min="15141" max="15141" width="2.5703125" style="16" customWidth="1"/>
    <col min="15142" max="15142" width="12.140625" style="16" bestFit="1" customWidth="1"/>
    <col min="15143" max="15143" width="10.5703125" style="16" customWidth="1"/>
    <col min="15144" max="15144" width="2.5703125" style="16" customWidth="1"/>
    <col min="15145" max="15146" width="10.5703125" style="16" customWidth="1"/>
    <col min="15147" max="15147" width="2.7109375" style="16" customWidth="1"/>
    <col min="15148" max="15149" width="9.28515625" style="16" bestFit="1" customWidth="1"/>
    <col min="15150" max="15150" width="2.7109375" style="16" customWidth="1"/>
    <col min="15151" max="15152" width="10.42578125" style="16" bestFit="1" customWidth="1"/>
    <col min="15153" max="15153" width="2.5703125" style="16" customWidth="1"/>
    <col min="15154" max="15155" width="10.42578125" style="16" customWidth="1"/>
    <col min="15156" max="15156" width="2.5703125" style="16" customWidth="1"/>
    <col min="15157" max="15158" width="10.42578125" style="16" customWidth="1"/>
    <col min="15159" max="15159" width="2.7109375" style="16" customWidth="1"/>
    <col min="15160" max="15160" width="11.5703125" style="16" bestFit="1" customWidth="1"/>
    <col min="15161" max="15161" width="10.42578125" style="16" bestFit="1" customWidth="1"/>
    <col min="15162" max="15162" width="6.42578125" style="16" bestFit="1" customWidth="1"/>
    <col min="15163" max="15163" width="5.85546875" style="16" bestFit="1" customWidth="1"/>
    <col min="15164" max="15164" width="10.42578125" style="16" bestFit="1" customWidth="1"/>
    <col min="15165" max="15165" width="8.7109375" style="16" bestFit="1" customWidth="1"/>
    <col min="15166" max="15166" width="2.7109375" style="16" customWidth="1"/>
    <col min="15167" max="15167" width="5.85546875" style="16" bestFit="1" customWidth="1"/>
    <col min="15168" max="15168" width="12.7109375" style="16" bestFit="1" customWidth="1"/>
    <col min="15169" max="15169" width="11.5703125" style="16" bestFit="1" customWidth="1"/>
    <col min="15170" max="15170" width="2.7109375" style="16" customWidth="1"/>
    <col min="15171" max="15171" width="12.7109375" style="16" bestFit="1" customWidth="1"/>
    <col min="15172" max="15172" width="9.140625" style="16"/>
    <col min="15173" max="15173" width="21.7109375" style="16" bestFit="1" customWidth="1"/>
    <col min="15174" max="15174" width="9.140625" style="16"/>
    <col min="15175" max="15175" width="10.7109375" style="16" customWidth="1"/>
    <col min="15176" max="15176" width="10" style="16" bestFit="1" customWidth="1"/>
    <col min="15177" max="15385" width="9.140625" style="16"/>
    <col min="15386" max="15386" width="6.42578125" style="16" bestFit="1" customWidth="1"/>
    <col min="15387" max="15387" width="6" style="16" bestFit="1" customWidth="1"/>
    <col min="15388" max="15388" width="2.7109375" style="16" customWidth="1"/>
    <col min="15389" max="15390" width="10.42578125" style="16" customWidth="1"/>
    <col min="15391" max="15391" width="2.5703125" style="16" customWidth="1"/>
    <col min="15392" max="15393" width="10.5703125" style="16" customWidth="1"/>
    <col min="15394" max="15394" width="2.5703125" style="16" customWidth="1"/>
    <col min="15395" max="15396" width="10.5703125" style="16" customWidth="1"/>
    <col min="15397" max="15397" width="2.5703125" style="16" customWidth="1"/>
    <col min="15398" max="15398" width="12.140625" style="16" bestFit="1" customWidth="1"/>
    <col min="15399" max="15399" width="10.5703125" style="16" customWidth="1"/>
    <col min="15400" max="15400" width="2.5703125" style="16" customWidth="1"/>
    <col min="15401" max="15402" width="10.5703125" style="16" customWidth="1"/>
    <col min="15403" max="15403" width="2.7109375" style="16" customWidth="1"/>
    <col min="15404" max="15405" width="9.28515625" style="16" bestFit="1" customWidth="1"/>
    <col min="15406" max="15406" width="2.7109375" style="16" customWidth="1"/>
    <col min="15407" max="15408" width="10.42578125" style="16" bestFit="1" customWidth="1"/>
    <col min="15409" max="15409" width="2.5703125" style="16" customWidth="1"/>
    <col min="15410" max="15411" width="10.42578125" style="16" customWidth="1"/>
    <col min="15412" max="15412" width="2.5703125" style="16" customWidth="1"/>
    <col min="15413" max="15414" width="10.42578125" style="16" customWidth="1"/>
    <col min="15415" max="15415" width="2.7109375" style="16" customWidth="1"/>
    <col min="15416" max="15416" width="11.5703125" style="16" bestFit="1" customWidth="1"/>
    <col min="15417" max="15417" width="10.42578125" style="16" bestFit="1" customWidth="1"/>
    <col min="15418" max="15418" width="6.42578125" style="16" bestFit="1" customWidth="1"/>
    <col min="15419" max="15419" width="5.85546875" style="16" bestFit="1" customWidth="1"/>
    <col min="15420" max="15420" width="10.42578125" style="16" bestFit="1" customWidth="1"/>
    <col min="15421" max="15421" width="8.7109375" style="16" bestFit="1" customWidth="1"/>
    <col min="15422" max="15422" width="2.7109375" style="16" customWidth="1"/>
    <col min="15423" max="15423" width="5.85546875" style="16" bestFit="1" customWidth="1"/>
    <col min="15424" max="15424" width="12.7109375" style="16" bestFit="1" customWidth="1"/>
    <col min="15425" max="15425" width="11.5703125" style="16" bestFit="1" customWidth="1"/>
    <col min="15426" max="15426" width="2.7109375" style="16" customWidth="1"/>
    <col min="15427" max="15427" width="12.7109375" style="16" bestFit="1" customWidth="1"/>
    <col min="15428" max="15428" width="9.140625" style="16"/>
    <col min="15429" max="15429" width="21.7109375" style="16" bestFit="1" customWidth="1"/>
    <col min="15430" max="15430" width="9.140625" style="16"/>
    <col min="15431" max="15431" width="10.7109375" style="16" customWidth="1"/>
    <col min="15432" max="15432" width="10" style="16" bestFit="1" customWidth="1"/>
    <col min="15433" max="15641" width="9.140625" style="16"/>
    <col min="15642" max="15642" width="6.42578125" style="16" bestFit="1" customWidth="1"/>
    <col min="15643" max="15643" width="6" style="16" bestFit="1" customWidth="1"/>
    <col min="15644" max="15644" width="2.7109375" style="16" customWidth="1"/>
    <col min="15645" max="15646" width="10.42578125" style="16" customWidth="1"/>
    <col min="15647" max="15647" width="2.5703125" style="16" customWidth="1"/>
    <col min="15648" max="15649" width="10.5703125" style="16" customWidth="1"/>
    <col min="15650" max="15650" width="2.5703125" style="16" customWidth="1"/>
    <col min="15651" max="15652" width="10.5703125" style="16" customWidth="1"/>
    <col min="15653" max="15653" width="2.5703125" style="16" customWidth="1"/>
    <col min="15654" max="15654" width="12.140625" style="16" bestFit="1" customWidth="1"/>
    <col min="15655" max="15655" width="10.5703125" style="16" customWidth="1"/>
    <col min="15656" max="15656" width="2.5703125" style="16" customWidth="1"/>
    <col min="15657" max="15658" width="10.5703125" style="16" customWidth="1"/>
    <col min="15659" max="15659" width="2.7109375" style="16" customWidth="1"/>
    <col min="15660" max="15661" width="9.28515625" style="16" bestFit="1" customWidth="1"/>
    <col min="15662" max="15662" width="2.7109375" style="16" customWidth="1"/>
    <col min="15663" max="15664" width="10.42578125" style="16" bestFit="1" customWidth="1"/>
    <col min="15665" max="15665" width="2.5703125" style="16" customWidth="1"/>
    <col min="15666" max="15667" width="10.42578125" style="16" customWidth="1"/>
    <col min="15668" max="15668" width="2.5703125" style="16" customWidth="1"/>
    <col min="15669" max="15670" width="10.42578125" style="16" customWidth="1"/>
    <col min="15671" max="15671" width="2.7109375" style="16" customWidth="1"/>
    <col min="15672" max="15672" width="11.5703125" style="16" bestFit="1" customWidth="1"/>
    <col min="15673" max="15673" width="10.42578125" style="16" bestFit="1" customWidth="1"/>
    <col min="15674" max="15674" width="6.42578125" style="16" bestFit="1" customWidth="1"/>
    <col min="15675" max="15675" width="5.85546875" style="16" bestFit="1" customWidth="1"/>
    <col min="15676" max="15676" width="10.42578125" style="16" bestFit="1" customWidth="1"/>
    <col min="15677" max="15677" width="8.7109375" style="16" bestFit="1" customWidth="1"/>
    <col min="15678" max="15678" width="2.7109375" style="16" customWidth="1"/>
    <col min="15679" max="15679" width="5.85546875" style="16" bestFit="1" customWidth="1"/>
    <col min="15680" max="15680" width="12.7109375" style="16" bestFit="1" customWidth="1"/>
    <col min="15681" max="15681" width="11.5703125" style="16" bestFit="1" customWidth="1"/>
    <col min="15682" max="15682" width="2.7109375" style="16" customWidth="1"/>
    <col min="15683" max="15683" width="12.7109375" style="16" bestFit="1" customWidth="1"/>
    <col min="15684" max="15684" width="9.140625" style="16"/>
    <col min="15685" max="15685" width="21.7109375" style="16" bestFit="1" customWidth="1"/>
    <col min="15686" max="15686" width="9.140625" style="16"/>
    <col min="15687" max="15687" width="10.7109375" style="16" customWidth="1"/>
    <col min="15688" max="15688" width="10" style="16" bestFit="1" customWidth="1"/>
    <col min="15689" max="15897" width="9.140625" style="16"/>
    <col min="15898" max="15898" width="6.42578125" style="16" bestFit="1" customWidth="1"/>
    <col min="15899" max="15899" width="6" style="16" bestFit="1" customWidth="1"/>
    <col min="15900" max="15900" width="2.7109375" style="16" customWidth="1"/>
    <col min="15901" max="15902" width="10.42578125" style="16" customWidth="1"/>
    <col min="15903" max="15903" width="2.5703125" style="16" customWidth="1"/>
    <col min="15904" max="15905" width="10.5703125" style="16" customWidth="1"/>
    <col min="15906" max="15906" width="2.5703125" style="16" customWidth="1"/>
    <col min="15907" max="15908" width="10.5703125" style="16" customWidth="1"/>
    <col min="15909" max="15909" width="2.5703125" style="16" customWidth="1"/>
    <col min="15910" max="15910" width="12.140625" style="16" bestFit="1" customWidth="1"/>
    <col min="15911" max="15911" width="10.5703125" style="16" customWidth="1"/>
    <col min="15912" max="15912" width="2.5703125" style="16" customWidth="1"/>
    <col min="15913" max="15914" width="10.5703125" style="16" customWidth="1"/>
    <col min="15915" max="15915" width="2.7109375" style="16" customWidth="1"/>
    <col min="15916" max="15917" width="9.28515625" style="16" bestFit="1" customWidth="1"/>
    <col min="15918" max="15918" width="2.7109375" style="16" customWidth="1"/>
    <col min="15919" max="15920" width="10.42578125" style="16" bestFit="1" customWidth="1"/>
    <col min="15921" max="15921" width="2.5703125" style="16" customWidth="1"/>
    <col min="15922" max="15923" width="10.42578125" style="16" customWidth="1"/>
    <col min="15924" max="15924" width="2.5703125" style="16" customWidth="1"/>
    <col min="15925" max="15926" width="10.42578125" style="16" customWidth="1"/>
    <col min="15927" max="15927" width="2.7109375" style="16" customWidth="1"/>
    <col min="15928" max="15928" width="11.5703125" style="16" bestFit="1" customWidth="1"/>
    <col min="15929" max="15929" width="10.42578125" style="16" bestFit="1" customWidth="1"/>
    <col min="15930" max="15930" width="6.42578125" style="16" bestFit="1" customWidth="1"/>
    <col min="15931" max="15931" width="5.85546875" style="16" bestFit="1" customWidth="1"/>
    <col min="15932" max="15932" width="10.42578125" style="16" bestFit="1" customWidth="1"/>
    <col min="15933" max="15933" width="8.7109375" style="16" bestFit="1" customWidth="1"/>
    <col min="15934" max="15934" width="2.7109375" style="16" customWidth="1"/>
    <col min="15935" max="15935" width="5.85546875" style="16" bestFit="1" customWidth="1"/>
    <col min="15936" max="15936" width="12.7109375" style="16" bestFit="1" customWidth="1"/>
    <col min="15937" max="15937" width="11.5703125" style="16" bestFit="1" customWidth="1"/>
    <col min="15938" max="15938" width="2.7109375" style="16" customWidth="1"/>
    <col min="15939" max="15939" width="12.7109375" style="16" bestFit="1" customWidth="1"/>
    <col min="15940" max="15940" width="9.140625" style="16"/>
    <col min="15941" max="15941" width="21.7109375" style="16" bestFit="1" customWidth="1"/>
    <col min="15942" max="15942" width="9.140625" style="16"/>
    <col min="15943" max="15943" width="10.7109375" style="16" customWidth="1"/>
    <col min="15944" max="15944" width="10" style="16" bestFit="1" customWidth="1"/>
    <col min="15945" max="16153" width="9.140625" style="16"/>
    <col min="16154" max="16154" width="6.42578125" style="16" bestFit="1" customWidth="1"/>
    <col min="16155" max="16155" width="6" style="16" bestFit="1" customWidth="1"/>
    <col min="16156" max="16156" width="2.7109375" style="16" customWidth="1"/>
    <col min="16157" max="16158" width="10.42578125" style="16" customWidth="1"/>
    <col min="16159" max="16159" width="2.5703125" style="16" customWidth="1"/>
    <col min="16160" max="16161" width="10.5703125" style="16" customWidth="1"/>
    <col min="16162" max="16162" width="2.5703125" style="16" customWidth="1"/>
    <col min="16163" max="16164" width="10.5703125" style="16" customWidth="1"/>
    <col min="16165" max="16165" width="2.5703125" style="16" customWidth="1"/>
    <col min="16166" max="16166" width="12.140625" style="16" bestFit="1" customWidth="1"/>
    <col min="16167" max="16167" width="10.5703125" style="16" customWidth="1"/>
    <col min="16168" max="16168" width="2.5703125" style="16" customWidth="1"/>
    <col min="16169" max="16170" width="10.5703125" style="16" customWidth="1"/>
    <col min="16171" max="16171" width="2.7109375" style="16" customWidth="1"/>
    <col min="16172" max="16173" width="9.28515625" style="16" bestFit="1" customWidth="1"/>
    <col min="16174" max="16174" width="2.7109375" style="16" customWidth="1"/>
    <col min="16175" max="16176" width="10.42578125" style="16" bestFit="1" customWidth="1"/>
    <col min="16177" max="16177" width="2.5703125" style="16" customWidth="1"/>
    <col min="16178" max="16179" width="10.42578125" style="16" customWidth="1"/>
    <col min="16180" max="16180" width="2.5703125" style="16" customWidth="1"/>
    <col min="16181" max="16182" width="10.42578125" style="16" customWidth="1"/>
    <col min="16183" max="16183" width="2.7109375" style="16" customWidth="1"/>
    <col min="16184" max="16184" width="11.5703125" style="16" bestFit="1" customWidth="1"/>
    <col min="16185" max="16185" width="10.42578125" style="16" bestFit="1" customWidth="1"/>
    <col min="16186" max="16186" width="6.42578125" style="16" bestFit="1" customWidth="1"/>
    <col min="16187" max="16187" width="5.85546875" style="16" bestFit="1" customWidth="1"/>
    <col min="16188" max="16188" width="10.42578125" style="16" bestFit="1" customWidth="1"/>
    <col min="16189" max="16189" width="8.7109375" style="16" bestFit="1" customWidth="1"/>
    <col min="16190" max="16190" width="2.7109375" style="16" customWidth="1"/>
    <col min="16191" max="16191" width="5.85546875" style="16" bestFit="1" customWidth="1"/>
    <col min="16192" max="16192" width="12.7109375" style="16" bestFit="1" customWidth="1"/>
    <col min="16193" max="16193" width="11.5703125" style="16" bestFit="1" customWidth="1"/>
    <col min="16194" max="16194" width="2.7109375" style="16" customWidth="1"/>
    <col min="16195" max="16195" width="12.7109375" style="16" bestFit="1" customWidth="1"/>
    <col min="16196" max="16196" width="9.140625" style="16"/>
    <col min="16197" max="16197" width="21.7109375" style="16" bestFit="1" customWidth="1"/>
    <col min="16198" max="16198" width="9.140625" style="16"/>
    <col min="16199" max="16199" width="10.7109375" style="16" customWidth="1"/>
    <col min="16200" max="16200" width="10" style="16" bestFit="1" customWidth="1"/>
    <col min="16201" max="16384" width="9.140625" style="16"/>
  </cols>
  <sheetData>
    <row r="2" spans="1:72" ht="15.75" x14ac:dyDescent="0.25">
      <c r="D2" s="164" t="s">
        <v>63</v>
      </c>
      <c r="E2" s="170"/>
      <c r="F2" s="170"/>
      <c r="G2" s="170"/>
      <c r="H2" s="170"/>
      <c r="I2" s="170"/>
      <c r="J2" s="170"/>
      <c r="K2" s="170"/>
      <c r="L2" s="170"/>
      <c r="M2" s="170"/>
      <c r="N2" s="170"/>
      <c r="O2" s="170"/>
      <c r="P2" s="170"/>
      <c r="Q2" s="170"/>
      <c r="R2" s="170"/>
      <c r="S2" s="170"/>
      <c r="T2" s="165"/>
      <c r="U2" s="92"/>
      <c r="V2" s="92"/>
      <c r="W2" s="164" t="s">
        <v>240</v>
      </c>
      <c r="X2" s="166"/>
      <c r="Y2" s="92"/>
      <c r="Z2" s="92"/>
      <c r="AA2" s="92"/>
      <c r="AB2" s="18"/>
      <c r="AC2" s="164" t="s">
        <v>64</v>
      </c>
      <c r="AD2" s="170"/>
      <c r="AE2" s="170"/>
      <c r="AF2" s="170"/>
      <c r="AG2" s="170"/>
      <c r="AH2" s="170"/>
      <c r="AI2" s="170"/>
      <c r="AJ2" s="170"/>
      <c r="AK2" s="170"/>
      <c r="AL2" s="170"/>
      <c r="AM2" s="170"/>
      <c r="AN2" s="170"/>
      <c r="AO2" s="170"/>
      <c r="AP2" s="170"/>
      <c r="AQ2" s="170"/>
      <c r="AR2" s="170"/>
      <c r="AS2" s="170"/>
      <c r="AT2" s="170"/>
      <c r="AU2" s="170"/>
      <c r="AV2" s="170"/>
      <c r="AW2" s="170"/>
      <c r="AX2" s="170"/>
      <c r="AY2" s="165"/>
      <c r="AZ2" s="92"/>
      <c r="BA2" s="164" t="s">
        <v>241</v>
      </c>
      <c r="BB2" s="165"/>
      <c r="BC2" s="18"/>
      <c r="BD2" s="164" t="s">
        <v>239</v>
      </c>
      <c r="BE2" s="165"/>
      <c r="BH2" s="164" t="s">
        <v>65</v>
      </c>
      <c r="BI2" s="165"/>
      <c r="BL2" s="164" t="s">
        <v>66</v>
      </c>
      <c r="BM2" s="165"/>
      <c r="BO2" s="19" t="s">
        <v>66</v>
      </c>
    </row>
    <row r="3" spans="1:72" ht="15.75" x14ac:dyDescent="0.25">
      <c r="D3" s="167" t="s">
        <v>455</v>
      </c>
      <c r="E3" s="169"/>
      <c r="F3" s="20"/>
      <c r="G3" s="169" t="s">
        <v>456</v>
      </c>
      <c r="H3" s="169"/>
      <c r="I3" s="20"/>
      <c r="J3" s="169" t="s">
        <v>228</v>
      </c>
      <c r="K3" s="169"/>
      <c r="L3" s="20"/>
      <c r="M3" s="169" t="s">
        <v>67</v>
      </c>
      <c r="N3" s="169"/>
      <c r="O3" s="20"/>
      <c r="P3" s="169" t="s">
        <v>229</v>
      </c>
      <c r="Q3" s="169"/>
      <c r="R3" s="89"/>
      <c r="S3" s="169" t="s">
        <v>230</v>
      </c>
      <c r="T3" s="168"/>
      <c r="U3" s="92"/>
      <c r="V3" s="92"/>
      <c r="W3" s="88"/>
      <c r="X3" s="90"/>
      <c r="Y3" s="92"/>
      <c r="Z3" s="92"/>
      <c r="AA3" s="92"/>
      <c r="AB3" s="18"/>
      <c r="AC3" s="167" t="s">
        <v>231</v>
      </c>
      <c r="AD3" s="169"/>
      <c r="AE3" s="20"/>
      <c r="AF3" s="169" t="s">
        <v>232</v>
      </c>
      <c r="AG3" s="169"/>
      <c r="AH3" s="20"/>
      <c r="AI3" s="169" t="s">
        <v>233</v>
      </c>
      <c r="AJ3" s="169"/>
      <c r="AK3" s="89"/>
      <c r="AL3" s="169" t="s">
        <v>234</v>
      </c>
      <c r="AM3" s="169"/>
      <c r="AN3" s="20"/>
      <c r="AO3" s="169" t="s">
        <v>235</v>
      </c>
      <c r="AP3" s="169"/>
      <c r="AQ3" s="89"/>
      <c r="AR3" s="169" t="s">
        <v>236</v>
      </c>
      <c r="AS3" s="169"/>
      <c r="AT3" s="89"/>
      <c r="AU3" s="169" t="s">
        <v>237</v>
      </c>
      <c r="AV3" s="169"/>
      <c r="AW3" s="89"/>
      <c r="AX3" s="169" t="s">
        <v>238</v>
      </c>
      <c r="AY3" s="168"/>
      <c r="AZ3" s="92"/>
      <c r="BA3" s="167"/>
      <c r="BB3" s="168"/>
      <c r="BC3" s="18"/>
      <c r="BD3" s="167"/>
      <c r="BE3" s="168"/>
      <c r="BH3" s="167" t="s">
        <v>452</v>
      </c>
      <c r="BI3" s="168"/>
      <c r="BL3" s="167"/>
      <c r="BM3" s="168"/>
      <c r="BO3" s="21" t="s">
        <v>68</v>
      </c>
      <c r="BQ3" s="14"/>
      <c r="BS3" s="14"/>
      <c r="BT3" s="14"/>
    </row>
    <row r="4" spans="1:72" ht="15.75" x14ac:dyDescent="0.25">
      <c r="D4" s="22" t="s">
        <v>69</v>
      </c>
      <c r="E4" s="22" t="s">
        <v>70</v>
      </c>
      <c r="F4" s="22"/>
      <c r="G4" s="22" t="s">
        <v>69</v>
      </c>
      <c r="H4" s="22" t="s">
        <v>70</v>
      </c>
      <c r="I4" s="22"/>
      <c r="J4" s="22" t="s">
        <v>69</v>
      </c>
      <c r="K4" s="23" t="s">
        <v>70</v>
      </c>
      <c r="L4" s="22"/>
      <c r="M4" s="22" t="s">
        <v>69</v>
      </c>
      <c r="N4" s="22" t="s">
        <v>70</v>
      </c>
      <c r="O4" s="22"/>
      <c r="P4" s="22" t="s">
        <v>69</v>
      </c>
      <c r="Q4" s="22" t="s">
        <v>70</v>
      </c>
      <c r="R4" s="22"/>
      <c r="S4" s="22" t="s">
        <v>69</v>
      </c>
      <c r="T4" s="22" t="s">
        <v>70</v>
      </c>
      <c r="U4" s="96"/>
      <c r="V4" s="96"/>
      <c r="W4" s="22" t="s">
        <v>69</v>
      </c>
      <c r="X4" s="22" t="s">
        <v>70</v>
      </c>
      <c r="Y4" s="96"/>
      <c r="Z4" s="92"/>
      <c r="AA4" s="92"/>
      <c r="AB4" s="24"/>
      <c r="AC4" s="25" t="s">
        <v>69</v>
      </c>
      <c r="AD4" s="22" t="s">
        <v>70</v>
      </c>
      <c r="AE4" s="22"/>
      <c r="AF4" s="22" t="s">
        <v>69</v>
      </c>
      <c r="AG4" s="22" t="s">
        <v>70</v>
      </c>
      <c r="AH4" s="22"/>
      <c r="AI4" s="26" t="s">
        <v>69</v>
      </c>
      <c r="AJ4" s="26" t="s">
        <v>70</v>
      </c>
      <c r="AK4" s="26"/>
      <c r="AL4" s="26" t="s">
        <v>69</v>
      </c>
      <c r="AM4" s="26" t="s">
        <v>70</v>
      </c>
      <c r="AN4" s="22"/>
      <c r="AO4" s="22" t="s">
        <v>69</v>
      </c>
      <c r="AP4" s="22" t="s">
        <v>70</v>
      </c>
      <c r="AQ4" s="22"/>
      <c r="AR4" s="22" t="s">
        <v>69</v>
      </c>
      <c r="AS4" s="22" t="s">
        <v>70</v>
      </c>
      <c r="AT4" s="22"/>
      <c r="AU4" s="22" t="s">
        <v>69</v>
      </c>
      <c r="AV4" s="22" t="s">
        <v>70</v>
      </c>
      <c r="AW4" s="22"/>
      <c r="AX4" s="22" t="s">
        <v>69</v>
      </c>
      <c r="AY4" s="22" t="s">
        <v>70</v>
      </c>
      <c r="AZ4" s="93"/>
      <c r="BA4" s="22" t="s">
        <v>69</v>
      </c>
      <c r="BB4" s="22" t="s">
        <v>70</v>
      </c>
      <c r="BC4" s="24"/>
      <c r="BD4" s="22" t="s">
        <v>69</v>
      </c>
      <c r="BE4" s="22" t="s">
        <v>70</v>
      </c>
      <c r="BH4" s="22" t="s">
        <v>69</v>
      </c>
      <c r="BI4" s="22" t="s">
        <v>70</v>
      </c>
      <c r="BL4" s="22" t="s">
        <v>69</v>
      </c>
      <c r="BM4" s="22" t="s">
        <v>70</v>
      </c>
      <c r="BO4" s="25" t="s">
        <v>71</v>
      </c>
    </row>
    <row r="5" spans="1:72" x14ac:dyDescent="0.25">
      <c r="A5" s="27">
        <v>44652</v>
      </c>
      <c r="B5" s="16">
        <v>2022</v>
      </c>
      <c r="D5" s="28">
        <v>25000</v>
      </c>
      <c r="E5" s="28">
        <v>10710.94</v>
      </c>
      <c r="F5" s="28"/>
      <c r="G5" s="28">
        <v>12500</v>
      </c>
      <c r="H5" s="28">
        <v>5193.75</v>
      </c>
      <c r="I5" s="29"/>
      <c r="J5" s="28">
        <v>18000</v>
      </c>
      <c r="K5" s="30">
        <v>13637.5</v>
      </c>
      <c r="L5" s="28"/>
      <c r="M5" s="28">
        <v>20500</v>
      </c>
      <c r="N5" s="28">
        <v>8965</v>
      </c>
      <c r="O5" s="28"/>
      <c r="P5" s="28">
        <f>M5*0.83</f>
        <v>17015</v>
      </c>
      <c r="Q5" s="28">
        <f>N5*0.83</f>
        <v>7440.95</v>
      </c>
      <c r="R5" s="28"/>
      <c r="S5" s="28">
        <f>M5*0.17</f>
        <v>3485.0000000000005</v>
      </c>
      <c r="T5" s="28">
        <f>+N5*0.17</f>
        <v>1524.0500000000002</v>
      </c>
      <c r="U5" s="33"/>
      <c r="V5" s="95">
        <v>2022</v>
      </c>
      <c r="W5" s="100">
        <f>D5+G5+J5+P5</f>
        <v>72515</v>
      </c>
      <c r="X5" s="101">
        <f>E5+H5+K5+Q5+E6+H6+K6+Q6</f>
        <v>73272.729800000001</v>
      </c>
      <c r="Y5" s="33"/>
      <c r="Z5" s="27">
        <v>44593</v>
      </c>
      <c r="AA5" s="16">
        <v>2022</v>
      </c>
      <c r="AC5" s="32">
        <v>160000</v>
      </c>
      <c r="AD5" s="28">
        <v>68896.25</v>
      </c>
      <c r="AE5" s="28"/>
      <c r="AF5" s="28">
        <f>AC5*0.67</f>
        <v>107200</v>
      </c>
      <c r="AG5" s="28">
        <f>AD5*0.67</f>
        <v>46160.487500000003</v>
      </c>
      <c r="AH5" s="28"/>
      <c r="AI5" s="28">
        <f>AC5*0.33</f>
        <v>52800</v>
      </c>
      <c r="AJ5" s="28">
        <f>AD5*0.33</f>
        <v>22735.762500000001</v>
      </c>
      <c r="AK5" s="28"/>
      <c r="AL5" s="28">
        <f>6*8750</f>
        <v>52500</v>
      </c>
      <c r="AM5" s="28">
        <f>6*1662.4</f>
        <v>9974.4000000000015</v>
      </c>
      <c r="AN5" s="33"/>
      <c r="AO5" s="28">
        <v>10000</v>
      </c>
      <c r="AP5" s="28">
        <v>7406.25</v>
      </c>
      <c r="AQ5" s="28"/>
      <c r="AR5" s="28">
        <f>AO5*0.8455</f>
        <v>8455</v>
      </c>
      <c r="AS5" s="28">
        <f>AP5*0.8455</f>
        <v>6261.984375</v>
      </c>
      <c r="AT5" s="28"/>
      <c r="AU5" s="28">
        <v>35000</v>
      </c>
      <c r="AV5" s="28">
        <v>18596.88</v>
      </c>
      <c r="AW5" s="28"/>
      <c r="AX5" s="28">
        <f>AU5*0.812</f>
        <v>28420.000000000004</v>
      </c>
      <c r="AY5" s="28">
        <f>AV5*0.812</f>
        <v>15100.666560000001</v>
      </c>
      <c r="AZ5" s="33"/>
      <c r="BA5" s="102">
        <f>AF5+AL5+AR5+AX5+AL6</f>
        <v>241575</v>
      </c>
      <c r="BB5" s="102">
        <f>AG5+AM5+AS5+AY5+AG6+AM6+AS6+AY6</f>
        <v>152496.28312000001</v>
      </c>
      <c r="BD5" s="28"/>
      <c r="BE5" s="28"/>
      <c r="BF5" s="27">
        <v>44713</v>
      </c>
      <c r="BG5" s="16">
        <v>2022</v>
      </c>
      <c r="BH5" s="28">
        <v>38469.15</v>
      </c>
      <c r="BI5" s="28">
        <v>1766.14</v>
      </c>
      <c r="BL5" s="34"/>
      <c r="BM5" s="34"/>
      <c r="BO5" s="34"/>
    </row>
    <row r="6" spans="1:72" x14ac:dyDescent="0.25">
      <c r="A6" s="27">
        <v>44835</v>
      </c>
      <c r="D6" s="28"/>
      <c r="E6" s="28">
        <v>10476.56</v>
      </c>
      <c r="F6" s="28"/>
      <c r="G6" s="28"/>
      <c r="H6" s="28">
        <v>5076.5600000000004</v>
      </c>
      <c r="I6" s="29"/>
      <c r="J6" s="28"/>
      <c r="K6" s="30">
        <v>13412.5</v>
      </c>
      <c r="L6" s="28"/>
      <c r="M6" s="28"/>
      <c r="N6" s="28">
        <v>8824.06</v>
      </c>
      <c r="O6" s="28"/>
      <c r="P6" s="28"/>
      <c r="Q6" s="28">
        <f t="shared" ref="Q6:Q14" si="0">N6*0.83</f>
        <v>7323.9697999999989</v>
      </c>
      <c r="R6" s="28"/>
      <c r="S6" s="28"/>
      <c r="T6" s="28">
        <f t="shared" ref="T6:T14" si="1">+N6*0.17</f>
        <v>1500.0902000000001</v>
      </c>
      <c r="U6" s="33"/>
      <c r="V6" s="94"/>
      <c r="W6" s="100"/>
      <c r="X6" s="101"/>
      <c r="Y6" s="33"/>
      <c r="Z6" s="27">
        <v>44774</v>
      </c>
      <c r="AC6" s="32"/>
      <c r="AD6" s="28">
        <v>66336.25</v>
      </c>
      <c r="AE6" s="28"/>
      <c r="AF6" s="28"/>
      <c r="AG6" s="28">
        <f t="shared" ref="AG6:AG14" si="2">AD6*0.67</f>
        <v>44445.287500000006</v>
      </c>
      <c r="AH6" s="28"/>
      <c r="AI6" s="28">
        <f t="shared" ref="AI6:AI13" si="3">AC6*0.33</f>
        <v>0</v>
      </c>
      <c r="AJ6" s="28">
        <f t="shared" ref="AJ6:AJ14" si="4">AD6*0.33</f>
        <v>21890.962500000001</v>
      </c>
      <c r="AK6" s="28"/>
      <c r="AL6" s="28">
        <f>6*7500</f>
        <v>45000</v>
      </c>
      <c r="AM6" s="28">
        <f>6*1662.4</f>
        <v>9974.4000000000015</v>
      </c>
      <c r="AN6" s="33"/>
      <c r="AO6" s="28"/>
      <c r="AP6" s="28">
        <v>7193.75</v>
      </c>
      <c r="AQ6" s="28"/>
      <c r="AR6" s="28"/>
      <c r="AS6" s="28">
        <f t="shared" ref="AS6:AS14" si="5">AP6*0.8455</f>
        <v>6082.3156250000002</v>
      </c>
      <c r="AT6" s="28"/>
      <c r="AU6" s="28"/>
      <c r="AV6" s="28">
        <v>17853.13</v>
      </c>
      <c r="AW6" s="28"/>
      <c r="AX6" s="28"/>
      <c r="AY6" s="28">
        <f t="shared" ref="AY6:AY14" si="6">AV6*0.812</f>
        <v>14496.741560000002</v>
      </c>
      <c r="AZ6" s="33"/>
      <c r="BA6" s="102"/>
      <c r="BB6" s="102"/>
      <c r="BD6" s="28">
        <v>97997.56</v>
      </c>
      <c r="BE6" s="28">
        <v>23252.42</v>
      </c>
      <c r="BF6" s="27">
        <v>44896</v>
      </c>
      <c r="BH6" s="28">
        <v>38661.49</v>
      </c>
      <c r="BI6" s="28">
        <v>1573.8</v>
      </c>
      <c r="BK6" s="16">
        <v>2022</v>
      </c>
      <c r="BL6" s="28">
        <f>W5+BA5+BD6+BH5+BH6</f>
        <v>489218.2</v>
      </c>
      <c r="BM6" s="28">
        <f>X5+BB5+BE6+BI5+BI6</f>
        <v>252361.37291999999</v>
      </c>
      <c r="BO6" s="28">
        <f>SUM(BL6:BM6)</f>
        <v>741579.57291999995</v>
      </c>
    </row>
    <row r="7" spans="1:72" x14ac:dyDescent="0.25">
      <c r="A7" s="27">
        <v>45017</v>
      </c>
      <c r="B7" s="16">
        <v>2023</v>
      </c>
      <c r="D7" s="28">
        <v>25500</v>
      </c>
      <c r="E7" s="28">
        <v>10476.56</v>
      </c>
      <c r="F7" s="28"/>
      <c r="G7" s="28">
        <v>13000</v>
      </c>
      <c r="H7" s="28">
        <v>5076.5600000000004</v>
      </c>
      <c r="I7" s="29"/>
      <c r="J7" s="28">
        <v>18500</v>
      </c>
      <c r="K7" s="30">
        <v>13412.5</v>
      </c>
      <c r="L7" s="28"/>
      <c r="M7" s="28">
        <v>21000</v>
      </c>
      <c r="N7" s="28">
        <v>8824.06</v>
      </c>
      <c r="O7" s="28"/>
      <c r="P7" s="28">
        <f t="shared" ref="P7:P13" si="7">M7*0.83</f>
        <v>17430</v>
      </c>
      <c r="Q7" s="28">
        <f t="shared" si="0"/>
        <v>7323.9697999999989</v>
      </c>
      <c r="R7" s="28"/>
      <c r="S7" s="28">
        <f t="shared" ref="S7:S13" si="8">M7*0.17</f>
        <v>3570.0000000000005</v>
      </c>
      <c r="T7" s="28">
        <f t="shared" si="1"/>
        <v>1500.0902000000001</v>
      </c>
      <c r="U7" s="33"/>
      <c r="V7" s="95">
        <v>2023</v>
      </c>
      <c r="W7" s="100">
        <f t="shared" ref="W7:W13" si="9">D7+G7+J7+P7</f>
        <v>74430</v>
      </c>
      <c r="X7" s="101">
        <f t="shared" ref="X7:X13" si="10">E7+H7+K7+Q7+E8+H8+K8+Q8</f>
        <v>71867.172500000001</v>
      </c>
      <c r="Y7" s="33"/>
      <c r="Z7" s="27">
        <v>44958</v>
      </c>
      <c r="AA7" s="16">
        <v>2023</v>
      </c>
      <c r="AC7" s="32">
        <v>165000</v>
      </c>
      <c r="AD7" s="28">
        <v>66336.25</v>
      </c>
      <c r="AE7" s="28"/>
      <c r="AF7" s="28">
        <f t="shared" ref="AF7:AF13" si="11">AC7*0.67</f>
        <v>110550</v>
      </c>
      <c r="AG7" s="28">
        <f t="shared" si="2"/>
        <v>44445.287500000006</v>
      </c>
      <c r="AH7" s="28"/>
      <c r="AI7" s="28">
        <f t="shared" si="3"/>
        <v>54450</v>
      </c>
      <c r="AJ7" s="28">
        <f t="shared" si="4"/>
        <v>21890.962500000001</v>
      </c>
      <c r="AK7" s="28"/>
      <c r="AL7" s="28">
        <f>6*7500</f>
        <v>45000</v>
      </c>
      <c r="AM7" s="28">
        <f>6*1417.4</f>
        <v>8504.4000000000015</v>
      </c>
      <c r="AN7" s="33"/>
      <c r="AO7" s="28">
        <v>10000</v>
      </c>
      <c r="AP7" s="28">
        <v>7193.75</v>
      </c>
      <c r="AQ7" s="28"/>
      <c r="AR7" s="28">
        <f t="shared" ref="AR7:AR13" si="12">AO7*0.8455</f>
        <v>8455</v>
      </c>
      <c r="AS7" s="28">
        <f t="shared" si="5"/>
        <v>6082.3156250000002</v>
      </c>
      <c r="AT7" s="28"/>
      <c r="AU7" s="28">
        <v>35000</v>
      </c>
      <c r="AV7" s="28">
        <v>17853.13</v>
      </c>
      <c r="AW7" s="28"/>
      <c r="AX7" s="28">
        <f t="shared" ref="AX7:AX13" si="13">AU7*0.812</f>
        <v>28420.000000000004</v>
      </c>
      <c r="AY7" s="28">
        <f t="shared" si="6"/>
        <v>14496.741560000002</v>
      </c>
      <c r="AZ7" s="33"/>
      <c r="BA7" s="102">
        <f t="shared" ref="BA7:BA13" si="14">AF7+AL7+AR7+AX7+AL8</f>
        <v>239925.02000000002</v>
      </c>
      <c r="BB7" s="102">
        <f t="shared" ref="BB7:BB13" si="15">AG7+AM7+AS7+AY7+AG8+AM8+AS8+AY8</f>
        <v>144449.82062000001</v>
      </c>
      <c r="BD7" s="28"/>
      <c r="BE7" s="28"/>
      <c r="BF7" s="27">
        <v>45078</v>
      </c>
      <c r="BG7" s="16">
        <v>2023</v>
      </c>
      <c r="BH7" s="28">
        <v>38854.800000000003</v>
      </c>
      <c r="BI7" s="28">
        <v>1380.49</v>
      </c>
      <c r="BL7" s="28"/>
      <c r="BM7" s="28"/>
      <c r="BO7" s="34"/>
    </row>
    <row r="8" spans="1:72" x14ac:dyDescent="0.25">
      <c r="A8" s="27">
        <v>45200</v>
      </c>
      <c r="D8" s="28"/>
      <c r="E8" s="28">
        <v>10237.5</v>
      </c>
      <c r="F8" s="28"/>
      <c r="G8" s="28"/>
      <c r="H8" s="28">
        <v>4954.6899999999996</v>
      </c>
      <c r="I8" s="29"/>
      <c r="J8" s="28"/>
      <c r="K8" s="30">
        <v>13181.25</v>
      </c>
      <c r="L8" s="28"/>
      <c r="M8" s="28"/>
      <c r="N8" s="28">
        <v>8679.69</v>
      </c>
      <c r="O8" s="28"/>
      <c r="P8" s="28"/>
      <c r="Q8" s="28">
        <f t="shared" si="0"/>
        <v>7204.1427000000003</v>
      </c>
      <c r="R8" s="28"/>
      <c r="S8" s="28"/>
      <c r="T8" s="28">
        <f t="shared" si="1"/>
        <v>1475.5473000000002</v>
      </c>
      <c r="U8" s="33"/>
      <c r="V8" s="94"/>
      <c r="W8" s="100"/>
      <c r="X8" s="101"/>
      <c r="Y8" s="33"/>
      <c r="Z8" s="27">
        <v>45139</v>
      </c>
      <c r="AC8" s="32"/>
      <c r="AD8" s="28">
        <v>63613.75</v>
      </c>
      <c r="AE8" s="28"/>
      <c r="AF8" s="28"/>
      <c r="AG8" s="28">
        <f t="shared" si="2"/>
        <v>42621.212500000001</v>
      </c>
      <c r="AH8" s="28"/>
      <c r="AI8" s="28">
        <f t="shared" si="3"/>
        <v>0</v>
      </c>
      <c r="AJ8" s="28">
        <f t="shared" si="4"/>
        <v>20992.537500000002</v>
      </c>
      <c r="AK8" s="28"/>
      <c r="AL8" s="28">
        <f>6*7916.67</f>
        <v>47500.020000000004</v>
      </c>
      <c r="AM8" s="28">
        <f>6*1417.4</f>
        <v>8504.4000000000015</v>
      </c>
      <c r="AN8" s="33"/>
      <c r="AO8" s="28"/>
      <c r="AP8" s="28">
        <v>6981.25</v>
      </c>
      <c r="AQ8" s="28"/>
      <c r="AR8" s="28"/>
      <c r="AS8" s="28">
        <f t="shared" si="5"/>
        <v>5902.6468750000004</v>
      </c>
      <c r="AT8" s="28"/>
      <c r="AU8" s="28"/>
      <c r="AV8" s="28">
        <v>17109.38</v>
      </c>
      <c r="AW8" s="28"/>
      <c r="AX8" s="28"/>
      <c r="AY8" s="28">
        <f t="shared" si="6"/>
        <v>13892.816560000001</v>
      </c>
      <c r="AZ8" s="33"/>
      <c r="BA8" s="102"/>
      <c r="BB8" s="102"/>
      <c r="BD8" s="28">
        <v>97997.56</v>
      </c>
      <c r="BE8" s="28">
        <v>20303.55</v>
      </c>
      <c r="BF8" s="27">
        <v>45261</v>
      </c>
      <c r="BH8" s="34">
        <v>39049.08</v>
      </c>
      <c r="BI8" s="28">
        <v>1186.21</v>
      </c>
      <c r="BK8" s="16">
        <v>2023</v>
      </c>
      <c r="BL8" s="28">
        <f t="shared" ref="BL8:BL14" si="16">W7+BA7+BD8+BH7+BH8</f>
        <v>490256.46</v>
      </c>
      <c r="BM8" s="28">
        <f t="shared" ref="BM8:BM14" si="17">X7+BB7+BE8+BI7+BI8</f>
        <v>239187.24311999997</v>
      </c>
      <c r="BO8" s="28">
        <f>SUM(BL8:BM8)</f>
        <v>729443.70311999996</v>
      </c>
    </row>
    <row r="9" spans="1:72" x14ac:dyDescent="0.25">
      <c r="A9" s="27">
        <v>45383</v>
      </c>
      <c r="B9" s="16">
        <v>2024</v>
      </c>
      <c r="D9" s="28">
        <v>26000</v>
      </c>
      <c r="E9" s="28">
        <v>10237.5</v>
      </c>
      <c r="F9" s="28"/>
      <c r="G9" s="28">
        <v>13000</v>
      </c>
      <c r="H9" s="28">
        <v>4954.6899999999996</v>
      </c>
      <c r="I9" s="29"/>
      <c r="J9" s="28">
        <v>19000</v>
      </c>
      <c r="K9" s="30">
        <v>13181.25</v>
      </c>
      <c r="L9" s="28"/>
      <c r="M9" s="28">
        <v>21500</v>
      </c>
      <c r="N9" s="28">
        <v>8679.69</v>
      </c>
      <c r="O9" s="28"/>
      <c r="P9" s="28">
        <f t="shared" si="7"/>
        <v>17845</v>
      </c>
      <c r="Q9" s="28">
        <f t="shared" si="0"/>
        <v>7204.1427000000003</v>
      </c>
      <c r="R9" s="28"/>
      <c r="S9" s="28">
        <f t="shared" si="8"/>
        <v>3655.0000000000005</v>
      </c>
      <c r="T9" s="28">
        <f t="shared" si="1"/>
        <v>1475.5473000000002</v>
      </c>
      <c r="U9" s="33"/>
      <c r="V9" s="95">
        <v>2024</v>
      </c>
      <c r="W9" s="100">
        <f t="shared" si="9"/>
        <v>75845</v>
      </c>
      <c r="X9" s="101">
        <f t="shared" si="10"/>
        <v>70429.353099999993</v>
      </c>
      <c r="Y9" s="33"/>
      <c r="Z9" s="27">
        <v>45323</v>
      </c>
      <c r="AA9" s="16">
        <v>2024</v>
      </c>
      <c r="AC9" s="32">
        <v>165000</v>
      </c>
      <c r="AD9" s="28">
        <v>63613.75</v>
      </c>
      <c r="AE9" s="28"/>
      <c r="AF9" s="28">
        <f t="shared" si="11"/>
        <v>110550</v>
      </c>
      <c r="AG9" s="28">
        <f t="shared" si="2"/>
        <v>42621.212500000001</v>
      </c>
      <c r="AH9" s="28"/>
      <c r="AI9" s="28">
        <f t="shared" si="3"/>
        <v>54450</v>
      </c>
      <c r="AJ9" s="28">
        <f t="shared" si="4"/>
        <v>20992.537500000002</v>
      </c>
      <c r="AK9" s="28"/>
      <c r="AL9" s="28">
        <f>6*7916.67</f>
        <v>47500.020000000004</v>
      </c>
      <c r="AM9" s="28">
        <f>6*1207.4</f>
        <v>7244.4000000000005</v>
      </c>
      <c r="AN9" s="33"/>
      <c r="AO9" s="28">
        <v>10000</v>
      </c>
      <c r="AP9" s="28">
        <v>6981.25</v>
      </c>
      <c r="AQ9" s="28"/>
      <c r="AR9" s="28">
        <f t="shared" si="12"/>
        <v>8455</v>
      </c>
      <c r="AS9" s="28">
        <f t="shared" si="5"/>
        <v>5902.6468750000004</v>
      </c>
      <c r="AT9" s="28"/>
      <c r="AU9" s="28">
        <v>35000</v>
      </c>
      <c r="AV9" s="28">
        <v>17109.38</v>
      </c>
      <c r="AW9" s="28"/>
      <c r="AX9" s="28">
        <f t="shared" si="13"/>
        <v>28420.000000000004</v>
      </c>
      <c r="AY9" s="28">
        <f t="shared" si="6"/>
        <v>13892.816560000001</v>
      </c>
      <c r="AZ9" s="33"/>
      <c r="BA9" s="102">
        <f t="shared" si="14"/>
        <v>244925</v>
      </c>
      <c r="BB9" s="102">
        <f t="shared" si="15"/>
        <v>136659.20812</v>
      </c>
      <c r="BD9" s="28"/>
      <c r="BE9" s="28"/>
      <c r="BF9" s="27">
        <v>45444</v>
      </c>
      <c r="BG9" s="16">
        <v>2024</v>
      </c>
      <c r="BH9" s="34">
        <v>39244.32</v>
      </c>
      <c r="BI9" s="34">
        <v>990.97</v>
      </c>
      <c r="BL9" s="28"/>
      <c r="BM9" s="28"/>
      <c r="BO9" s="34"/>
    </row>
    <row r="10" spans="1:72" x14ac:dyDescent="0.25">
      <c r="A10" s="27">
        <v>45566</v>
      </c>
      <c r="D10" s="28"/>
      <c r="E10" s="28">
        <v>9993.75</v>
      </c>
      <c r="F10" s="28"/>
      <c r="G10" s="28"/>
      <c r="H10" s="28">
        <v>4832.8100000000004</v>
      </c>
      <c r="I10" s="29"/>
      <c r="J10" s="28"/>
      <c r="K10" s="30">
        <v>12943.75</v>
      </c>
      <c r="L10" s="28"/>
      <c r="M10" s="28"/>
      <c r="N10" s="28">
        <v>8531.8799999999992</v>
      </c>
      <c r="O10" s="28"/>
      <c r="P10" s="28"/>
      <c r="Q10" s="28">
        <f t="shared" si="0"/>
        <v>7081.460399999999</v>
      </c>
      <c r="R10" s="28"/>
      <c r="S10" s="28"/>
      <c r="T10" s="28">
        <f t="shared" si="1"/>
        <v>1450.4195999999999</v>
      </c>
      <c r="U10" s="33"/>
      <c r="V10" s="94"/>
      <c r="W10" s="100"/>
      <c r="X10" s="101"/>
      <c r="Y10" s="33"/>
      <c r="Z10" s="27">
        <v>45505</v>
      </c>
      <c r="AC10" s="32"/>
      <c r="AD10" s="28">
        <v>60808.75</v>
      </c>
      <c r="AE10" s="28"/>
      <c r="AF10" s="28"/>
      <c r="AG10" s="28">
        <f t="shared" si="2"/>
        <v>40741.862500000003</v>
      </c>
      <c r="AH10" s="28"/>
      <c r="AI10" s="28">
        <f t="shared" si="3"/>
        <v>0</v>
      </c>
      <c r="AJ10" s="28">
        <f t="shared" si="4"/>
        <v>20066.887500000001</v>
      </c>
      <c r="AK10" s="28"/>
      <c r="AL10" s="28">
        <f>6*8333.33</f>
        <v>49999.979999999996</v>
      </c>
      <c r="AM10" s="28">
        <f>6*1207.4</f>
        <v>7244.4000000000005</v>
      </c>
      <c r="AN10" s="33"/>
      <c r="AO10" s="28"/>
      <c r="AP10" s="28">
        <v>6768.75</v>
      </c>
      <c r="AQ10" s="28"/>
      <c r="AR10" s="28"/>
      <c r="AS10" s="28">
        <f t="shared" si="5"/>
        <v>5722.9781250000005</v>
      </c>
      <c r="AT10" s="28"/>
      <c r="AU10" s="28"/>
      <c r="AV10" s="28">
        <v>16365.63</v>
      </c>
      <c r="AW10" s="28"/>
      <c r="AX10" s="28"/>
      <c r="AY10" s="28">
        <f t="shared" si="6"/>
        <v>13288.89156</v>
      </c>
      <c r="AZ10" s="33"/>
      <c r="BA10" s="102"/>
      <c r="BB10" s="102"/>
      <c r="BD10" s="28">
        <v>97997.56</v>
      </c>
      <c r="BE10" s="28">
        <v>17238.330000000002</v>
      </c>
      <c r="BF10" s="27">
        <v>45627</v>
      </c>
      <c r="BH10" s="34">
        <v>39440.54</v>
      </c>
      <c r="BI10" s="34">
        <v>794.75</v>
      </c>
      <c r="BK10" s="16">
        <v>2024</v>
      </c>
      <c r="BL10" s="28">
        <f t="shared" si="16"/>
        <v>497452.42</v>
      </c>
      <c r="BM10" s="28">
        <f t="shared" si="17"/>
        <v>226112.61121999999</v>
      </c>
      <c r="BO10" s="28">
        <f>SUM(BL10:BM10)</f>
        <v>723565.03122</v>
      </c>
    </row>
    <row r="11" spans="1:72" x14ac:dyDescent="0.25">
      <c r="A11" s="27">
        <v>45748</v>
      </c>
      <c r="B11" s="16">
        <v>2025</v>
      </c>
      <c r="D11" s="28">
        <v>27000</v>
      </c>
      <c r="E11" s="28">
        <v>9993.75</v>
      </c>
      <c r="F11" s="28"/>
      <c r="G11" s="28">
        <v>13500</v>
      </c>
      <c r="H11" s="28">
        <v>4832.8100000000004</v>
      </c>
      <c r="I11" s="29"/>
      <c r="J11" s="28">
        <v>20000</v>
      </c>
      <c r="K11" s="30">
        <v>12943.75</v>
      </c>
      <c r="L11" s="28"/>
      <c r="M11" s="28">
        <v>22000</v>
      </c>
      <c r="N11" s="28">
        <v>8531.8799999999992</v>
      </c>
      <c r="O11" s="28"/>
      <c r="P11" s="28">
        <f t="shared" si="7"/>
        <v>18260</v>
      </c>
      <c r="Q11" s="28">
        <f t="shared" si="0"/>
        <v>7081.460399999999</v>
      </c>
      <c r="R11" s="28"/>
      <c r="S11" s="28">
        <f t="shared" si="8"/>
        <v>3740.0000000000005</v>
      </c>
      <c r="T11" s="28">
        <f t="shared" si="1"/>
        <v>1450.4195999999999</v>
      </c>
      <c r="U11" s="33"/>
      <c r="V11" s="95">
        <v>2025</v>
      </c>
      <c r="W11" s="100">
        <f t="shared" si="9"/>
        <v>78760</v>
      </c>
      <c r="X11" s="101">
        <f t="shared" si="10"/>
        <v>68948.323300000004</v>
      </c>
      <c r="Y11" s="33"/>
      <c r="Z11" s="27">
        <v>45689</v>
      </c>
      <c r="AA11" s="16">
        <v>2025</v>
      </c>
      <c r="AC11" s="32">
        <v>175000</v>
      </c>
      <c r="AD11" s="28">
        <v>60808.75</v>
      </c>
      <c r="AE11" s="28"/>
      <c r="AF11" s="28">
        <f t="shared" si="11"/>
        <v>117250</v>
      </c>
      <c r="AG11" s="28">
        <f t="shared" si="2"/>
        <v>40741.862500000003</v>
      </c>
      <c r="AH11" s="28"/>
      <c r="AI11" s="28">
        <f t="shared" si="3"/>
        <v>57750</v>
      </c>
      <c r="AJ11" s="28">
        <f t="shared" si="4"/>
        <v>20066.887500000001</v>
      </c>
      <c r="AK11" s="28"/>
      <c r="AL11" s="28">
        <f>6*8333.33</f>
        <v>49999.979999999996</v>
      </c>
      <c r="AM11" s="28">
        <f>6*975.83</f>
        <v>5854.9800000000005</v>
      </c>
      <c r="AN11" s="33"/>
      <c r="AO11" s="28">
        <v>10000</v>
      </c>
      <c r="AP11" s="28">
        <v>6768.75</v>
      </c>
      <c r="AQ11" s="28"/>
      <c r="AR11" s="28">
        <f t="shared" si="12"/>
        <v>8455</v>
      </c>
      <c r="AS11" s="28">
        <f t="shared" si="5"/>
        <v>5722.9781250000005</v>
      </c>
      <c r="AT11" s="28"/>
      <c r="AU11" s="28">
        <v>35000</v>
      </c>
      <c r="AV11" s="28">
        <v>16365.63</v>
      </c>
      <c r="AW11" s="28"/>
      <c r="AX11" s="28">
        <f t="shared" si="13"/>
        <v>28420.000000000004</v>
      </c>
      <c r="AY11" s="28">
        <f t="shared" si="6"/>
        <v>13288.89156</v>
      </c>
      <c r="AZ11" s="33"/>
      <c r="BA11" s="102">
        <f t="shared" si="14"/>
        <v>254124.95999999996</v>
      </c>
      <c r="BB11" s="102">
        <f t="shared" si="15"/>
        <v>128323.33062000001</v>
      </c>
      <c r="BD11" s="28"/>
      <c r="BE11" s="28"/>
      <c r="BF11" s="27">
        <v>45809</v>
      </c>
      <c r="BG11" s="16">
        <v>2025</v>
      </c>
      <c r="BH11" s="34">
        <v>39637.75</v>
      </c>
      <c r="BI11" s="34">
        <v>597.54</v>
      </c>
      <c r="BL11" s="28"/>
      <c r="BM11" s="28"/>
      <c r="BO11" s="34"/>
    </row>
    <row r="12" spans="1:72" x14ac:dyDescent="0.25">
      <c r="A12" s="27">
        <v>45931</v>
      </c>
      <c r="D12" s="28"/>
      <c r="E12" s="28">
        <v>9740.6299999999992</v>
      </c>
      <c r="F12" s="28"/>
      <c r="G12" s="28"/>
      <c r="H12" s="28">
        <v>4706.25</v>
      </c>
      <c r="I12" s="29"/>
      <c r="J12" s="28"/>
      <c r="K12" s="30">
        <v>12693.75</v>
      </c>
      <c r="L12" s="28"/>
      <c r="M12" s="28"/>
      <c r="N12" s="28">
        <v>8380.6299999999992</v>
      </c>
      <c r="O12" s="28"/>
      <c r="P12" s="28"/>
      <c r="Q12" s="28">
        <f t="shared" si="0"/>
        <v>6955.9228999999987</v>
      </c>
      <c r="R12" s="28"/>
      <c r="S12" s="28"/>
      <c r="T12" s="28">
        <f t="shared" si="1"/>
        <v>1424.7070999999999</v>
      </c>
      <c r="U12" s="33"/>
      <c r="V12" s="94"/>
      <c r="W12" s="100"/>
      <c r="X12" s="101"/>
      <c r="Y12" s="33"/>
      <c r="Z12" s="27">
        <v>45870</v>
      </c>
      <c r="AC12" s="32"/>
      <c r="AD12" s="28">
        <v>57658.75</v>
      </c>
      <c r="AE12" s="28"/>
      <c r="AF12" s="28"/>
      <c r="AG12" s="28">
        <f t="shared" si="2"/>
        <v>38631.362500000003</v>
      </c>
      <c r="AH12" s="28"/>
      <c r="AI12" s="28">
        <f t="shared" si="3"/>
        <v>0</v>
      </c>
      <c r="AJ12" s="28">
        <f t="shared" si="4"/>
        <v>19027.387500000001</v>
      </c>
      <c r="AK12" s="28"/>
      <c r="AL12" s="28">
        <f>6*8333.33</f>
        <v>49999.979999999996</v>
      </c>
      <c r="AM12" s="28">
        <f>6*975.83</f>
        <v>5854.9800000000005</v>
      </c>
      <c r="AN12" s="33"/>
      <c r="AO12" s="28"/>
      <c r="AP12" s="28">
        <v>6556.25</v>
      </c>
      <c r="AQ12" s="28"/>
      <c r="AR12" s="28"/>
      <c r="AS12" s="28">
        <f t="shared" si="5"/>
        <v>5543.3093749999998</v>
      </c>
      <c r="AT12" s="28"/>
      <c r="AU12" s="28"/>
      <c r="AV12" s="28">
        <v>15621.88</v>
      </c>
      <c r="AW12" s="28"/>
      <c r="AX12" s="28"/>
      <c r="AY12" s="28">
        <f t="shared" si="6"/>
        <v>12684.966560000001</v>
      </c>
      <c r="AZ12" s="33"/>
      <c r="BA12" s="102"/>
      <c r="BB12" s="102"/>
      <c r="BD12" s="28">
        <v>97997.56</v>
      </c>
      <c r="BE12" s="28">
        <v>14052.18</v>
      </c>
      <c r="BF12" s="27">
        <v>45992</v>
      </c>
      <c r="BH12" s="34">
        <v>39835.93</v>
      </c>
      <c r="BI12" s="34">
        <v>399.36</v>
      </c>
      <c r="BK12" s="16">
        <v>2025</v>
      </c>
      <c r="BL12" s="28">
        <f t="shared" si="16"/>
        <v>510356.19999999995</v>
      </c>
      <c r="BM12" s="28">
        <f t="shared" si="17"/>
        <v>212320.73392</v>
      </c>
      <c r="BO12" s="28">
        <f>SUM(BL12:BM12)</f>
        <v>722676.93391999998</v>
      </c>
    </row>
    <row r="13" spans="1:72" x14ac:dyDescent="0.25">
      <c r="A13" s="27">
        <v>46113</v>
      </c>
      <c r="B13" s="16">
        <v>2026</v>
      </c>
      <c r="D13" s="28">
        <v>27500</v>
      </c>
      <c r="E13" s="28">
        <v>9740.6299999999992</v>
      </c>
      <c r="F13" s="28"/>
      <c r="G13" s="28">
        <v>13500</v>
      </c>
      <c r="H13" s="28">
        <v>4706.25</v>
      </c>
      <c r="I13" s="29"/>
      <c r="J13" s="28">
        <v>20500</v>
      </c>
      <c r="K13" s="30">
        <v>12693.75</v>
      </c>
      <c r="L13" s="28"/>
      <c r="M13" s="28">
        <v>22500</v>
      </c>
      <c r="N13" s="28">
        <v>8380.6299999999992</v>
      </c>
      <c r="O13" s="28"/>
      <c r="P13" s="28">
        <f t="shared" si="7"/>
        <v>18675</v>
      </c>
      <c r="Q13" s="28">
        <f t="shared" si="0"/>
        <v>6955.9228999999987</v>
      </c>
      <c r="R13" s="28"/>
      <c r="S13" s="28">
        <f t="shared" si="8"/>
        <v>3825.0000000000005</v>
      </c>
      <c r="T13" s="28">
        <f t="shared" si="1"/>
        <v>1424.7070999999999</v>
      </c>
      <c r="U13" s="33"/>
      <c r="V13" s="95">
        <v>2026</v>
      </c>
      <c r="W13" s="100">
        <f t="shared" si="9"/>
        <v>80175</v>
      </c>
      <c r="X13" s="101">
        <f t="shared" si="10"/>
        <v>67424.083099999989</v>
      </c>
      <c r="Y13" s="33"/>
      <c r="Z13" s="27">
        <v>46054</v>
      </c>
      <c r="AA13" s="16">
        <v>2026</v>
      </c>
      <c r="AC13" s="32">
        <v>180000</v>
      </c>
      <c r="AD13" s="28">
        <v>57658.75</v>
      </c>
      <c r="AE13" s="28"/>
      <c r="AF13" s="28">
        <f t="shared" si="11"/>
        <v>120600</v>
      </c>
      <c r="AG13" s="28">
        <f t="shared" si="2"/>
        <v>38631.362500000003</v>
      </c>
      <c r="AH13" s="28"/>
      <c r="AI13" s="28">
        <f t="shared" si="3"/>
        <v>59400</v>
      </c>
      <c r="AJ13" s="28">
        <f t="shared" si="4"/>
        <v>19027.387500000001</v>
      </c>
      <c r="AK13" s="28"/>
      <c r="AL13" s="28">
        <f>6*8333.33</f>
        <v>49999.979999999996</v>
      </c>
      <c r="AM13" s="28">
        <f>6*721.67</f>
        <v>4330.0199999999995</v>
      </c>
      <c r="AN13" s="33"/>
      <c r="AO13" s="28">
        <v>10000</v>
      </c>
      <c r="AP13" s="28">
        <v>6556.25</v>
      </c>
      <c r="AQ13" s="28"/>
      <c r="AR13" s="28">
        <f t="shared" si="12"/>
        <v>8455</v>
      </c>
      <c r="AS13" s="28">
        <f t="shared" si="5"/>
        <v>5543.3093749999998</v>
      </c>
      <c r="AT13" s="28"/>
      <c r="AU13" s="28">
        <v>40000</v>
      </c>
      <c r="AV13" s="28">
        <v>15621.88</v>
      </c>
      <c r="AW13" s="28"/>
      <c r="AX13" s="28">
        <f t="shared" si="13"/>
        <v>32480.000000000004</v>
      </c>
      <c r="AY13" s="28">
        <f t="shared" si="6"/>
        <v>12684.966560000001</v>
      </c>
      <c r="AZ13" s="33"/>
      <c r="BA13" s="102">
        <f t="shared" si="14"/>
        <v>234034.97999999998</v>
      </c>
      <c r="BB13" s="102">
        <f t="shared" si="15"/>
        <v>119338.64812</v>
      </c>
      <c r="BD13" s="28"/>
      <c r="BE13" s="28"/>
      <c r="BF13" s="27">
        <v>46174</v>
      </c>
      <c r="BG13" s="16">
        <v>2026</v>
      </c>
      <c r="BH13" s="34">
        <v>40035.129999999997</v>
      </c>
      <c r="BI13" s="34">
        <v>200.16</v>
      </c>
      <c r="BL13" s="28"/>
      <c r="BM13" s="28"/>
      <c r="BO13" s="34"/>
    </row>
    <row r="14" spans="1:72" x14ac:dyDescent="0.25">
      <c r="A14" s="27">
        <v>46296</v>
      </c>
      <c r="D14" s="28"/>
      <c r="E14" s="28">
        <v>9482.81</v>
      </c>
      <c r="F14" s="28"/>
      <c r="G14" s="28"/>
      <c r="H14" s="28">
        <v>4579.6899999999996</v>
      </c>
      <c r="I14" s="29"/>
      <c r="J14" s="28"/>
      <c r="K14" s="30">
        <v>12437.5</v>
      </c>
      <c r="L14" s="28"/>
      <c r="M14" s="28"/>
      <c r="N14" s="28">
        <v>8225.94</v>
      </c>
      <c r="O14" s="28"/>
      <c r="P14" s="28"/>
      <c r="Q14" s="28">
        <f t="shared" si="0"/>
        <v>6827.5302000000001</v>
      </c>
      <c r="R14" s="28"/>
      <c r="S14" s="28"/>
      <c r="T14" s="28">
        <f t="shared" si="1"/>
        <v>1398.4098000000001</v>
      </c>
      <c r="U14" s="33"/>
      <c r="V14" s="33"/>
      <c r="W14" s="97"/>
      <c r="X14" s="93"/>
      <c r="Y14" s="33"/>
      <c r="Z14" s="27">
        <v>46235</v>
      </c>
      <c r="AC14" s="32"/>
      <c r="AD14" s="28">
        <v>54418.75</v>
      </c>
      <c r="AE14" s="28"/>
      <c r="AF14" s="28"/>
      <c r="AG14" s="28">
        <f t="shared" si="2"/>
        <v>36460.5625</v>
      </c>
      <c r="AH14" s="28"/>
      <c r="AI14" s="28"/>
      <c r="AJ14" s="28">
        <f t="shared" si="4"/>
        <v>17958.1875</v>
      </c>
      <c r="AK14" s="28"/>
      <c r="AL14" s="28">
        <f>6*3750</f>
        <v>22500</v>
      </c>
      <c r="AM14" s="28">
        <f>6*721.67</f>
        <v>4330.0199999999995</v>
      </c>
      <c r="AN14" s="33"/>
      <c r="AO14" s="28"/>
      <c r="AP14" s="28">
        <v>6343.75</v>
      </c>
      <c r="AQ14" s="28"/>
      <c r="AR14" s="28"/>
      <c r="AS14" s="28">
        <f t="shared" si="5"/>
        <v>5363.640625</v>
      </c>
      <c r="AT14" s="28"/>
      <c r="AU14" s="28"/>
      <c r="AV14" s="28">
        <v>14771.88</v>
      </c>
      <c r="AW14" s="28"/>
      <c r="AX14" s="28"/>
      <c r="AY14" s="28">
        <f t="shared" si="6"/>
        <v>11994.76656</v>
      </c>
      <c r="AZ14" s="33"/>
      <c r="BA14" s="28"/>
      <c r="BB14" s="28"/>
      <c r="BD14" s="28">
        <v>97997.56</v>
      </c>
      <c r="BE14" s="28">
        <v>10740.33</v>
      </c>
      <c r="BF14" s="27"/>
      <c r="BH14" s="34"/>
      <c r="BI14" s="34"/>
      <c r="BK14" s="16">
        <v>2026</v>
      </c>
      <c r="BL14" s="28">
        <f t="shared" si="16"/>
        <v>452242.67</v>
      </c>
      <c r="BM14" s="28">
        <f t="shared" si="17"/>
        <v>197703.22121999998</v>
      </c>
      <c r="BO14" s="28">
        <f>SUM(BL14:BM14)</f>
        <v>649945.89121999999</v>
      </c>
    </row>
    <row r="15" spans="1:72" x14ac:dyDescent="0.25">
      <c r="A15" s="27"/>
      <c r="D15" s="28"/>
      <c r="E15" s="28"/>
      <c r="F15" s="28"/>
      <c r="G15" s="28"/>
      <c r="H15" s="28"/>
      <c r="I15" s="29"/>
      <c r="J15" s="28"/>
      <c r="K15" s="30"/>
      <c r="L15" s="28"/>
      <c r="M15" s="28"/>
      <c r="N15" s="28"/>
      <c r="O15" s="28"/>
      <c r="P15" s="28"/>
      <c r="Q15" s="28"/>
      <c r="R15" s="28"/>
      <c r="S15" s="28"/>
      <c r="T15" s="28"/>
      <c r="U15" s="33"/>
      <c r="V15" s="33"/>
      <c r="W15" s="97"/>
      <c r="X15" s="93"/>
      <c r="Y15" s="33"/>
      <c r="Z15" s="33"/>
      <c r="AA15" s="33"/>
      <c r="AC15" s="32"/>
      <c r="AD15" s="28"/>
      <c r="AE15" s="28"/>
      <c r="AF15" s="28"/>
      <c r="AG15" s="28"/>
      <c r="AH15" s="28"/>
      <c r="AI15" s="28"/>
      <c r="AJ15" s="28"/>
      <c r="AK15" s="28"/>
      <c r="AL15" s="28"/>
      <c r="AM15" s="28"/>
      <c r="AN15" s="33"/>
      <c r="AO15" s="28"/>
      <c r="AP15" s="28"/>
      <c r="AQ15" s="28"/>
      <c r="AR15" s="28"/>
      <c r="AS15" s="28"/>
      <c r="AT15" s="28"/>
      <c r="AU15" s="28"/>
      <c r="AV15" s="28"/>
      <c r="AW15" s="28"/>
      <c r="AX15" s="28"/>
      <c r="AY15" s="28"/>
      <c r="AZ15" s="33"/>
      <c r="BA15" s="28"/>
      <c r="BB15" s="28"/>
      <c r="BD15" s="28"/>
      <c r="BE15" s="28"/>
      <c r="BF15" s="27"/>
      <c r="BH15" s="34"/>
      <c r="BI15" s="34"/>
      <c r="BL15" s="34"/>
      <c r="BM15" s="34"/>
      <c r="BO15" s="34"/>
      <c r="BP15" s="16" t="s">
        <v>72</v>
      </c>
      <c r="BQ15" s="39">
        <f>SUM(BO5:BO14)</f>
        <v>3567211.1324</v>
      </c>
    </row>
    <row r="16" spans="1:72" x14ac:dyDescent="0.25">
      <c r="A16" s="27"/>
      <c r="D16" s="28"/>
      <c r="E16" s="28"/>
      <c r="F16" s="28"/>
      <c r="G16" s="28"/>
      <c r="H16" s="28"/>
      <c r="I16" s="29"/>
      <c r="J16" s="28"/>
      <c r="K16" s="30"/>
      <c r="L16" s="28"/>
      <c r="M16" s="28"/>
      <c r="N16" s="28"/>
      <c r="O16" s="28"/>
      <c r="P16" s="28"/>
      <c r="Q16" s="28"/>
      <c r="R16" s="28"/>
      <c r="S16" s="28"/>
      <c r="T16" s="28"/>
      <c r="U16" s="33"/>
      <c r="V16" s="33"/>
      <c r="W16" s="97"/>
      <c r="X16" s="93"/>
      <c r="Y16" s="33"/>
      <c r="Z16" s="33"/>
      <c r="AA16" s="33"/>
      <c r="AC16" s="28"/>
      <c r="AD16" s="28"/>
      <c r="AE16" s="28"/>
      <c r="AF16" s="28"/>
      <c r="AG16" s="28"/>
      <c r="AH16" s="28"/>
      <c r="AI16" s="28"/>
      <c r="AJ16" s="28"/>
      <c r="AK16" s="28"/>
      <c r="AL16" s="28"/>
      <c r="AM16" s="28"/>
      <c r="AN16" s="33"/>
      <c r="AO16" s="28"/>
      <c r="AP16" s="28"/>
      <c r="AQ16" s="28"/>
      <c r="AR16" s="28"/>
      <c r="AS16" s="28"/>
      <c r="AT16" s="28"/>
      <c r="AU16" s="28"/>
      <c r="AV16" s="28"/>
      <c r="AW16" s="28"/>
      <c r="AX16" s="28"/>
      <c r="AY16" s="28"/>
      <c r="AZ16" s="33"/>
      <c r="BA16" s="28"/>
      <c r="BB16" s="28"/>
      <c r="BD16" s="28"/>
      <c r="BE16" s="28"/>
      <c r="BF16" s="27"/>
      <c r="BH16" s="34"/>
      <c r="BI16" s="34"/>
      <c r="BL16" s="28"/>
      <c r="BM16" s="28"/>
      <c r="BO16" s="28"/>
      <c r="BP16" s="16" t="s">
        <v>73</v>
      </c>
      <c r="BQ16" s="15">
        <f>BQ15/5</f>
        <v>713442.22647999995</v>
      </c>
    </row>
    <row r="17" spans="1:69" x14ac:dyDescent="0.25">
      <c r="A17" s="27"/>
      <c r="D17" s="28"/>
      <c r="E17" s="28"/>
      <c r="F17" s="28"/>
      <c r="G17" s="28"/>
      <c r="H17" s="28"/>
      <c r="I17" s="29"/>
      <c r="J17" s="28"/>
      <c r="K17" s="30"/>
      <c r="L17" s="28"/>
      <c r="M17" s="28"/>
      <c r="N17" s="28"/>
      <c r="O17" s="28"/>
      <c r="P17" s="28"/>
      <c r="Q17" s="28"/>
      <c r="R17" s="28"/>
      <c r="S17" s="28"/>
      <c r="T17" s="28"/>
      <c r="U17" s="33"/>
      <c r="V17" s="33"/>
      <c r="W17" s="97"/>
      <c r="X17" s="93"/>
      <c r="Y17" s="33"/>
      <c r="Z17" s="33"/>
      <c r="AA17" s="33"/>
      <c r="AC17" s="28"/>
      <c r="AD17" s="28"/>
      <c r="AE17" s="28"/>
      <c r="AF17" s="28"/>
      <c r="AG17" s="28"/>
      <c r="AH17" s="28"/>
      <c r="AI17" s="28"/>
      <c r="AJ17" s="28"/>
      <c r="AK17" s="28"/>
      <c r="AL17" s="28"/>
      <c r="AM17" s="28"/>
      <c r="AN17" s="33"/>
      <c r="AO17" s="28"/>
      <c r="AP17" s="28"/>
      <c r="AQ17" s="28"/>
      <c r="AR17" s="28"/>
      <c r="AS17" s="28"/>
      <c r="AT17" s="28"/>
      <c r="AU17" s="28"/>
      <c r="AV17" s="28"/>
      <c r="AW17" s="28"/>
      <c r="AX17" s="28"/>
      <c r="AY17" s="28"/>
      <c r="AZ17" s="33"/>
      <c r="BA17" s="28"/>
      <c r="BB17" s="28"/>
      <c r="BD17" s="28"/>
      <c r="BE17" s="28"/>
      <c r="BF17" s="27"/>
      <c r="BH17" s="34"/>
      <c r="BI17" s="34"/>
      <c r="BL17" s="34"/>
      <c r="BM17" s="34"/>
      <c r="BO17" s="34"/>
      <c r="BP17" s="16" t="s">
        <v>74</v>
      </c>
      <c r="BQ17" s="15">
        <f>BQ16*0.2</f>
        <v>142688.44529599999</v>
      </c>
    </row>
    <row r="18" spans="1:69" x14ac:dyDescent="0.25">
      <c r="A18" s="27"/>
      <c r="D18" s="28"/>
      <c r="E18" s="28"/>
      <c r="F18" s="28"/>
      <c r="G18" s="28"/>
      <c r="H18" s="28"/>
      <c r="I18" s="29"/>
      <c r="J18" s="28"/>
      <c r="K18" s="30"/>
      <c r="L18" s="28"/>
      <c r="M18" s="28"/>
      <c r="N18" s="28"/>
      <c r="O18" s="28"/>
      <c r="P18" s="28"/>
      <c r="Q18" s="28"/>
      <c r="R18" s="28"/>
      <c r="S18" s="28"/>
      <c r="T18" s="28"/>
      <c r="U18" s="33"/>
      <c r="V18" s="33"/>
      <c r="W18" s="97"/>
      <c r="X18" s="93"/>
      <c r="Y18" s="33"/>
      <c r="Z18" s="33"/>
      <c r="AA18" s="33"/>
      <c r="AC18" s="28"/>
      <c r="AD18" s="28"/>
      <c r="AE18" s="28"/>
      <c r="AF18" s="28"/>
      <c r="AG18" s="28"/>
      <c r="AH18" s="28"/>
      <c r="AI18" s="28"/>
      <c r="AJ18" s="28"/>
      <c r="AK18" s="28"/>
      <c r="AL18" s="28"/>
      <c r="AM18" s="28"/>
      <c r="AN18" s="33"/>
      <c r="AO18" s="28"/>
      <c r="AP18" s="28"/>
      <c r="AQ18" s="28"/>
      <c r="AR18" s="28"/>
      <c r="AS18" s="28"/>
      <c r="AT18" s="28"/>
      <c r="AU18" s="28"/>
      <c r="AV18" s="28"/>
      <c r="AW18" s="28"/>
      <c r="AX18" s="28"/>
      <c r="AY18" s="28"/>
      <c r="AZ18" s="33"/>
      <c r="BA18" s="28"/>
      <c r="BB18" s="28"/>
      <c r="BD18" s="28"/>
      <c r="BE18" s="28"/>
      <c r="BF18" s="27"/>
      <c r="BH18" s="34"/>
      <c r="BI18" s="34"/>
      <c r="BL18" s="28"/>
      <c r="BM18" s="28"/>
      <c r="BO18" s="28"/>
    </row>
    <row r="19" spans="1:69" x14ac:dyDescent="0.25">
      <c r="A19" s="27"/>
      <c r="D19" s="28"/>
      <c r="E19" s="28"/>
      <c r="F19" s="28"/>
      <c r="G19" s="28"/>
      <c r="H19" s="28"/>
      <c r="I19" s="29"/>
      <c r="J19" s="28"/>
      <c r="K19" s="30"/>
      <c r="L19" s="28"/>
      <c r="M19" s="28"/>
      <c r="N19" s="28"/>
      <c r="O19" s="28"/>
      <c r="P19" s="28"/>
      <c r="Q19" s="28"/>
      <c r="R19" s="28"/>
      <c r="S19" s="28"/>
      <c r="T19" s="28"/>
      <c r="U19" s="33"/>
      <c r="V19" s="33"/>
      <c r="W19" s="97"/>
      <c r="X19" s="93"/>
      <c r="Y19" s="33"/>
      <c r="Z19" s="33"/>
      <c r="AA19" s="33"/>
      <c r="AC19" s="28"/>
      <c r="AD19" s="28"/>
      <c r="AE19" s="28"/>
      <c r="AF19" s="28"/>
      <c r="AG19" s="28"/>
      <c r="AH19" s="28"/>
      <c r="AI19" s="28"/>
      <c r="AJ19" s="28"/>
      <c r="AK19" s="28"/>
      <c r="AL19" s="28"/>
      <c r="AM19" s="28"/>
      <c r="AN19" s="33"/>
      <c r="AO19" s="28"/>
      <c r="AP19" s="28"/>
      <c r="AQ19" s="28"/>
      <c r="AR19" s="28"/>
      <c r="AS19" s="28"/>
      <c r="AT19" s="28"/>
      <c r="AU19" s="28"/>
      <c r="AV19" s="28"/>
      <c r="AW19" s="28"/>
      <c r="AX19" s="28"/>
      <c r="AY19" s="28"/>
      <c r="AZ19" s="33"/>
      <c r="BA19" s="28"/>
      <c r="BB19" s="28"/>
      <c r="BD19" s="28"/>
      <c r="BE19" s="28"/>
      <c r="BF19" s="27"/>
      <c r="BH19" s="34"/>
      <c r="BI19" s="34"/>
      <c r="BL19" s="34"/>
      <c r="BM19" s="34"/>
      <c r="BO19" s="34"/>
    </row>
    <row r="20" spans="1:69" x14ac:dyDescent="0.25">
      <c r="A20" s="27"/>
      <c r="D20" s="28"/>
      <c r="E20" s="28"/>
      <c r="F20" s="28"/>
      <c r="G20" s="28"/>
      <c r="H20" s="28"/>
      <c r="I20" s="29"/>
      <c r="J20" s="28"/>
      <c r="K20" s="30"/>
      <c r="L20" s="28"/>
      <c r="M20" s="28"/>
      <c r="N20" s="28"/>
      <c r="O20" s="28"/>
      <c r="P20" s="28"/>
      <c r="Q20" s="28"/>
      <c r="R20" s="28"/>
      <c r="S20" s="28"/>
      <c r="T20" s="28"/>
      <c r="U20" s="33"/>
      <c r="V20" s="33"/>
      <c r="W20" s="97"/>
      <c r="X20" s="93"/>
      <c r="Y20" s="33"/>
      <c r="Z20" s="33"/>
      <c r="AA20" s="33"/>
      <c r="AC20" s="28"/>
      <c r="AD20" s="28"/>
      <c r="AE20" s="28"/>
      <c r="AF20" s="28"/>
      <c r="AG20" s="28"/>
      <c r="AH20" s="28"/>
      <c r="AI20" s="28"/>
      <c r="AJ20" s="28"/>
      <c r="AK20" s="28"/>
      <c r="AL20" s="28"/>
      <c r="AM20" s="28"/>
      <c r="AN20" s="33"/>
      <c r="AO20" s="28"/>
      <c r="AP20" s="28"/>
      <c r="AQ20" s="28"/>
      <c r="AR20" s="28"/>
      <c r="AS20" s="28"/>
      <c r="AT20" s="28"/>
      <c r="AU20" s="28"/>
      <c r="AV20" s="28"/>
      <c r="AW20" s="28"/>
      <c r="AX20" s="28"/>
      <c r="AY20" s="28"/>
      <c r="AZ20" s="33"/>
      <c r="BA20" s="28"/>
      <c r="BB20" s="28"/>
      <c r="BD20" s="28"/>
      <c r="BE20" s="28"/>
      <c r="BF20" s="27"/>
      <c r="BH20" s="34"/>
      <c r="BI20" s="34"/>
      <c r="BL20" s="28"/>
      <c r="BM20" s="28"/>
      <c r="BO20" s="28"/>
    </row>
    <row r="21" spans="1:69" x14ac:dyDescent="0.25">
      <c r="A21" s="27"/>
      <c r="D21" s="28"/>
      <c r="E21" s="28"/>
      <c r="F21" s="28"/>
      <c r="G21" s="28"/>
      <c r="H21" s="28"/>
      <c r="I21" s="29"/>
      <c r="J21" s="28"/>
      <c r="K21" s="30"/>
      <c r="L21" s="28"/>
      <c r="M21" s="28"/>
      <c r="N21" s="28"/>
      <c r="O21" s="28"/>
      <c r="P21" s="28"/>
      <c r="Q21" s="28"/>
      <c r="R21" s="28"/>
      <c r="S21" s="28"/>
      <c r="T21" s="28"/>
      <c r="U21" s="33"/>
      <c r="V21" s="33"/>
      <c r="W21" s="97"/>
      <c r="X21" s="93"/>
      <c r="Y21" s="33"/>
      <c r="Z21" s="33"/>
      <c r="AA21" s="33"/>
      <c r="AC21" s="28"/>
      <c r="AD21" s="28"/>
      <c r="AE21" s="28"/>
      <c r="AF21" s="28"/>
      <c r="AG21" s="28"/>
      <c r="AH21" s="28"/>
      <c r="AI21" s="28"/>
      <c r="AJ21" s="28"/>
      <c r="AK21" s="28"/>
      <c r="AL21" s="28"/>
      <c r="AM21" s="28"/>
      <c r="AN21" s="33"/>
      <c r="AO21" s="28"/>
      <c r="AP21" s="28"/>
      <c r="AQ21" s="28"/>
      <c r="AR21" s="28"/>
      <c r="AS21" s="28"/>
      <c r="AT21" s="28"/>
      <c r="AU21" s="28"/>
      <c r="AV21" s="28"/>
      <c r="AW21" s="28"/>
      <c r="AX21" s="28"/>
      <c r="AY21" s="28"/>
      <c r="AZ21" s="33"/>
      <c r="BA21" s="28"/>
      <c r="BB21" s="28"/>
      <c r="BD21" s="28"/>
      <c r="BE21" s="28"/>
      <c r="BF21" s="27"/>
      <c r="BH21" s="34"/>
      <c r="BI21" s="34"/>
      <c r="BL21" s="34"/>
      <c r="BM21" s="34"/>
      <c r="BO21" s="34"/>
    </row>
    <row r="22" spans="1:69" x14ac:dyDescent="0.25">
      <c r="A22" s="27"/>
      <c r="D22" s="28"/>
      <c r="E22" s="28"/>
      <c r="F22" s="28"/>
      <c r="G22" s="28"/>
      <c r="H22" s="28"/>
      <c r="I22" s="29"/>
      <c r="J22" s="28"/>
      <c r="K22" s="30"/>
      <c r="L22" s="28"/>
      <c r="M22" s="28"/>
      <c r="N22" s="28"/>
      <c r="O22" s="28"/>
      <c r="P22" s="28"/>
      <c r="Q22" s="28"/>
      <c r="R22" s="28"/>
      <c r="S22" s="28"/>
      <c r="T22" s="28"/>
      <c r="U22" s="33"/>
      <c r="V22" s="33"/>
      <c r="W22" s="97"/>
      <c r="X22" s="93"/>
      <c r="Y22" s="33"/>
      <c r="Z22" s="33"/>
      <c r="AA22" s="33"/>
      <c r="AC22" s="28"/>
      <c r="AD22" s="28"/>
      <c r="AE22" s="28"/>
      <c r="AF22" s="28"/>
      <c r="AG22" s="28"/>
      <c r="AH22" s="28"/>
      <c r="AI22" s="28"/>
      <c r="AJ22" s="28"/>
      <c r="AK22" s="28"/>
      <c r="AL22" s="28"/>
      <c r="AM22" s="28"/>
      <c r="AN22" s="33"/>
      <c r="AO22" s="28"/>
      <c r="AP22" s="28"/>
      <c r="AQ22" s="28"/>
      <c r="AR22" s="28"/>
      <c r="AS22" s="28"/>
      <c r="AT22" s="28"/>
      <c r="AU22" s="28"/>
      <c r="AV22" s="28"/>
      <c r="AW22" s="28"/>
      <c r="AX22" s="28"/>
      <c r="AY22" s="28"/>
      <c r="AZ22" s="33"/>
      <c r="BA22" s="28"/>
      <c r="BB22" s="28"/>
      <c r="BD22" s="28"/>
      <c r="BE22" s="28"/>
      <c r="BF22" s="27"/>
      <c r="BH22" s="34"/>
      <c r="BI22" s="34"/>
      <c r="BL22" s="28"/>
      <c r="BM22" s="28"/>
      <c r="BO22" s="28"/>
    </row>
    <row r="23" spans="1:69" x14ac:dyDescent="0.25">
      <c r="A23" s="27"/>
      <c r="D23" s="28"/>
      <c r="E23" s="28"/>
      <c r="F23" s="28"/>
      <c r="G23" s="28"/>
      <c r="H23" s="28"/>
      <c r="I23" s="29"/>
      <c r="J23" s="28"/>
      <c r="K23" s="30"/>
      <c r="L23" s="28"/>
      <c r="M23" s="28"/>
      <c r="N23" s="28"/>
      <c r="O23" s="28"/>
      <c r="P23" s="28"/>
      <c r="Q23" s="28"/>
      <c r="R23" s="28"/>
      <c r="S23" s="28"/>
      <c r="T23" s="28"/>
      <c r="U23" s="33"/>
      <c r="V23" s="33"/>
      <c r="W23" s="97"/>
      <c r="X23" s="93"/>
      <c r="Y23" s="33"/>
      <c r="Z23" s="33"/>
      <c r="AA23" s="33"/>
      <c r="AC23" s="28"/>
      <c r="AD23" s="28"/>
      <c r="AE23" s="28"/>
      <c r="AF23" s="28"/>
      <c r="AG23" s="28"/>
      <c r="AH23" s="28"/>
      <c r="AI23" s="28"/>
      <c r="AJ23" s="28"/>
      <c r="AK23" s="28"/>
      <c r="AL23" s="28"/>
      <c r="AM23" s="28"/>
      <c r="AN23" s="33"/>
      <c r="AO23" s="28"/>
      <c r="AP23" s="28"/>
      <c r="AQ23" s="28"/>
      <c r="AR23" s="28"/>
      <c r="AS23" s="28"/>
      <c r="AT23" s="28"/>
      <c r="AU23" s="28"/>
      <c r="AV23" s="28"/>
      <c r="AW23" s="28"/>
      <c r="AX23" s="28"/>
      <c r="AY23" s="28"/>
      <c r="AZ23" s="33"/>
      <c r="BA23" s="28"/>
      <c r="BB23" s="28"/>
      <c r="BD23" s="28"/>
      <c r="BE23" s="28"/>
      <c r="BF23" s="27"/>
      <c r="BH23" s="34"/>
      <c r="BI23" s="34"/>
      <c r="BL23" s="34"/>
      <c r="BM23" s="34"/>
      <c r="BO23" s="34"/>
    </row>
    <row r="24" spans="1:69" x14ac:dyDescent="0.25">
      <c r="A24" s="27"/>
      <c r="D24" s="28"/>
      <c r="E24" s="28"/>
      <c r="F24" s="28"/>
      <c r="G24" s="28"/>
      <c r="H24" s="28"/>
      <c r="I24" s="29"/>
      <c r="J24" s="28"/>
      <c r="K24" s="30"/>
      <c r="L24" s="28"/>
      <c r="M24" s="28"/>
      <c r="N24" s="28"/>
      <c r="O24" s="28"/>
      <c r="P24" s="28"/>
      <c r="Q24" s="28"/>
      <c r="R24" s="28"/>
      <c r="S24" s="28"/>
      <c r="T24" s="28"/>
      <c r="U24" s="33"/>
      <c r="V24" s="33"/>
      <c r="W24" s="97"/>
      <c r="X24" s="93"/>
      <c r="Y24" s="33"/>
      <c r="Z24" s="33"/>
      <c r="AA24" s="33"/>
      <c r="AC24" s="28"/>
      <c r="AD24" s="28"/>
      <c r="AE24" s="28"/>
      <c r="AF24" s="28"/>
      <c r="AG24" s="28"/>
      <c r="AH24" s="28"/>
      <c r="AI24" s="28"/>
      <c r="AJ24" s="28"/>
      <c r="AK24" s="28"/>
      <c r="AL24" s="28"/>
      <c r="AM24" s="28"/>
      <c r="AN24" s="33"/>
      <c r="AO24" s="28"/>
      <c r="AP24" s="28"/>
      <c r="AQ24" s="28"/>
      <c r="AR24" s="28"/>
      <c r="AS24" s="28"/>
      <c r="AT24" s="28"/>
      <c r="AU24" s="28"/>
      <c r="AV24" s="28"/>
      <c r="AW24" s="28"/>
      <c r="AX24" s="28"/>
      <c r="AY24" s="28"/>
      <c r="AZ24" s="33"/>
      <c r="BA24" s="28"/>
      <c r="BB24" s="28"/>
      <c r="BD24" s="28"/>
      <c r="BE24" s="28"/>
      <c r="BH24" s="34"/>
      <c r="BI24" s="34"/>
      <c r="BL24" s="28"/>
      <c r="BM24" s="28"/>
      <c r="BO24" s="28"/>
    </row>
    <row r="25" spans="1:69" x14ac:dyDescent="0.25">
      <c r="A25" s="27"/>
      <c r="D25" s="28"/>
      <c r="E25" s="28"/>
      <c r="F25" s="28"/>
      <c r="G25" s="28"/>
      <c r="H25" s="28"/>
      <c r="I25" s="29"/>
      <c r="J25" s="28"/>
      <c r="K25" s="30"/>
      <c r="L25" s="28"/>
      <c r="M25" s="28"/>
      <c r="N25" s="28"/>
      <c r="O25" s="28"/>
      <c r="P25" s="28"/>
      <c r="Q25" s="28"/>
      <c r="R25" s="28"/>
      <c r="S25" s="28"/>
      <c r="T25" s="28"/>
      <c r="U25" s="33"/>
      <c r="V25" s="33"/>
      <c r="W25" s="97"/>
      <c r="X25" s="93"/>
      <c r="Y25" s="33"/>
      <c r="Z25" s="33"/>
      <c r="AA25" s="33"/>
      <c r="AC25" s="28"/>
      <c r="AD25" s="28"/>
      <c r="AE25" s="28"/>
      <c r="AF25" s="28"/>
      <c r="AG25" s="28"/>
      <c r="AH25" s="28"/>
      <c r="AI25" s="28"/>
      <c r="AJ25" s="28"/>
      <c r="AK25" s="28"/>
      <c r="AL25" s="28"/>
      <c r="AM25" s="28"/>
      <c r="AN25" s="33"/>
      <c r="AO25" s="28"/>
      <c r="AP25" s="28"/>
      <c r="AQ25" s="28"/>
      <c r="AR25" s="28"/>
      <c r="AS25" s="28"/>
      <c r="AT25" s="28"/>
      <c r="AU25" s="28"/>
      <c r="AV25" s="28"/>
      <c r="AW25" s="28"/>
      <c r="AX25" s="28"/>
      <c r="AY25" s="28"/>
      <c r="AZ25" s="33"/>
      <c r="BA25" s="28"/>
      <c r="BB25" s="28"/>
      <c r="BD25" s="28"/>
      <c r="BE25" s="28"/>
      <c r="BH25" s="34"/>
      <c r="BI25" s="34"/>
      <c r="BL25" s="34"/>
      <c r="BM25" s="34"/>
      <c r="BO25" s="34"/>
    </row>
    <row r="26" spans="1:69" x14ac:dyDescent="0.25">
      <c r="A26" s="27"/>
      <c r="D26" s="28"/>
      <c r="E26" s="28"/>
      <c r="F26" s="28"/>
      <c r="G26" s="28"/>
      <c r="H26" s="28"/>
      <c r="I26" s="29"/>
      <c r="J26" s="28"/>
      <c r="K26" s="30"/>
      <c r="L26" s="28"/>
      <c r="M26" s="28"/>
      <c r="N26" s="28"/>
      <c r="O26" s="28"/>
      <c r="P26" s="28"/>
      <c r="Q26" s="28"/>
      <c r="R26" s="28"/>
      <c r="S26" s="28"/>
      <c r="T26" s="28"/>
      <c r="U26" s="33"/>
      <c r="V26" s="33"/>
      <c r="W26" s="97"/>
      <c r="X26" s="93"/>
      <c r="Y26" s="33"/>
      <c r="Z26" s="33"/>
      <c r="AA26" s="33"/>
      <c r="AC26" s="28"/>
      <c r="AD26" s="28"/>
      <c r="AE26" s="28"/>
      <c r="AF26" s="28"/>
      <c r="AG26" s="28"/>
      <c r="AH26" s="28"/>
      <c r="AI26" s="28"/>
      <c r="AJ26" s="28"/>
      <c r="AK26" s="28"/>
      <c r="AL26" s="28"/>
      <c r="AM26" s="28"/>
      <c r="AN26" s="33"/>
      <c r="AO26" s="28"/>
      <c r="AP26" s="28"/>
      <c r="AQ26" s="28"/>
      <c r="AR26" s="28"/>
      <c r="AS26" s="28"/>
      <c r="AT26" s="28"/>
      <c r="AU26" s="28"/>
      <c r="AV26" s="28"/>
      <c r="AW26" s="28"/>
      <c r="AX26" s="28"/>
      <c r="AY26" s="28"/>
      <c r="AZ26" s="33"/>
      <c r="BA26" s="28"/>
      <c r="BB26" s="28"/>
      <c r="BD26" s="28"/>
      <c r="BE26" s="28"/>
      <c r="BH26" s="34"/>
      <c r="BI26" s="34"/>
      <c r="BL26" s="28"/>
      <c r="BM26" s="28"/>
      <c r="BO26" s="28"/>
    </row>
    <row r="27" spans="1:69" x14ac:dyDescent="0.25">
      <c r="A27" s="27"/>
      <c r="D27" s="28"/>
      <c r="E27" s="28"/>
      <c r="F27" s="28"/>
      <c r="G27" s="28"/>
      <c r="H27" s="28"/>
      <c r="I27" s="29"/>
      <c r="J27" s="28"/>
      <c r="K27" s="30"/>
      <c r="L27" s="28"/>
      <c r="M27" s="28"/>
      <c r="N27" s="28"/>
      <c r="O27" s="28"/>
      <c r="P27" s="28"/>
      <c r="Q27" s="28"/>
      <c r="R27" s="28"/>
      <c r="S27" s="28"/>
      <c r="T27" s="28"/>
      <c r="U27" s="33"/>
      <c r="V27" s="33"/>
      <c r="W27" s="97"/>
      <c r="X27" s="93"/>
      <c r="Y27" s="33"/>
      <c r="Z27" s="33"/>
      <c r="AA27" s="33"/>
      <c r="AC27" s="28"/>
      <c r="AD27" s="28"/>
      <c r="AE27" s="28"/>
      <c r="AF27" s="28"/>
      <c r="AG27" s="28"/>
      <c r="AH27" s="28"/>
      <c r="AI27" s="28"/>
      <c r="AJ27" s="28"/>
      <c r="AK27" s="28"/>
      <c r="AL27" s="28"/>
      <c r="AM27" s="28"/>
      <c r="AN27" s="33"/>
      <c r="AO27" s="28"/>
      <c r="AP27" s="28"/>
      <c r="AQ27" s="28"/>
      <c r="AR27" s="28"/>
      <c r="AS27" s="28"/>
      <c r="AT27" s="28"/>
      <c r="AU27" s="28"/>
      <c r="AV27" s="28"/>
      <c r="AW27" s="28"/>
      <c r="AX27" s="28"/>
      <c r="AY27" s="28"/>
      <c r="AZ27" s="33"/>
      <c r="BA27" s="28"/>
      <c r="BB27" s="28"/>
      <c r="BD27" s="28"/>
      <c r="BE27" s="28"/>
      <c r="BH27" s="34"/>
      <c r="BI27" s="34"/>
      <c r="BL27" s="34"/>
      <c r="BM27" s="34"/>
      <c r="BO27" s="34"/>
    </row>
    <row r="28" spans="1:69" x14ac:dyDescent="0.25">
      <c r="A28" s="27"/>
      <c r="D28" s="28"/>
      <c r="E28" s="28"/>
      <c r="F28" s="28"/>
      <c r="G28" s="28"/>
      <c r="H28" s="28"/>
      <c r="I28" s="29"/>
      <c r="J28" s="28"/>
      <c r="K28" s="30"/>
      <c r="L28" s="28"/>
      <c r="M28" s="28"/>
      <c r="N28" s="28"/>
      <c r="O28" s="28"/>
      <c r="P28" s="28"/>
      <c r="Q28" s="28"/>
      <c r="R28" s="28"/>
      <c r="S28" s="28"/>
      <c r="T28" s="28"/>
      <c r="U28" s="33"/>
      <c r="V28" s="33"/>
      <c r="W28" s="97"/>
      <c r="X28" s="93"/>
      <c r="Y28" s="33"/>
      <c r="Z28" s="33"/>
      <c r="AA28" s="33"/>
      <c r="AC28" s="28"/>
      <c r="AD28" s="28"/>
      <c r="AE28" s="28"/>
      <c r="AF28" s="28"/>
      <c r="AG28" s="28"/>
      <c r="AH28" s="28"/>
      <c r="AI28" s="28"/>
      <c r="AJ28" s="28"/>
      <c r="AK28" s="28"/>
      <c r="AL28" s="28"/>
      <c r="AM28" s="28"/>
      <c r="AN28" s="33"/>
      <c r="AO28" s="28"/>
      <c r="AP28" s="28"/>
      <c r="AQ28" s="28"/>
      <c r="AR28" s="28"/>
      <c r="AS28" s="28"/>
      <c r="AT28" s="28"/>
      <c r="AU28" s="28"/>
      <c r="AV28" s="28"/>
      <c r="AW28" s="28"/>
      <c r="AX28" s="28"/>
      <c r="AY28" s="28"/>
      <c r="AZ28" s="33"/>
      <c r="BA28" s="28"/>
      <c r="BB28" s="28"/>
      <c r="BD28" s="28"/>
      <c r="BE28" s="28"/>
      <c r="BH28" s="34"/>
      <c r="BI28" s="34"/>
      <c r="BL28" s="28"/>
      <c r="BM28" s="28"/>
      <c r="BO28" s="28"/>
    </row>
    <row r="29" spans="1:69" x14ac:dyDescent="0.25">
      <c r="A29" s="27"/>
      <c r="D29" s="28"/>
      <c r="E29" s="28"/>
      <c r="F29" s="28"/>
      <c r="G29" s="28"/>
      <c r="H29" s="28"/>
      <c r="I29" s="29"/>
      <c r="J29" s="28"/>
      <c r="K29" s="30"/>
      <c r="L29" s="28"/>
      <c r="M29" s="28"/>
      <c r="N29" s="28"/>
      <c r="O29" s="28"/>
      <c r="P29" s="28"/>
      <c r="Q29" s="28"/>
      <c r="R29" s="28"/>
      <c r="S29" s="28"/>
      <c r="T29" s="28"/>
      <c r="U29" s="33"/>
      <c r="V29" s="33"/>
      <c r="W29" s="97"/>
      <c r="X29" s="93"/>
      <c r="Y29" s="33"/>
      <c r="Z29" s="33"/>
      <c r="AA29" s="33"/>
      <c r="AC29" s="28"/>
      <c r="AD29" s="28"/>
      <c r="AE29" s="28"/>
      <c r="AF29" s="28"/>
      <c r="AG29" s="28"/>
      <c r="AH29" s="28"/>
      <c r="AI29" s="28"/>
      <c r="AJ29" s="28"/>
      <c r="AK29" s="28"/>
      <c r="AL29" s="28"/>
      <c r="AM29" s="28"/>
      <c r="AN29" s="33"/>
      <c r="AO29" s="28"/>
      <c r="AP29" s="28"/>
      <c r="AQ29" s="28"/>
      <c r="AR29" s="28"/>
      <c r="AS29" s="28"/>
      <c r="AT29" s="28"/>
      <c r="AU29" s="28"/>
      <c r="AV29" s="28"/>
      <c r="AW29" s="28"/>
      <c r="AX29" s="28"/>
      <c r="AY29" s="28"/>
      <c r="AZ29" s="33"/>
      <c r="BA29" s="28"/>
      <c r="BB29" s="28"/>
      <c r="BD29" s="28"/>
      <c r="BE29" s="28"/>
      <c r="BH29" s="34"/>
      <c r="BI29" s="34"/>
      <c r="BL29" s="34"/>
      <c r="BM29" s="34"/>
      <c r="BO29" s="34"/>
    </row>
    <row r="30" spans="1:69" x14ac:dyDescent="0.25">
      <c r="A30" s="27"/>
      <c r="D30" s="28"/>
      <c r="E30" s="28"/>
      <c r="F30" s="28"/>
      <c r="G30" s="28"/>
      <c r="H30" s="28"/>
      <c r="I30" s="29"/>
      <c r="J30" s="28"/>
      <c r="K30" s="30"/>
      <c r="L30" s="28"/>
      <c r="M30" s="28"/>
      <c r="N30" s="28"/>
      <c r="O30" s="28"/>
      <c r="P30" s="28"/>
      <c r="Q30" s="28"/>
      <c r="R30" s="28"/>
      <c r="S30" s="28"/>
      <c r="T30" s="28"/>
      <c r="U30" s="33"/>
      <c r="V30" s="33"/>
      <c r="W30" s="97"/>
      <c r="X30" s="93"/>
      <c r="Y30" s="33"/>
      <c r="Z30" s="33"/>
      <c r="AA30" s="33"/>
      <c r="AC30" s="28"/>
      <c r="AD30" s="28"/>
      <c r="AE30" s="28"/>
      <c r="AF30" s="28"/>
      <c r="AG30" s="28"/>
      <c r="AH30" s="28"/>
      <c r="AI30" s="28"/>
      <c r="AJ30" s="28"/>
      <c r="AK30" s="28"/>
      <c r="AL30" s="28"/>
      <c r="AM30" s="28"/>
      <c r="AN30" s="33"/>
      <c r="AO30" s="28"/>
      <c r="AP30" s="28"/>
      <c r="AQ30" s="28"/>
      <c r="AR30" s="28"/>
      <c r="AS30" s="28"/>
      <c r="AT30" s="28"/>
      <c r="AU30" s="28"/>
      <c r="AV30" s="28"/>
      <c r="AW30" s="28"/>
      <c r="AX30" s="28"/>
      <c r="AY30" s="28"/>
      <c r="AZ30" s="33"/>
      <c r="BA30" s="28"/>
      <c r="BB30" s="28"/>
      <c r="BD30" s="28"/>
      <c r="BE30" s="28"/>
      <c r="BH30" s="34"/>
      <c r="BI30" s="34"/>
      <c r="BL30" s="28"/>
      <c r="BM30" s="28"/>
      <c r="BO30" s="28"/>
    </row>
    <row r="31" spans="1:69" x14ac:dyDescent="0.25">
      <c r="A31" s="27"/>
      <c r="D31" s="28"/>
      <c r="E31" s="28"/>
      <c r="F31" s="28"/>
      <c r="G31" s="28"/>
      <c r="H31" s="28"/>
      <c r="I31" s="29"/>
      <c r="J31" s="28"/>
      <c r="K31" s="30"/>
      <c r="L31" s="28"/>
      <c r="M31" s="28"/>
      <c r="N31" s="28"/>
      <c r="O31" s="28"/>
      <c r="P31" s="28"/>
      <c r="Q31" s="28"/>
      <c r="R31" s="28"/>
      <c r="S31" s="28"/>
      <c r="T31" s="28"/>
      <c r="U31" s="33"/>
      <c r="V31" s="33"/>
      <c r="W31" s="97"/>
      <c r="X31" s="93"/>
      <c r="Y31" s="33"/>
      <c r="Z31" s="33"/>
      <c r="AA31" s="33"/>
      <c r="AC31" s="28"/>
      <c r="AD31" s="28"/>
      <c r="AE31" s="28"/>
      <c r="AF31" s="28"/>
      <c r="AG31" s="28"/>
      <c r="AH31" s="28"/>
      <c r="AI31" s="28"/>
      <c r="AJ31" s="28"/>
      <c r="AK31" s="28"/>
      <c r="AL31" s="28"/>
      <c r="AM31" s="28"/>
      <c r="AN31" s="33"/>
      <c r="AO31" s="28"/>
      <c r="AP31" s="28"/>
      <c r="AQ31" s="28"/>
      <c r="AR31" s="28"/>
      <c r="AS31" s="28"/>
      <c r="AT31" s="28"/>
      <c r="AU31" s="28"/>
      <c r="AV31" s="28"/>
      <c r="AW31" s="28"/>
      <c r="AX31" s="28"/>
      <c r="AY31" s="28"/>
      <c r="AZ31" s="33"/>
      <c r="BA31" s="28"/>
      <c r="BB31" s="28"/>
      <c r="BD31" s="28"/>
      <c r="BE31" s="28"/>
      <c r="BH31" s="34"/>
      <c r="BI31" s="34"/>
      <c r="BL31" s="34"/>
      <c r="BM31" s="34"/>
      <c r="BO31" s="34"/>
    </row>
    <row r="32" spans="1:69" x14ac:dyDescent="0.25">
      <c r="A32" s="27"/>
      <c r="D32" s="28"/>
      <c r="E32" s="28"/>
      <c r="F32" s="28"/>
      <c r="G32" s="28"/>
      <c r="H32" s="28"/>
      <c r="I32" s="29"/>
      <c r="J32" s="28"/>
      <c r="K32" s="30"/>
      <c r="L32" s="28"/>
      <c r="M32" s="28"/>
      <c r="N32" s="28"/>
      <c r="O32" s="28"/>
      <c r="P32" s="28"/>
      <c r="Q32" s="28"/>
      <c r="R32" s="28"/>
      <c r="S32" s="28"/>
      <c r="T32" s="28"/>
      <c r="U32" s="33"/>
      <c r="V32" s="33"/>
      <c r="W32" s="97"/>
      <c r="X32" s="93"/>
      <c r="Y32" s="33"/>
      <c r="Z32" s="33"/>
      <c r="AA32" s="33"/>
      <c r="AC32" s="28"/>
      <c r="AD32" s="28"/>
      <c r="AE32" s="28"/>
      <c r="AF32" s="28"/>
      <c r="AG32" s="28"/>
      <c r="AH32" s="28"/>
      <c r="AI32" s="28"/>
      <c r="AJ32" s="28"/>
      <c r="AK32" s="28"/>
      <c r="AL32" s="28"/>
      <c r="AM32" s="28"/>
      <c r="AN32" s="33"/>
      <c r="AO32" s="28"/>
      <c r="AP32" s="28"/>
      <c r="AQ32" s="28"/>
      <c r="AR32" s="28"/>
      <c r="AS32" s="28"/>
      <c r="AT32" s="28"/>
      <c r="AU32" s="28"/>
      <c r="AV32" s="28"/>
      <c r="AW32" s="28"/>
      <c r="AX32" s="28"/>
      <c r="AY32" s="28"/>
      <c r="AZ32" s="33"/>
      <c r="BA32" s="28"/>
      <c r="BB32" s="28"/>
      <c r="BD32" s="28"/>
      <c r="BE32" s="28"/>
      <c r="BH32" s="34"/>
      <c r="BI32" s="34"/>
      <c r="BL32" s="28"/>
      <c r="BM32" s="28"/>
      <c r="BO32" s="28"/>
    </row>
    <row r="33" spans="1:67" x14ac:dyDescent="0.25">
      <c r="A33" s="27"/>
      <c r="D33" s="28"/>
      <c r="E33" s="28"/>
      <c r="F33" s="28"/>
      <c r="G33" s="28"/>
      <c r="H33" s="28"/>
      <c r="I33" s="29"/>
      <c r="J33" s="28"/>
      <c r="K33" s="30"/>
      <c r="L33" s="28"/>
      <c r="M33" s="28"/>
      <c r="N33" s="28"/>
      <c r="O33" s="28"/>
      <c r="P33" s="28"/>
      <c r="Q33" s="28"/>
      <c r="R33" s="28"/>
      <c r="S33" s="28"/>
      <c r="T33" s="28"/>
      <c r="U33" s="33"/>
      <c r="V33" s="33"/>
      <c r="W33" s="97"/>
      <c r="X33" s="93"/>
      <c r="Y33" s="33"/>
      <c r="Z33" s="33"/>
      <c r="AA33" s="33"/>
      <c r="AC33" s="28"/>
      <c r="AD33" s="28"/>
      <c r="AE33" s="28"/>
      <c r="AF33" s="28"/>
      <c r="AG33" s="28"/>
      <c r="AH33" s="28"/>
      <c r="AI33" s="28"/>
      <c r="AJ33" s="28"/>
      <c r="AK33" s="28"/>
      <c r="AL33" s="28"/>
      <c r="AM33" s="28"/>
      <c r="AN33" s="33"/>
      <c r="AO33" s="28"/>
      <c r="AP33" s="28"/>
      <c r="AQ33" s="28"/>
      <c r="AR33" s="28"/>
      <c r="AS33" s="28"/>
      <c r="AT33" s="28"/>
      <c r="AU33" s="28"/>
      <c r="AV33" s="28"/>
      <c r="AW33" s="28"/>
      <c r="AX33" s="28"/>
      <c r="AY33" s="28"/>
      <c r="AZ33" s="33"/>
      <c r="BA33" s="28"/>
      <c r="BB33" s="28"/>
      <c r="BD33" s="28"/>
      <c r="BE33" s="28"/>
      <c r="BH33" s="34"/>
      <c r="BI33" s="34"/>
      <c r="BL33" s="34"/>
      <c r="BM33" s="34"/>
      <c r="BO33" s="34"/>
    </row>
    <row r="34" spans="1:67" x14ac:dyDescent="0.25">
      <c r="A34" s="27"/>
      <c r="D34" s="28"/>
      <c r="E34" s="28"/>
      <c r="F34" s="28"/>
      <c r="G34" s="28"/>
      <c r="H34" s="28"/>
      <c r="I34" s="29"/>
      <c r="J34" s="28"/>
      <c r="K34" s="30"/>
      <c r="L34" s="28"/>
      <c r="M34" s="28"/>
      <c r="N34" s="28"/>
      <c r="O34" s="28"/>
      <c r="P34" s="28"/>
      <c r="Q34" s="28"/>
      <c r="R34" s="28"/>
      <c r="S34" s="28"/>
      <c r="T34" s="28"/>
      <c r="U34" s="33"/>
      <c r="V34" s="33"/>
      <c r="W34" s="97"/>
      <c r="X34" s="93"/>
      <c r="Y34" s="33"/>
      <c r="Z34" s="33"/>
      <c r="AA34" s="33"/>
      <c r="AC34" s="34"/>
      <c r="AD34" s="35"/>
      <c r="AE34" s="35"/>
      <c r="AF34" s="34"/>
      <c r="AG34" s="34"/>
      <c r="AH34" s="34"/>
      <c r="AI34" s="34"/>
      <c r="AJ34" s="34"/>
      <c r="AK34" s="34"/>
      <c r="AL34" s="34"/>
      <c r="AM34" s="34"/>
      <c r="AN34" s="36"/>
      <c r="AO34" s="28"/>
      <c r="AP34" s="28"/>
      <c r="AQ34" s="28"/>
      <c r="AR34" s="28"/>
      <c r="AS34" s="28"/>
      <c r="AT34" s="28"/>
      <c r="AU34" s="28"/>
      <c r="AV34" s="28"/>
      <c r="AW34" s="28"/>
      <c r="AX34" s="28"/>
      <c r="AY34" s="34"/>
      <c r="AZ34" s="36"/>
      <c r="BA34" s="28"/>
      <c r="BB34" s="28"/>
      <c r="BD34" s="28"/>
      <c r="BE34" s="28"/>
      <c r="BH34" s="34"/>
      <c r="BI34" s="34"/>
      <c r="BL34" s="28"/>
      <c r="BM34" s="28"/>
      <c r="BO34" s="28"/>
    </row>
    <row r="35" spans="1:67" x14ac:dyDescent="0.25">
      <c r="A35" s="27"/>
      <c r="D35" s="28"/>
      <c r="E35" s="28"/>
      <c r="F35" s="28"/>
      <c r="G35" s="28"/>
      <c r="H35" s="28"/>
      <c r="I35" s="29"/>
      <c r="J35" s="28"/>
      <c r="K35" s="30"/>
      <c r="L35" s="28"/>
      <c r="M35" s="28"/>
      <c r="N35" s="28"/>
      <c r="O35" s="28"/>
      <c r="P35" s="28"/>
      <c r="Q35" s="28"/>
      <c r="R35" s="28"/>
      <c r="S35" s="28"/>
      <c r="T35" s="28"/>
      <c r="U35" s="33"/>
      <c r="V35" s="33"/>
      <c r="W35" s="97"/>
      <c r="X35" s="93"/>
      <c r="Y35" s="33"/>
      <c r="Z35" s="33"/>
      <c r="AA35" s="33"/>
      <c r="AC35" s="34"/>
      <c r="AD35" s="35"/>
      <c r="AE35" s="35"/>
      <c r="AF35" s="34"/>
      <c r="AG35" s="34"/>
      <c r="AH35" s="34"/>
      <c r="AI35" s="34"/>
      <c r="AJ35" s="34"/>
      <c r="AK35" s="34"/>
      <c r="AL35" s="34"/>
      <c r="AM35" s="34"/>
      <c r="AN35" s="36"/>
      <c r="AO35" s="34"/>
      <c r="AP35" s="34"/>
      <c r="AQ35" s="34"/>
      <c r="AR35" s="34"/>
      <c r="AS35" s="34"/>
      <c r="AT35" s="34"/>
      <c r="AU35" s="34"/>
      <c r="AV35" s="34"/>
      <c r="AW35" s="34"/>
      <c r="AX35" s="34"/>
      <c r="AY35" s="34"/>
      <c r="AZ35" s="36"/>
      <c r="BA35" s="28"/>
      <c r="BB35" s="28"/>
      <c r="BD35" s="28"/>
      <c r="BE35" s="28"/>
      <c r="BH35" s="34"/>
      <c r="BI35" s="34"/>
      <c r="BL35" s="34"/>
      <c r="BM35" s="34"/>
      <c r="BO35" s="34"/>
    </row>
    <row r="36" spans="1:67" x14ac:dyDescent="0.25">
      <c r="A36" s="27"/>
      <c r="D36" s="28"/>
      <c r="E36" s="28"/>
      <c r="F36" s="28"/>
      <c r="G36" s="28"/>
      <c r="H36" s="28"/>
      <c r="I36" s="29"/>
      <c r="J36" s="28"/>
      <c r="K36" s="30"/>
      <c r="L36" s="28"/>
      <c r="M36" s="28"/>
      <c r="N36" s="28"/>
      <c r="O36" s="28"/>
      <c r="P36" s="28"/>
      <c r="Q36" s="28"/>
      <c r="R36" s="28"/>
      <c r="S36" s="28"/>
      <c r="T36" s="28"/>
      <c r="U36" s="33"/>
      <c r="V36" s="33"/>
      <c r="W36" s="97"/>
      <c r="X36" s="93"/>
      <c r="Y36" s="33"/>
      <c r="Z36" s="33"/>
      <c r="AA36" s="33"/>
      <c r="AC36" s="34"/>
      <c r="AD36" s="35"/>
      <c r="AE36" s="35"/>
      <c r="AF36" s="34"/>
      <c r="AG36" s="34"/>
      <c r="AH36" s="34"/>
      <c r="AI36" s="34"/>
      <c r="AJ36" s="34"/>
      <c r="AK36" s="34"/>
      <c r="AL36" s="34"/>
      <c r="AM36" s="34"/>
      <c r="AN36" s="36"/>
      <c r="AO36" s="34"/>
      <c r="AP36" s="34"/>
      <c r="AQ36" s="34"/>
      <c r="AR36" s="34"/>
      <c r="AS36" s="34"/>
      <c r="AT36" s="34"/>
      <c r="AU36" s="34"/>
      <c r="AV36" s="34"/>
      <c r="AW36" s="34"/>
      <c r="AX36" s="34"/>
      <c r="AY36" s="34"/>
      <c r="AZ36" s="36"/>
      <c r="BA36" s="28"/>
      <c r="BB36" s="28"/>
      <c r="BD36" s="28"/>
      <c r="BE36" s="28"/>
      <c r="BH36" s="34"/>
      <c r="BI36" s="34"/>
      <c r="BL36" s="28"/>
      <c r="BM36" s="28"/>
      <c r="BO36" s="28"/>
    </row>
    <row r="37" spans="1:67" x14ac:dyDescent="0.25">
      <c r="A37" s="27"/>
      <c r="D37" s="28"/>
      <c r="E37" s="28"/>
      <c r="F37" s="28"/>
      <c r="G37" s="28"/>
      <c r="H37" s="28"/>
      <c r="I37" s="29"/>
      <c r="J37" s="28"/>
      <c r="K37" s="30"/>
      <c r="L37" s="28"/>
      <c r="M37" s="28"/>
      <c r="N37" s="28"/>
      <c r="O37" s="28"/>
      <c r="P37" s="28"/>
      <c r="Q37" s="28"/>
      <c r="R37" s="28"/>
      <c r="S37" s="28"/>
      <c r="T37" s="28"/>
      <c r="U37" s="33"/>
      <c r="V37" s="33"/>
      <c r="W37" s="97"/>
      <c r="X37" s="93"/>
      <c r="Y37" s="33"/>
      <c r="Z37" s="33"/>
      <c r="AA37" s="33"/>
      <c r="AC37" s="34"/>
      <c r="AD37" s="35"/>
      <c r="AE37" s="35"/>
      <c r="AF37" s="34"/>
      <c r="AG37" s="34"/>
      <c r="AH37" s="34"/>
      <c r="AI37" s="34"/>
      <c r="AJ37" s="34"/>
      <c r="AK37" s="34"/>
      <c r="AL37" s="34"/>
      <c r="AM37" s="34"/>
      <c r="AN37" s="36"/>
      <c r="AO37" s="34"/>
      <c r="AP37" s="34"/>
      <c r="AQ37" s="34"/>
      <c r="AR37" s="34"/>
      <c r="AS37" s="34"/>
      <c r="AT37" s="34"/>
      <c r="AU37" s="34"/>
      <c r="AV37" s="34"/>
      <c r="AW37" s="34"/>
      <c r="AX37" s="34"/>
      <c r="AY37" s="34"/>
      <c r="AZ37" s="36"/>
      <c r="BA37" s="28"/>
      <c r="BB37" s="28"/>
      <c r="BD37" s="28"/>
      <c r="BE37" s="28"/>
      <c r="BH37" s="34"/>
      <c r="BI37" s="34"/>
      <c r="BL37" s="34"/>
      <c r="BM37" s="34"/>
      <c r="BO37" s="34"/>
    </row>
    <row r="38" spans="1:67" x14ac:dyDescent="0.25">
      <c r="A38" s="27"/>
      <c r="D38" s="28"/>
      <c r="E38" s="28"/>
      <c r="F38" s="28"/>
      <c r="G38" s="28"/>
      <c r="H38" s="28"/>
      <c r="I38" s="29"/>
      <c r="J38" s="28"/>
      <c r="K38" s="30"/>
      <c r="L38" s="28"/>
      <c r="M38" s="28"/>
      <c r="N38" s="28"/>
      <c r="O38" s="28"/>
      <c r="P38" s="28"/>
      <c r="Q38" s="28"/>
      <c r="R38" s="28"/>
      <c r="S38" s="28"/>
      <c r="T38" s="28"/>
      <c r="U38" s="33"/>
      <c r="V38" s="33"/>
      <c r="W38" s="97"/>
      <c r="X38" s="93"/>
      <c r="Y38" s="33"/>
      <c r="Z38" s="33"/>
      <c r="AA38" s="33"/>
      <c r="AC38" s="34"/>
      <c r="AD38" s="35"/>
      <c r="AE38" s="35"/>
      <c r="AF38" s="34"/>
      <c r="AG38" s="34"/>
      <c r="AH38" s="34"/>
      <c r="AI38" s="34"/>
      <c r="AJ38" s="34"/>
      <c r="AK38" s="34"/>
      <c r="AL38" s="34"/>
      <c r="AM38" s="34"/>
      <c r="AN38" s="36"/>
      <c r="AO38" s="34"/>
      <c r="AP38" s="34"/>
      <c r="AQ38" s="34"/>
      <c r="AR38" s="34"/>
      <c r="AS38" s="34"/>
      <c r="AT38" s="34"/>
      <c r="AU38" s="34"/>
      <c r="AV38" s="34"/>
      <c r="AW38" s="34"/>
      <c r="AX38" s="34"/>
      <c r="AY38" s="34"/>
      <c r="AZ38" s="36"/>
      <c r="BA38" s="28"/>
      <c r="BB38" s="28"/>
      <c r="BD38" s="28"/>
      <c r="BE38" s="28"/>
      <c r="BH38" s="34"/>
      <c r="BI38" s="34"/>
      <c r="BL38" s="28"/>
      <c r="BM38" s="28"/>
      <c r="BO38" s="28"/>
    </row>
    <row r="39" spans="1:67" x14ac:dyDescent="0.25">
      <c r="A39" s="27"/>
      <c r="D39" s="28"/>
      <c r="E39" s="28"/>
      <c r="F39" s="28"/>
      <c r="G39" s="28"/>
      <c r="H39" s="28"/>
      <c r="I39" s="29"/>
      <c r="J39" s="28"/>
      <c r="K39" s="30"/>
      <c r="L39" s="28"/>
      <c r="M39" s="28"/>
      <c r="N39" s="28"/>
      <c r="O39" s="28"/>
      <c r="P39" s="28"/>
      <c r="Q39" s="28"/>
      <c r="R39" s="28"/>
      <c r="S39" s="28"/>
      <c r="T39" s="28"/>
      <c r="U39" s="33"/>
      <c r="V39" s="33"/>
      <c r="W39" s="97"/>
      <c r="X39" s="93"/>
      <c r="Y39" s="33"/>
      <c r="Z39" s="33"/>
      <c r="AA39" s="33"/>
      <c r="AC39" s="34"/>
      <c r="AD39" s="35"/>
      <c r="AE39" s="35"/>
      <c r="AF39" s="34"/>
      <c r="AG39" s="34"/>
      <c r="AH39" s="34"/>
      <c r="AI39" s="34"/>
      <c r="AJ39" s="34"/>
      <c r="AK39" s="34"/>
      <c r="AL39" s="34"/>
      <c r="AM39" s="34"/>
      <c r="AN39" s="36"/>
      <c r="AO39" s="34"/>
      <c r="AP39" s="34"/>
      <c r="AQ39" s="34"/>
      <c r="AR39" s="34"/>
      <c r="AS39" s="34"/>
      <c r="AT39" s="34"/>
      <c r="AU39" s="34"/>
      <c r="AV39" s="34"/>
      <c r="AW39" s="34"/>
      <c r="AX39" s="34"/>
      <c r="AY39" s="34"/>
      <c r="AZ39" s="36"/>
      <c r="BA39" s="28"/>
      <c r="BB39" s="28"/>
      <c r="BD39" s="28"/>
      <c r="BE39" s="28"/>
      <c r="BH39" s="34"/>
      <c r="BI39" s="34"/>
      <c r="BL39" s="34"/>
      <c r="BM39" s="34"/>
      <c r="BO39" s="34"/>
    </row>
    <row r="40" spans="1:67" x14ac:dyDescent="0.25">
      <c r="A40" s="27"/>
      <c r="D40" s="28"/>
      <c r="E40" s="28"/>
      <c r="F40" s="28"/>
      <c r="G40" s="28"/>
      <c r="H40" s="28"/>
      <c r="I40" s="29"/>
      <c r="J40" s="28"/>
      <c r="K40" s="30"/>
      <c r="L40" s="28"/>
      <c r="M40" s="28"/>
      <c r="N40" s="28"/>
      <c r="O40" s="28"/>
      <c r="P40" s="28"/>
      <c r="Q40" s="28"/>
      <c r="R40" s="28"/>
      <c r="S40" s="28"/>
      <c r="T40" s="28"/>
      <c r="U40" s="33"/>
      <c r="V40" s="33"/>
      <c r="W40" s="97"/>
      <c r="X40" s="93"/>
      <c r="Y40" s="33"/>
      <c r="Z40" s="33"/>
      <c r="AA40" s="33"/>
      <c r="AC40" s="34"/>
      <c r="AD40" s="35"/>
      <c r="AE40" s="35"/>
      <c r="AF40" s="34"/>
      <c r="AG40" s="34"/>
      <c r="AH40" s="34"/>
      <c r="AI40" s="34"/>
      <c r="AJ40" s="34"/>
      <c r="AK40" s="34"/>
      <c r="AL40" s="34"/>
      <c r="AM40" s="34"/>
      <c r="AN40" s="36"/>
      <c r="AO40" s="34"/>
      <c r="AP40" s="34"/>
      <c r="AQ40" s="34"/>
      <c r="AR40" s="34"/>
      <c r="AS40" s="34"/>
      <c r="AT40" s="34"/>
      <c r="AU40" s="34"/>
      <c r="AV40" s="34"/>
      <c r="AW40" s="34"/>
      <c r="AX40" s="34"/>
      <c r="AY40" s="34"/>
      <c r="AZ40" s="36"/>
      <c r="BA40" s="28"/>
      <c r="BB40" s="28"/>
      <c r="BD40" s="28"/>
      <c r="BE40" s="28"/>
      <c r="BH40" s="34"/>
      <c r="BI40" s="34"/>
      <c r="BL40" s="28"/>
      <c r="BM40" s="28"/>
      <c r="BO40" s="28"/>
    </row>
    <row r="41" spans="1:67" x14ac:dyDescent="0.25">
      <c r="A41" s="27"/>
      <c r="D41" s="28"/>
      <c r="E41" s="28"/>
      <c r="F41" s="28"/>
      <c r="G41" s="28"/>
      <c r="H41" s="28"/>
      <c r="I41" s="29"/>
      <c r="J41" s="28"/>
      <c r="K41" s="30"/>
      <c r="L41" s="28"/>
      <c r="M41" s="28"/>
      <c r="N41" s="28"/>
      <c r="O41" s="28"/>
      <c r="P41" s="28"/>
      <c r="Q41" s="28"/>
      <c r="R41" s="28"/>
      <c r="S41" s="28"/>
      <c r="T41" s="28"/>
      <c r="U41" s="33"/>
      <c r="V41" s="33"/>
      <c r="W41" s="97"/>
      <c r="X41" s="93"/>
      <c r="Y41" s="33"/>
      <c r="Z41" s="33"/>
      <c r="AA41" s="33"/>
      <c r="AC41" s="34"/>
      <c r="AD41" s="35"/>
      <c r="AE41" s="35"/>
      <c r="AF41" s="34"/>
      <c r="AG41" s="34"/>
      <c r="AH41" s="34"/>
      <c r="AI41" s="34"/>
      <c r="AJ41" s="34"/>
      <c r="AK41" s="34"/>
      <c r="AL41" s="34"/>
      <c r="AM41" s="34"/>
      <c r="AN41" s="36"/>
      <c r="AO41" s="34"/>
      <c r="AP41" s="34"/>
      <c r="AQ41" s="34"/>
      <c r="AR41" s="34"/>
      <c r="AS41" s="34"/>
      <c r="AT41" s="34"/>
      <c r="AU41" s="34"/>
      <c r="AV41" s="34"/>
      <c r="AW41" s="34"/>
      <c r="AX41" s="34"/>
      <c r="AY41" s="34"/>
      <c r="AZ41" s="36"/>
      <c r="BA41" s="28"/>
      <c r="BB41" s="28"/>
      <c r="BD41" s="28"/>
      <c r="BE41" s="28"/>
      <c r="BH41" s="34"/>
      <c r="BI41" s="34"/>
      <c r="BL41" s="34"/>
      <c r="BM41" s="34"/>
      <c r="BO41" s="34"/>
    </row>
    <row r="42" spans="1:67" x14ac:dyDescent="0.25">
      <c r="A42" s="27"/>
      <c r="D42" s="28"/>
      <c r="E42" s="28"/>
      <c r="F42" s="28"/>
      <c r="G42" s="28"/>
      <c r="H42" s="28"/>
      <c r="I42" s="29"/>
      <c r="J42" s="28"/>
      <c r="K42" s="30"/>
      <c r="L42" s="28"/>
      <c r="M42" s="28"/>
      <c r="N42" s="28"/>
      <c r="O42" s="28"/>
      <c r="P42" s="28"/>
      <c r="Q42" s="28"/>
      <c r="R42" s="28"/>
      <c r="S42" s="28"/>
      <c r="T42" s="28"/>
      <c r="U42" s="33"/>
      <c r="V42" s="33"/>
      <c r="W42" s="97"/>
      <c r="X42" s="93"/>
      <c r="Y42" s="33"/>
      <c r="Z42" s="33"/>
      <c r="AA42" s="33"/>
      <c r="AC42" s="34"/>
      <c r="AD42" s="35"/>
      <c r="AE42" s="35"/>
      <c r="AF42" s="34"/>
      <c r="AG42" s="34"/>
      <c r="AH42" s="34"/>
      <c r="AI42" s="34"/>
      <c r="AJ42" s="34"/>
      <c r="AK42" s="34"/>
      <c r="AL42" s="34"/>
      <c r="AM42" s="34"/>
      <c r="AN42" s="36"/>
      <c r="AO42" s="34"/>
      <c r="AP42" s="34"/>
      <c r="AQ42" s="34"/>
      <c r="AR42" s="34"/>
      <c r="AS42" s="34"/>
      <c r="AT42" s="34"/>
      <c r="AU42" s="34"/>
      <c r="AV42" s="34"/>
      <c r="AW42" s="34"/>
      <c r="AX42" s="34"/>
      <c r="AY42" s="34"/>
      <c r="AZ42" s="36"/>
      <c r="BA42" s="28"/>
      <c r="BB42" s="28"/>
      <c r="BD42" s="28"/>
      <c r="BE42" s="28"/>
      <c r="BH42" s="34"/>
      <c r="BI42" s="34"/>
      <c r="BL42" s="28"/>
      <c r="BM42" s="28"/>
      <c r="BO42" s="28"/>
    </row>
    <row r="43" spans="1:67" x14ac:dyDescent="0.25">
      <c r="A43" s="27"/>
      <c r="D43" s="28"/>
      <c r="E43" s="28"/>
      <c r="F43" s="28"/>
      <c r="G43" s="28"/>
      <c r="H43" s="28"/>
      <c r="I43" s="29"/>
      <c r="J43" s="28"/>
      <c r="K43" s="30"/>
      <c r="L43" s="28"/>
      <c r="M43" s="28"/>
      <c r="N43" s="28"/>
      <c r="O43" s="28"/>
      <c r="P43" s="28"/>
      <c r="Q43" s="28"/>
      <c r="R43" s="28"/>
      <c r="S43" s="28"/>
      <c r="T43" s="28"/>
      <c r="U43" s="33"/>
      <c r="V43" s="33"/>
      <c r="W43" s="97"/>
      <c r="X43" s="93"/>
      <c r="Y43" s="33"/>
      <c r="Z43" s="33"/>
      <c r="AA43" s="33"/>
      <c r="AC43" s="34"/>
      <c r="AD43" s="35"/>
      <c r="AE43" s="35"/>
      <c r="AF43" s="34"/>
      <c r="AG43" s="34"/>
      <c r="AH43" s="34"/>
      <c r="AI43" s="34"/>
      <c r="AJ43" s="34"/>
      <c r="AK43" s="34"/>
      <c r="AL43" s="34"/>
      <c r="AM43" s="34"/>
      <c r="AN43" s="36"/>
      <c r="AO43" s="34"/>
      <c r="AP43" s="34"/>
      <c r="AQ43" s="34"/>
      <c r="AR43" s="34"/>
      <c r="AS43" s="34"/>
      <c r="AT43" s="34"/>
      <c r="AU43" s="34"/>
      <c r="AV43" s="34"/>
      <c r="AW43" s="34"/>
      <c r="AX43" s="34"/>
      <c r="AY43" s="34"/>
      <c r="AZ43" s="36"/>
      <c r="BA43" s="28"/>
      <c r="BB43" s="28"/>
      <c r="BD43" s="28"/>
      <c r="BE43" s="28"/>
      <c r="BH43" s="34"/>
      <c r="BI43" s="34"/>
      <c r="BL43" s="34"/>
      <c r="BM43" s="34"/>
      <c r="BO43" s="34"/>
    </row>
    <row r="44" spans="1:67" x14ac:dyDescent="0.25">
      <c r="A44" s="27"/>
      <c r="D44" s="28"/>
      <c r="E44" s="28"/>
      <c r="F44" s="28"/>
      <c r="G44" s="28"/>
      <c r="H44" s="28"/>
      <c r="I44" s="29"/>
      <c r="J44" s="28"/>
      <c r="K44" s="30"/>
      <c r="L44" s="28"/>
      <c r="M44" s="28"/>
      <c r="N44" s="28"/>
      <c r="O44" s="28"/>
      <c r="P44" s="28"/>
      <c r="Q44" s="28"/>
      <c r="R44" s="28"/>
      <c r="S44" s="28"/>
      <c r="T44" s="28"/>
      <c r="U44" s="33"/>
      <c r="V44" s="33"/>
      <c r="W44" s="97"/>
      <c r="X44" s="93"/>
      <c r="Y44" s="33"/>
      <c r="Z44" s="33"/>
      <c r="AA44" s="33"/>
      <c r="AC44" s="34"/>
      <c r="AD44" s="35"/>
      <c r="AE44" s="35"/>
      <c r="AF44" s="34"/>
      <c r="AG44" s="34"/>
      <c r="AH44" s="34"/>
      <c r="AI44" s="34"/>
      <c r="AJ44" s="34"/>
      <c r="AK44" s="34"/>
      <c r="AL44" s="34"/>
      <c r="AM44" s="34"/>
      <c r="AN44" s="36"/>
      <c r="AO44" s="34"/>
      <c r="AP44" s="34"/>
      <c r="AQ44" s="34"/>
      <c r="AR44" s="34"/>
      <c r="AS44" s="34"/>
      <c r="AT44" s="34"/>
      <c r="AU44" s="34"/>
      <c r="AV44" s="34"/>
      <c r="AW44" s="34"/>
      <c r="AX44" s="34"/>
      <c r="AY44" s="34"/>
      <c r="AZ44" s="36"/>
      <c r="BA44" s="28"/>
      <c r="BB44" s="28"/>
      <c r="BD44" s="28"/>
      <c r="BE44" s="28"/>
      <c r="BH44" s="34"/>
      <c r="BI44" s="34"/>
      <c r="BL44" s="28"/>
      <c r="BM44" s="28"/>
      <c r="BO44" s="28"/>
    </row>
    <row r="45" spans="1:67" x14ac:dyDescent="0.25">
      <c r="A45" s="27"/>
      <c r="D45" s="28"/>
      <c r="E45" s="28"/>
      <c r="F45" s="28"/>
      <c r="G45" s="28"/>
      <c r="H45" s="28"/>
      <c r="I45" s="29"/>
      <c r="J45" s="28"/>
      <c r="K45" s="30"/>
      <c r="L45" s="28"/>
      <c r="M45" s="28"/>
      <c r="N45" s="28"/>
      <c r="O45" s="28"/>
      <c r="P45" s="28"/>
      <c r="Q45" s="28"/>
      <c r="R45" s="28"/>
      <c r="S45" s="28"/>
      <c r="T45" s="28"/>
      <c r="U45" s="33"/>
      <c r="V45" s="33"/>
      <c r="W45" s="97"/>
      <c r="X45" s="93"/>
      <c r="Y45" s="33"/>
      <c r="Z45" s="33"/>
      <c r="AA45" s="33"/>
      <c r="AC45" s="34"/>
      <c r="AD45" s="35"/>
      <c r="AE45" s="35"/>
      <c r="AF45" s="34"/>
      <c r="AG45" s="34"/>
      <c r="AH45" s="34"/>
      <c r="AI45" s="34"/>
      <c r="AJ45" s="34"/>
      <c r="AK45" s="34"/>
      <c r="AL45" s="34"/>
      <c r="AM45" s="34"/>
      <c r="AN45" s="36"/>
      <c r="AO45" s="34"/>
      <c r="AP45" s="34"/>
      <c r="AQ45" s="34"/>
      <c r="AR45" s="34"/>
      <c r="AS45" s="34"/>
      <c r="AT45" s="34"/>
      <c r="AU45" s="34"/>
      <c r="AV45" s="34"/>
      <c r="AW45" s="34"/>
      <c r="AX45" s="34"/>
      <c r="AY45" s="34"/>
      <c r="AZ45" s="36"/>
      <c r="BA45" s="28"/>
      <c r="BB45" s="28"/>
      <c r="BD45" s="28"/>
      <c r="BE45" s="28"/>
      <c r="BH45" s="34"/>
      <c r="BI45" s="34"/>
      <c r="BL45" s="34"/>
      <c r="BM45" s="34"/>
      <c r="BO45" s="34"/>
    </row>
    <row r="46" spans="1:67" x14ac:dyDescent="0.25">
      <c r="A46" s="27"/>
      <c r="D46" s="28"/>
      <c r="E46" s="28"/>
      <c r="F46" s="28"/>
      <c r="G46" s="28"/>
      <c r="H46" s="28"/>
      <c r="I46" s="29"/>
      <c r="J46" s="28"/>
      <c r="K46" s="30"/>
      <c r="L46" s="28"/>
      <c r="M46" s="28"/>
      <c r="N46" s="28"/>
      <c r="O46" s="28"/>
      <c r="P46" s="28"/>
      <c r="Q46" s="28"/>
      <c r="R46" s="28"/>
      <c r="S46" s="28"/>
      <c r="T46" s="28"/>
      <c r="U46" s="33"/>
      <c r="V46" s="33"/>
      <c r="W46" s="97"/>
      <c r="X46" s="93"/>
      <c r="Y46" s="33"/>
      <c r="Z46" s="33"/>
      <c r="AA46" s="33"/>
      <c r="AC46" s="34"/>
      <c r="AD46" s="35"/>
      <c r="AE46" s="35"/>
      <c r="AF46" s="34"/>
      <c r="AG46" s="34"/>
      <c r="AH46" s="34"/>
      <c r="AI46" s="34"/>
      <c r="AJ46" s="34"/>
      <c r="AK46" s="34"/>
      <c r="AL46" s="34"/>
      <c r="AM46" s="34"/>
      <c r="AN46" s="36"/>
      <c r="AO46" s="34"/>
      <c r="AP46" s="34"/>
      <c r="AQ46" s="34"/>
      <c r="AR46" s="34"/>
      <c r="AS46" s="34"/>
      <c r="AT46" s="34"/>
      <c r="AU46" s="34"/>
      <c r="AV46" s="34"/>
      <c r="AW46" s="34"/>
      <c r="AX46" s="34"/>
      <c r="AY46" s="34"/>
      <c r="AZ46" s="36"/>
      <c r="BA46" s="28"/>
      <c r="BB46" s="28"/>
      <c r="BD46" s="28"/>
      <c r="BE46" s="28"/>
      <c r="BH46" s="34"/>
      <c r="BI46" s="34"/>
      <c r="BL46" s="28"/>
      <c r="BM46" s="28"/>
      <c r="BO46" s="28"/>
    </row>
    <row r="47" spans="1:67" x14ac:dyDescent="0.25">
      <c r="A47" s="27"/>
      <c r="D47" s="28"/>
      <c r="E47" s="28"/>
      <c r="F47" s="28"/>
      <c r="G47" s="28"/>
      <c r="H47" s="28"/>
      <c r="I47" s="29"/>
      <c r="J47" s="28"/>
      <c r="K47" s="30"/>
      <c r="L47" s="28"/>
      <c r="M47" s="28"/>
      <c r="N47" s="28"/>
      <c r="O47" s="28"/>
      <c r="P47" s="28"/>
      <c r="Q47" s="28"/>
      <c r="R47" s="28"/>
      <c r="S47" s="28"/>
      <c r="T47" s="28"/>
      <c r="U47" s="33"/>
      <c r="V47" s="33"/>
      <c r="W47" s="97"/>
      <c r="X47" s="93"/>
      <c r="Y47" s="33"/>
      <c r="Z47" s="33"/>
      <c r="AA47" s="33"/>
      <c r="AC47" s="34"/>
      <c r="AD47" s="35"/>
      <c r="AE47" s="35"/>
      <c r="AF47" s="34"/>
      <c r="AG47" s="34"/>
      <c r="AH47" s="34"/>
      <c r="AI47" s="34"/>
      <c r="AJ47" s="34"/>
      <c r="AK47" s="34"/>
      <c r="AL47" s="34"/>
      <c r="AM47" s="34"/>
      <c r="AN47" s="36"/>
      <c r="AO47" s="34"/>
      <c r="AP47" s="34"/>
      <c r="AQ47" s="34"/>
      <c r="AR47" s="34"/>
      <c r="AS47" s="34"/>
      <c r="AT47" s="34"/>
      <c r="AU47" s="34"/>
      <c r="AV47" s="34"/>
      <c r="AW47" s="34"/>
      <c r="AX47" s="34"/>
      <c r="AY47" s="34"/>
      <c r="AZ47" s="36"/>
      <c r="BA47" s="28"/>
      <c r="BB47" s="28"/>
      <c r="BD47" s="28"/>
      <c r="BE47" s="28"/>
      <c r="BH47" s="34"/>
      <c r="BI47" s="34"/>
      <c r="BL47" s="28"/>
      <c r="BM47" s="34"/>
      <c r="BO47" s="34"/>
    </row>
    <row r="48" spans="1:67" x14ac:dyDescent="0.25">
      <c r="A48" s="27"/>
      <c r="D48" s="28"/>
      <c r="E48" s="28"/>
      <c r="F48" s="28"/>
      <c r="G48" s="28"/>
      <c r="H48" s="28"/>
      <c r="I48" s="29"/>
      <c r="J48" s="28"/>
      <c r="K48" s="30"/>
      <c r="L48" s="28"/>
      <c r="M48" s="28"/>
      <c r="N48" s="28"/>
      <c r="O48" s="28"/>
      <c r="P48" s="28"/>
      <c r="Q48" s="28"/>
      <c r="R48" s="28"/>
      <c r="S48" s="28"/>
      <c r="T48" s="28"/>
      <c r="U48" s="33"/>
      <c r="V48" s="33"/>
      <c r="W48" s="97"/>
      <c r="X48" s="93"/>
      <c r="Y48" s="33"/>
      <c r="Z48" s="33"/>
      <c r="AA48" s="33"/>
      <c r="AC48" s="34"/>
      <c r="AD48" s="35"/>
      <c r="AE48" s="35"/>
      <c r="AF48" s="34"/>
      <c r="AG48" s="34"/>
      <c r="AH48" s="34"/>
      <c r="AI48" s="34"/>
      <c r="AJ48" s="34"/>
      <c r="AK48" s="34"/>
      <c r="AL48" s="34"/>
      <c r="AM48" s="34"/>
      <c r="AN48" s="36"/>
      <c r="AO48" s="34"/>
      <c r="AP48" s="34"/>
      <c r="AQ48" s="34"/>
      <c r="AR48" s="34"/>
      <c r="AS48" s="34"/>
      <c r="AT48" s="34"/>
      <c r="AU48" s="34"/>
      <c r="AV48" s="34"/>
      <c r="AW48" s="34"/>
      <c r="AX48" s="34"/>
      <c r="AY48" s="34"/>
      <c r="AZ48" s="36"/>
      <c r="BA48" s="28"/>
      <c r="BB48" s="28"/>
      <c r="BD48" s="28"/>
      <c r="BE48" s="28"/>
      <c r="BH48" s="34"/>
      <c r="BI48" s="34"/>
      <c r="BL48" s="28"/>
      <c r="BM48" s="28"/>
      <c r="BO48" s="28"/>
    </row>
    <row r="49" spans="1:67" x14ac:dyDescent="0.25">
      <c r="A49" s="27"/>
      <c r="D49" s="28"/>
      <c r="E49" s="28"/>
      <c r="F49" s="28"/>
      <c r="G49" s="28"/>
      <c r="H49" s="28"/>
      <c r="I49" s="29"/>
      <c r="J49" s="28"/>
      <c r="K49" s="30"/>
      <c r="L49" s="28"/>
      <c r="M49" s="28"/>
      <c r="N49" s="28"/>
      <c r="O49" s="28"/>
      <c r="P49" s="28"/>
      <c r="Q49" s="28"/>
      <c r="R49" s="28"/>
      <c r="S49" s="28"/>
      <c r="T49" s="28"/>
      <c r="U49" s="33"/>
      <c r="V49" s="33"/>
      <c r="W49" s="97"/>
      <c r="X49" s="93"/>
      <c r="Y49" s="33"/>
      <c r="Z49" s="33"/>
      <c r="AA49" s="33"/>
      <c r="AC49" s="34"/>
      <c r="AD49" s="35"/>
      <c r="AE49" s="35"/>
      <c r="AF49" s="34"/>
      <c r="AG49" s="34"/>
      <c r="AH49" s="34"/>
      <c r="AI49" s="34"/>
      <c r="AJ49" s="34"/>
      <c r="AK49" s="34"/>
      <c r="AL49" s="34"/>
      <c r="AM49" s="34"/>
      <c r="AN49" s="36"/>
      <c r="AO49" s="34"/>
      <c r="AP49" s="34"/>
      <c r="AQ49" s="34"/>
      <c r="AR49" s="34"/>
      <c r="AS49" s="34"/>
      <c r="AT49" s="34"/>
      <c r="AU49" s="34"/>
      <c r="AV49" s="34"/>
      <c r="AW49" s="34"/>
      <c r="AX49" s="34"/>
      <c r="AY49" s="34"/>
      <c r="AZ49" s="36"/>
      <c r="BA49" s="28"/>
      <c r="BB49" s="28"/>
      <c r="BD49" s="28"/>
      <c r="BE49" s="28"/>
      <c r="BH49" s="34"/>
      <c r="BI49" s="34"/>
      <c r="BL49" s="28"/>
      <c r="BM49" s="34"/>
      <c r="BO49" s="34"/>
    </row>
    <row r="50" spans="1:67" x14ac:dyDescent="0.25">
      <c r="A50" s="27"/>
      <c r="D50" s="28"/>
      <c r="E50" s="28"/>
      <c r="F50" s="28"/>
      <c r="G50" s="28"/>
      <c r="H50" s="28"/>
      <c r="I50" s="29"/>
      <c r="J50" s="28"/>
      <c r="K50" s="30"/>
      <c r="L50" s="28"/>
      <c r="M50" s="28"/>
      <c r="N50" s="28"/>
      <c r="O50" s="28"/>
      <c r="P50" s="28"/>
      <c r="Q50" s="28"/>
      <c r="R50" s="28"/>
      <c r="S50" s="28"/>
      <c r="T50" s="28"/>
      <c r="U50" s="33"/>
      <c r="V50" s="33"/>
      <c r="W50" s="97"/>
      <c r="X50" s="93"/>
      <c r="Y50" s="33"/>
      <c r="Z50" s="33"/>
      <c r="AA50" s="33"/>
      <c r="AC50" s="34"/>
      <c r="AD50" s="35"/>
      <c r="AE50" s="35"/>
      <c r="AF50" s="34"/>
      <c r="AG50" s="34"/>
      <c r="AH50" s="34"/>
      <c r="AI50" s="34"/>
      <c r="AJ50" s="34"/>
      <c r="AK50" s="34"/>
      <c r="AL50" s="34"/>
      <c r="AM50" s="34"/>
      <c r="AN50" s="36"/>
      <c r="AO50" s="34"/>
      <c r="AP50" s="34"/>
      <c r="AQ50" s="34"/>
      <c r="AR50" s="34"/>
      <c r="AS50" s="34"/>
      <c r="AT50" s="34"/>
      <c r="AU50" s="34"/>
      <c r="AV50" s="34"/>
      <c r="AW50" s="34"/>
      <c r="AX50" s="34"/>
      <c r="AY50" s="34"/>
      <c r="AZ50" s="36"/>
      <c r="BA50" s="28"/>
      <c r="BB50" s="28"/>
      <c r="BD50" s="28"/>
      <c r="BE50" s="28"/>
      <c r="BH50" s="34"/>
      <c r="BI50" s="34"/>
      <c r="BL50" s="28"/>
      <c r="BM50" s="28"/>
      <c r="BO50" s="28"/>
    </row>
    <row r="51" spans="1:67" x14ac:dyDescent="0.25">
      <c r="A51" s="27"/>
      <c r="D51" s="28"/>
      <c r="E51" s="28"/>
      <c r="F51" s="28"/>
      <c r="G51" s="28"/>
      <c r="H51" s="28"/>
      <c r="I51" s="29"/>
      <c r="J51" s="28"/>
      <c r="K51" s="30"/>
      <c r="L51" s="28"/>
      <c r="M51" s="28"/>
      <c r="N51" s="28"/>
      <c r="O51" s="28"/>
      <c r="P51" s="28"/>
      <c r="Q51" s="28"/>
      <c r="R51" s="28"/>
      <c r="S51" s="28"/>
      <c r="T51" s="28"/>
      <c r="U51" s="33"/>
      <c r="V51" s="33"/>
      <c r="W51" s="97"/>
      <c r="X51" s="93"/>
      <c r="Y51" s="33"/>
      <c r="Z51" s="33"/>
      <c r="AA51" s="33"/>
      <c r="AC51" s="34"/>
      <c r="AD51" s="35"/>
      <c r="AE51" s="35"/>
      <c r="AF51" s="34"/>
      <c r="AG51" s="34"/>
      <c r="AH51" s="34"/>
      <c r="AI51" s="34"/>
      <c r="AJ51" s="34"/>
      <c r="AK51" s="34"/>
      <c r="AL51" s="34"/>
      <c r="AM51" s="34"/>
      <c r="AN51" s="36"/>
      <c r="AO51" s="34"/>
      <c r="AP51" s="34"/>
      <c r="AQ51" s="34"/>
      <c r="AR51" s="34"/>
      <c r="AS51" s="34"/>
      <c r="AT51" s="34"/>
      <c r="AU51" s="34"/>
      <c r="AV51" s="34"/>
      <c r="AW51" s="34"/>
      <c r="AX51" s="34"/>
      <c r="AY51" s="34"/>
      <c r="AZ51" s="36"/>
      <c r="BA51" s="28"/>
      <c r="BB51" s="28"/>
      <c r="BD51" s="28"/>
      <c r="BE51" s="28"/>
      <c r="BH51" s="34"/>
      <c r="BI51" s="34"/>
      <c r="BL51" s="28"/>
      <c r="BM51" s="28"/>
      <c r="BO51" s="28"/>
    </row>
    <row r="52" spans="1:67" x14ac:dyDescent="0.25">
      <c r="A52" s="27"/>
      <c r="D52" s="28"/>
      <c r="E52" s="28"/>
      <c r="F52" s="28"/>
      <c r="G52" s="28"/>
      <c r="H52" s="28"/>
      <c r="I52" s="29"/>
      <c r="J52" s="28"/>
      <c r="K52" s="30"/>
      <c r="L52" s="28"/>
      <c r="M52" s="28"/>
      <c r="N52" s="28"/>
      <c r="O52" s="28"/>
      <c r="P52" s="28"/>
      <c r="Q52" s="28"/>
      <c r="R52" s="28"/>
      <c r="S52" s="28"/>
      <c r="T52" s="28"/>
      <c r="U52" s="33"/>
      <c r="V52" s="33"/>
      <c r="W52" s="97"/>
      <c r="X52" s="93"/>
      <c r="Y52" s="33"/>
      <c r="Z52" s="33"/>
      <c r="AA52" s="33"/>
      <c r="AC52" s="34"/>
      <c r="AD52" s="35"/>
      <c r="AE52" s="35"/>
      <c r="AF52" s="34"/>
      <c r="AG52" s="34"/>
      <c r="AH52" s="34"/>
      <c r="AI52" s="34"/>
      <c r="AJ52" s="34"/>
      <c r="AK52" s="34"/>
      <c r="AL52" s="34"/>
      <c r="AM52" s="34"/>
      <c r="AN52" s="36"/>
      <c r="AO52" s="34"/>
      <c r="AP52" s="34"/>
      <c r="AQ52" s="34"/>
      <c r="AR52" s="34"/>
      <c r="AS52" s="34"/>
      <c r="AT52" s="34"/>
      <c r="AU52" s="34"/>
      <c r="AV52" s="34"/>
      <c r="AW52" s="34"/>
      <c r="AX52" s="34"/>
      <c r="AY52" s="34"/>
      <c r="AZ52" s="36"/>
      <c r="BA52" s="28"/>
      <c r="BB52" s="28"/>
      <c r="BD52" s="28"/>
      <c r="BE52" s="28"/>
      <c r="BH52" s="34"/>
      <c r="BI52" s="34"/>
      <c r="BL52" s="28"/>
      <c r="BM52" s="28"/>
      <c r="BO52" s="28"/>
    </row>
    <row r="53" spans="1:67" x14ac:dyDescent="0.25">
      <c r="A53" s="27"/>
      <c r="D53" s="28"/>
      <c r="E53" s="28"/>
      <c r="F53" s="28"/>
      <c r="G53" s="28"/>
      <c r="H53" s="28"/>
      <c r="I53" s="29"/>
      <c r="J53" s="28"/>
      <c r="K53" s="30"/>
      <c r="L53" s="28"/>
      <c r="M53" s="28"/>
      <c r="N53" s="28"/>
      <c r="O53" s="28"/>
      <c r="P53" s="28"/>
      <c r="Q53" s="28"/>
      <c r="R53" s="28"/>
      <c r="S53" s="28"/>
      <c r="T53" s="28"/>
      <c r="U53" s="33"/>
      <c r="V53" s="33"/>
      <c r="W53" s="97"/>
      <c r="X53" s="93"/>
      <c r="Y53" s="33"/>
      <c r="Z53" s="33"/>
      <c r="AA53" s="33"/>
      <c r="AC53" s="34"/>
      <c r="AD53" s="35"/>
      <c r="AE53" s="35"/>
      <c r="AF53" s="34"/>
      <c r="AG53" s="34"/>
      <c r="AH53" s="34"/>
      <c r="AI53" s="34"/>
      <c r="AJ53" s="34"/>
      <c r="AK53" s="34"/>
      <c r="AL53" s="34"/>
      <c r="AM53" s="34"/>
      <c r="AN53" s="36"/>
      <c r="AO53" s="34"/>
      <c r="AP53" s="34"/>
      <c r="AQ53" s="34"/>
      <c r="AR53" s="34"/>
      <c r="AS53" s="34"/>
      <c r="AT53" s="34"/>
      <c r="AU53" s="34"/>
      <c r="AV53" s="34"/>
      <c r="AW53" s="34"/>
      <c r="AX53" s="34"/>
      <c r="AY53" s="34"/>
      <c r="AZ53" s="36"/>
      <c r="BA53" s="28"/>
      <c r="BB53" s="28"/>
      <c r="BD53" s="28"/>
      <c r="BE53" s="28"/>
      <c r="BH53" s="34"/>
      <c r="BI53" s="34"/>
      <c r="BL53" s="28"/>
      <c r="BM53" s="28"/>
      <c r="BO53" s="28"/>
    </row>
    <row r="54" spans="1:67" x14ac:dyDescent="0.25">
      <c r="A54" s="27"/>
      <c r="D54" s="28"/>
      <c r="E54" s="28"/>
      <c r="F54" s="28"/>
      <c r="G54" s="28"/>
      <c r="H54" s="28"/>
      <c r="I54" s="29"/>
      <c r="J54" s="28"/>
      <c r="K54" s="30"/>
      <c r="L54" s="28"/>
      <c r="M54" s="28"/>
      <c r="N54" s="28"/>
      <c r="O54" s="28"/>
      <c r="P54" s="28"/>
      <c r="Q54" s="28"/>
      <c r="R54" s="28"/>
      <c r="S54" s="28"/>
      <c r="T54" s="28"/>
      <c r="U54" s="33"/>
      <c r="V54" s="33"/>
      <c r="W54" s="97"/>
      <c r="X54" s="93"/>
      <c r="Y54" s="33"/>
      <c r="Z54" s="33"/>
      <c r="AA54" s="33"/>
      <c r="AC54" s="34"/>
      <c r="AD54" s="35"/>
      <c r="AE54" s="35"/>
      <c r="AF54" s="34"/>
      <c r="AG54" s="34"/>
      <c r="AH54" s="34"/>
      <c r="AI54" s="34"/>
      <c r="AJ54" s="34"/>
      <c r="AK54" s="34"/>
      <c r="AL54" s="34"/>
      <c r="AM54" s="34"/>
      <c r="AN54" s="36"/>
      <c r="AO54" s="34"/>
      <c r="AP54" s="34"/>
      <c r="AQ54" s="34"/>
      <c r="AR54" s="34"/>
      <c r="AS54" s="34"/>
      <c r="AT54" s="34"/>
      <c r="AU54" s="34"/>
      <c r="AV54" s="34"/>
      <c r="AW54" s="34"/>
      <c r="AX54" s="34"/>
      <c r="AY54" s="34"/>
      <c r="AZ54" s="36"/>
      <c r="BA54" s="28"/>
      <c r="BB54" s="28"/>
      <c r="BD54" s="28"/>
      <c r="BE54" s="28"/>
      <c r="BH54" s="34"/>
      <c r="BI54" s="34"/>
      <c r="BL54" s="28"/>
      <c r="BM54" s="28"/>
      <c r="BO54" s="28"/>
    </row>
    <row r="55" spans="1:67" x14ac:dyDescent="0.25">
      <c r="A55" s="27"/>
      <c r="D55" s="28"/>
      <c r="E55" s="28"/>
      <c r="F55" s="28"/>
      <c r="G55" s="28"/>
      <c r="H55" s="28"/>
      <c r="I55" s="29"/>
      <c r="J55" s="28"/>
      <c r="K55" s="30"/>
      <c r="L55" s="28"/>
      <c r="M55" s="28"/>
      <c r="N55" s="28"/>
      <c r="O55" s="28"/>
      <c r="P55" s="28"/>
      <c r="Q55" s="28"/>
      <c r="R55" s="28"/>
      <c r="S55" s="28"/>
      <c r="T55" s="28"/>
      <c r="U55" s="33"/>
      <c r="V55" s="33"/>
      <c r="W55" s="97"/>
      <c r="X55" s="93"/>
      <c r="Y55" s="33"/>
      <c r="Z55" s="33"/>
      <c r="AA55" s="33"/>
      <c r="AC55" s="34"/>
      <c r="AD55" s="35"/>
      <c r="AE55" s="35"/>
      <c r="AF55" s="34"/>
      <c r="AG55" s="34"/>
      <c r="AH55" s="34"/>
      <c r="AI55" s="34"/>
      <c r="AJ55" s="34"/>
      <c r="AK55" s="34"/>
      <c r="AL55" s="34"/>
      <c r="AM55" s="34"/>
      <c r="AN55" s="36"/>
      <c r="AO55" s="34"/>
      <c r="AP55" s="34"/>
      <c r="AQ55" s="34"/>
      <c r="AR55" s="34"/>
      <c r="AS55" s="34"/>
      <c r="AT55" s="34"/>
      <c r="AU55" s="34"/>
      <c r="AV55" s="34"/>
      <c r="AW55" s="34"/>
      <c r="AX55" s="34"/>
      <c r="AY55" s="34"/>
      <c r="AZ55" s="36"/>
      <c r="BA55" s="28"/>
      <c r="BB55" s="28"/>
      <c r="BD55" s="28"/>
      <c r="BE55" s="28"/>
      <c r="BH55" s="34"/>
      <c r="BI55" s="34"/>
      <c r="BL55" s="28"/>
      <c r="BM55" s="28"/>
      <c r="BO55" s="28"/>
    </row>
    <row r="56" spans="1:67" x14ac:dyDescent="0.25">
      <c r="A56" s="27"/>
      <c r="D56" s="28"/>
      <c r="E56" s="28"/>
      <c r="F56" s="28"/>
      <c r="G56" s="28"/>
      <c r="H56" s="28"/>
      <c r="I56" s="29"/>
      <c r="J56" s="28"/>
      <c r="K56" s="30"/>
      <c r="L56" s="28"/>
      <c r="M56" s="28"/>
      <c r="N56" s="28"/>
      <c r="O56" s="28"/>
      <c r="P56" s="28"/>
      <c r="Q56" s="28"/>
      <c r="R56" s="28"/>
      <c r="S56" s="28"/>
      <c r="T56" s="28"/>
      <c r="U56" s="33"/>
      <c r="V56" s="33"/>
      <c r="W56" s="97"/>
      <c r="X56" s="93"/>
      <c r="Y56" s="33"/>
      <c r="Z56" s="33"/>
      <c r="AA56" s="33"/>
      <c r="AC56" s="34"/>
      <c r="AD56" s="35"/>
      <c r="AE56" s="35"/>
      <c r="AF56" s="34"/>
      <c r="AG56" s="34"/>
      <c r="AH56" s="34"/>
      <c r="AI56" s="34"/>
      <c r="AJ56" s="34"/>
      <c r="AK56" s="34"/>
      <c r="AL56" s="34"/>
      <c r="AM56" s="34"/>
      <c r="AN56" s="36"/>
      <c r="AO56" s="34"/>
      <c r="AP56" s="34"/>
      <c r="AQ56" s="34"/>
      <c r="AR56" s="34"/>
      <c r="AS56" s="34"/>
      <c r="AT56" s="34"/>
      <c r="AU56" s="34"/>
      <c r="AV56" s="34"/>
      <c r="AW56" s="34"/>
      <c r="AX56" s="34"/>
      <c r="AY56" s="34"/>
      <c r="AZ56" s="36"/>
      <c r="BA56" s="28"/>
      <c r="BB56" s="28"/>
      <c r="BD56" s="28"/>
      <c r="BE56" s="28"/>
      <c r="BH56" s="34"/>
      <c r="BI56" s="34"/>
      <c r="BL56" s="28"/>
      <c r="BM56" s="28"/>
      <c r="BO56" s="28"/>
    </row>
    <row r="57" spans="1:67" x14ac:dyDescent="0.25">
      <c r="A57" s="27"/>
      <c r="D57" s="28"/>
      <c r="E57" s="28"/>
      <c r="F57" s="28"/>
      <c r="G57" s="28"/>
      <c r="H57" s="28"/>
      <c r="I57" s="29"/>
      <c r="J57" s="28"/>
      <c r="K57" s="30"/>
      <c r="L57" s="28"/>
      <c r="M57" s="28"/>
      <c r="N57" s="28"/>
      <c r="O57" s="28"/>
      <c r="P57" s="28"/>
      <c r="Q57" s="28"/>
      <c r="R57" s="28"/>
      <c r="S57" s="28"/>
      <c r="T57" s="28"/>
      <c r="U57" s="33"/>
      <c r="V57" s="33"/>
      <c r="W57" s="97"/>
      <c r="X57" s="93"/>
      <c r="Y57" s="33"/>
      <c r="Z57" s="33"/>
      <c r="AA57" s="33"/>
      <c r="AC57" s="34"/>
      <c r="AD57" s="35"/>
      <c r="AE57" s="35"/>
      <c r="AF57" s="34"/>
      <c r="AG57" s="34"/>
      <c r="AH57" s="34"/>
      <c r="AI57" s="34"/>
      <c r="AJ57" s="34"/>
      <c r="AK57" s="34"/>
      <c r="AL57" s="34"/>
      <c r="AM57" s="34"/>
      <c r="AN57" s="36"/>
      <c r="AO57" s="34"/>
      <c r="AP57" s="34"/>
      <c r="AQ57" s="34"/>
      <c r="AR57" s="34"/>
      <c r="AS57" s="34"/>
      <c r="AT57" s="34"/>
      <c r="AU57" s="34"/>
      <c r="AV57" s="34"/>
      <c r="AW57" s="34"/>
      <c r="AX57" s="34"/>
      <c r="AY57" s="34"/>
      <c r="AZ57" s="36"/>
      <c r="BA57" s="28"/>
      <c r="BB57" s="28"/>
      <c r="BD57" s="28"/>
      <c r="BE57" s="28"/>
      <c r="BH57" s="34"/>
      <c r="BI57" s="34"/>
      <c r="BL57" s="28"/>
      <c r="BM57" s="28"/>
      <c r="BO57" s="28"/>
    </row>
    <row r="58" spans="1:67" x14ac:dyDescent="0.25">
      <c r="A58" s="27"/>
      <c r="D58" s="28"/>
      <c r="E58" s="28"/>
      <c r="F58" s="28"/>
      <c r="G58" s="28"/>
      <c r="H58" s="28"/>
      <c r="I58" s="29"/>
      <c r="J58" s="28"/>
      <c r="K58" s="30"/>
      <c r="L58" s="28"/>
      <c r="M58" s="28"/>
      <c r="N58" s="28"/>
      <c r="O58" s="28"/>
      <c r="P58" s="28"/>
      <c r="Q58" s="28"/>
      <c r="R58" s="28"/>
      <c r="S58" s="28"/>
      <c r="T58" s="28"/>
      <c r="U58" s="33"/>
      <c r="V58" s="33"/>
      <c r="W58" s="97"/>
      <c r="X58" s="93"/>
      <c r="Y58" s="33"/>
      <c r="Z58" s="33"/>
      <c r="AA58" s="33"/>
      <c r="AC58" s="34"/>
      <c r="AD58" s="35"/>
      <c r="AE58" s="35"/>
      <c r="AF58" s="34"/>
      <c r="AG58" s="34"/>
      <c r="AH58" s="34"/>
      <c r="AI58" s="34"/>
      <c r="AJ58" s="34"/>
      <c r="AK58" s="34"/>
      <c r="AL58" s="34"/>
      <c r="AM58" s="34"/>
      <c r="AN58" s="36"/>
      <c r="AO58" s="34"/>
      <c r="AP58" s="34"/>
      <c r="AQ58" s="34"/>
      <c r="AR58" s="34"/>
      <c r="AS58" s="34"/>
      <c r="AT58" s="34"/>
      <c r="AU58" s="34"/>
      <c r="AV58" s="34"/>
      <c r="AW58" s="34"/>
      <c r="AX58" s="34"/>
      <c r="AY58" s="34"/>
      <c r="AZ58" s="36"/>
      <c r="BA58" s="28"/>
      <c r="BB58" s="28"/>
      <c r="BD58" s="28"/>
      <c r="BE58" s="28"/>
      <c r="BH58" s="34"/>
      <c r="BI58" s="34"/>
      <c r="BL58" s="28"/>
      <c r="BM58" s="28"/>
      <c r="BO58" s="28"/>
    </row>
    <row r="59" spans="1:67" x14ac:dyDescent="0.25">
      <c r="A59" s="27"/>
      <c r="D59" s="28"/>
      <c r="E59" s="28"/>
      <c r="F59" s="28"/>
      <c r="G59" s="28"/>
      <c r="H59" s="28"/>
      <c r="I59" s="29"/>
      <c r="J59" s="28"/>
      <c r="K59" s="30"/>
      <c r="L59" s="28"/>
      <c r="M59" s="28"/>
      <c r="N59" s="28"/>
      <c r="O59" s="28"/>
      <c r="P59" s="28"/>
      <c r="Q59" s="28"/>
      <c r="R59" s="28"/>
      <c r="S59" s="28"/>
      <c r="T59" s="28"/>
      <c r="U59" s="33"/>
      <c r="V59" s="33"/>
      <c r="W59" s="97"/>
      <c r="X59" s="93"/>
      <c r="Y59" s="33"/>
      <c r="Z59" s="33"/>
      <c r="AA59" s="33"/>
      <c r="AC59" s="34"/>
      <c r="AD59" s="35"/>
      <c r="AE59" s="35"/>
      <c r="AF59" s="34"/>
      <c r="AG59" s="34"/>
      <c r="AH59" s="34"/>
      <c r="AI59" s="34"/>
      <c r="AJ59" s="34"/>
      <c r="AK59" s="34"/>
      <c r="AL59" s="34"/>
      <c r="AM59" s="34"/>
      <c r="AN59" s="36"/>
      <c r="AO59" s="34"/>
      <c r="AP59" s="34"/>
      <c r="AQ59" s="34"/>
      <c r="AR59" s="34"/>
      <c r="AS59" s="34"/>
      <c r="AT59" s="34"/>
      <c r="AU59" s="34"/>
      <c r="AV59" s="34"/>
      <c r="AW59" s="34"/>
      <c r="AX59" s="34"/>
      <c r="AY59" s="34"/>
      <c r="AZ59" s="36"/>
      <c r="BA59" s="28"/>
      <c r="BB59" s="28"/>
      <c r="BD59" s="28"/>
      <c r="BE59" s="28"/>
      <c r="BH59" s="34"/>
      <c r="BI59" s="34"/>
      <c r="BL59" s="28"/>
      <c r="BM59" s="28"/>
      <c r="BO59" s="28"/>
    </row>
    <row r="60" spans="1:67" x14ac:dyDescent="0.25">
      <c r="A60" s="27"/>
      <c r="D60" s="28"/>
      <c r="E60" s="28"/>
      <c r="F60" s="28"/>
      <c r="G60" s="28"/>
      <c r="H60" s="28"/>
      <c r="I60" s="29"/>
      <c r="J60" s="28"/>
      <c r="K60" s="30"/>
      <c r="L60" s="28"/>
      <c r="M60" s="28"/>
      <c r="N60" s="28"/>
      <c r="O60" s="28"/>
      <c r="P60" s="28"/>
      <c r="Q60" s="28"/>
      <c r="R60" s="28"/>
      <c r="S60" s="28"/>
      <c r="T60" s="28"/>
      <c r="U60" s="33"/>
      <c r="V60" s="33"/>
      <c r="W60" s="97"/>
      <c r="X60" s="93"/>
      <c r="Y60" s="33"/>
      <c r="Z60" s="33"/>
      <c r="AA60" s="33"/>
      <c r="AC60" s="34"/>
      <c r="AD60" s="35"/>
      <c r="AE60" s="35"/>
      <c r="AF60" s="34"/>
      <c r="AG60" s="34"/>
      <c r="AH60" s="34"/>
      <c r="AI60" s="34"/>
      <c r="AJ60" s="34"/>
      <c r="AK60" s="34"/>
      <c r="AL60" s="34"/>
      <c r="AM60" s="34"/>
      <c r="AN60" s="36"/>
      <c r="AO60" s="34"/>
      <c r="AP60" s="34"/>
      <c r="AQ60" s="34"/>
      <c r="AR60" s="34"/>
      <c r="AS60" s="34"/>
      <c r="AT60" s="34"/>
      <c r="AU60" s="34"/>
      <c r="AV60" s="34"/>
      <c r="AW60" s="34"/>
      <c r="AX60" s="34"/>
      <c r="AY60" s="34"/>
      <c r="AZ60" s="36"/>
      <c r="BA60" s="28"/>
      <c r="BB60" s="28"/>
      <c r="BD60" s="28"/>
      <c r="BE60" s="28"/>
      <c r="BH60" s="34"/>
      <c r="BI60" s="34"/>
      <c r="BL60" s="28"/>
      <c r="BM60" s="28"/>
      <c r="BO60" s="28"/>
    </row>
    <row r="61" spans="1:67" x14ac:dyDescent="0.25">
      <c r="A61" s="27"/>
      <c r="D61" s="28"/>
      <c r="E61" s="28"/>
      <c r="F61" s="28"/>
      <c r="G61" s="28"/>
      <c r="H61" s="28"/>
      <c r="I61" s="29"/>
      <c r="J61" s="28"/>
      <c r="K61" s="30"/>
      <c r="L61" s="28"/>
      <c r="M61" s="28"/>
      <c r="N61" s="28"/>
      <c r="O61" s="28"/>
      <c r="P61" s="28"/>
      <c r="Q61" s="28"/>
      <c r="R61" s="28"/>
      <c r="S61" s="28"/>
      <c r="T61" s="28"/>
      <c r="U61" s="33"/>
      <c r="V61" s="33"/>
      <c r="W61" s="97"/>
      <c r="X61" s="93"/>
      <c r="Y61" s="33"/>
      <c r="Z61" s="33"/>
      <c r="AA61" s="33"/>
      <c r="AC61" s="34"/>
      <c r="AD61" s="35"/>
      <c r="AE61" s="35"/>
      <c r="AF61" s="34"/>
      <c r="AG61" s="34"/>
      <c r="AH61" s="34"/>
      <c r="AI61" s="34"/>
      <c r="AJ61" s="34"/>
      <c r="AK61" s="34"/>
      <c r="AL61" s="34"/>
      <c r="AM61" s="34"/>
      <c r="AN61" s="36"/>
      <c r="AO61" s="34"/>
      <c r="AP61" s="34"/>
      <c r="AQ61" s="34"/>
      <c r="AR61" s="34"/>
      <c r="AS61" s="34"/>
      <c r="AT61" s="34"/>
      <c r="AU61" s="34"/>
      <c r="AV61" s="34"/>
      <c r="AW61" s="34"/>
      <c r="AX61" s="34"/>
      <c r="AY61" s="34"/>
      <c r="AZ61" s="36"/>
      <c r="BA61" s="28"/>
      <c r="BB61" s="28"/>
      <c r="BD61" s="28"/>
      <c r="BE61" s="28"/>
      <c r="BH61" s="34"/>
      <c r="BI61" s="34"/>
      <c r="BL61" s="28"/>
      <c r="BM61" s="28"/>
      <c r="BO61" s="28"/>
    </row>
    <row r="62" spans="1:67" x14ac:dyDescent="0.25">
      <c r="A62" s="27"/>
      <c r="D62" s="28"/>
      <c r="E62" s="28"/>
      <c r="F62" s="28"/>
      <c r="G62" s="28"/>
      <c r="H62" s="28"/>
      <c r="I62" s="29"/>
      <c r="J62" s="28"/>
      <c r="K62" s="30"/>
      <c r="L62" s="28"/>
      <c r="M62" s="28"/>
      <c r="N62" s="28"/>
      <c r="O62" s="28"/>
      <c r="P62" s="28"/>
      <c r="Q62" s="28"/>
      <c r="R62" s="28"/>
      <c r="S62" s="28"/>
      <c r="T62" s="28"/>
      <c r="U62" s="33"/>
      <c r="V62" s="33"/>
      <c r="W62" s="97"/>
      <c r="X62" s="93"/>
      <c r="Y62" s="33"/>
      <c r="Z62" s="33"/>
      <c r="AA62" s="33"/>
      <c r="AC62" s="34"/>
      <c r="AD62" s="35"/>
      <c r="AE62" s="35"/>
      <c r="AF62" s="34"/>
      <c r="AG62" s="34"/>
      <c r="AH62" s="34"/>
      <c r="AI62" s="34"/>
      <c r="AJ62" s="34"/>
      <c r="AK62" s="34"/>
      <c r="AL62" s="34"/>
      <c r="AM62" s="34"/>
      <c r="AN62" s="36"/>
      <c r="AO62" s="34"/>
      <c r="AP62" s="34"/>
      <c r="AQ62" s="34"/>
      <c r="AR62" s="34"/>
      <c r="AS62" s="34"/>
      <c r="AT62" s="34"/>
      <c r="AU62" s="34"/>
      <c r="AV62" s="34"/>
      <c r="AW62" s="34"/>
      <c r="AX62" s="34"/>
      <c r="AY62" s="34"/>
      <c r="AZ62" s="36"/>
      <c r="BA62" s="28"/>
      <c r="BB62" s="28"/>
      <c r="BD62" s="28"/>
      <c r="BE62" s="28"/>
      <c r="BH62" s="34"/>
      <c r="BI62" s="34"/>
      <c r="BL62" s="28"/>
      <c r="BM62" s="28"/>
      <c r="BO62" s="28"/>
    </row>
    <row r="63" spans="1:67" x14ac:dyDescent="0.25">
      <c r="A63" s="27"/>
      <c r="D63" s="28"/>
      <c r="E63" s="28"/>
      <c r="F63" s="28"/>
      <c r="G63" s="28"/>
      <c r="H63" s="28"/>
      <c r="I63" s="29"/>
      <c r="J63" s="28"/>
      <c r="K63" s="30"/>
      <c r="L63" s="28"/>
      <c r="M63" s="28"/>
      <c r="N63" s="28"/>
      <c r="O63" s="28"/>
      <c r="P63" s="28"/>
      <c r="Q63" s="28"/>
      <c r="R63" s="28"/>
      <c r="S63" s="28"/>
      <c r="T63" s="28"/>
      <c r="U63" s="33"/>
      <c r="V63" s="33"/>
      <c r="W63" s="97"/>
      <c r="X63" s="93"/>
      <c r="Y63" s="33"/>
      <c r="Z63" s="33"/>
      <c r="AA63" s="33"/>
      <c r="AC63" s="34"/>
      <c r="AD63" s="35"/>
      <c r="AE63" s="35"/>
      <c r="AF63" s="34"/>
      <c r="AG63" s="34"/>
      <c r="AH63" s="34"/>
      <c r="AI63" s="34"/>
      <c r="AJ63" s="34"/>
      <c r="AK63" s="34"/>
      <c r="AL63" s="34"/>
      <c r="AM63" s="34"/>
      <c r="AN63" s="36"/>
      <c r="AO63" s="34"/>
      <c r="AP63" s="34"/>
      <c r="AQ63" s="34"/>
      <c r="AR63" s="34"/>
      <c r="AS63" s="34"/>
      <c r="AT63" s="34"/>
      <c r="AU63" s="34"/>
      <c r="AV63" s="34"/>
      <c r="AW63" s="34"/>
      <c r="AX63" s="34"/>
      <c r="AY63" s="34"/>
      <c r="AZ63" s="36"/>
      <c r="BA63" s="28"/>
      <c r="BB63" s="28"/>
      <c r="BD63" s="28"/>
      <c r="BE63" s="28"/>
      <c r="BH63" s="34"/>
      <c r="BI63" s="34"/>
      <c r="BL63" s="28"/>
      <c r="BM63" s="28"/>
      <c r="BO63" s="28"/>
    </row>
    <row r="64" spans="1:67" x14ac:dyDescent="0.25">
      <c r="A64" s="27"/>
      <c r="D64" s="28"/>
      <c r="E64" s="28"/>
      <c r="F64" s="28"/>
      <c r="G64" s="28"/>
      <c r="H64" s="28"/>
      <c r="I64" s="29"/>
      <c r="J64" s="28"/>
      <c r="K64" s="30"/>
      <c r="L64" s="28"/>
      <c r="M64" s="28"/>
      <c r="N64" s="28"/>
      <c r="O64" s="28"/>
      <c r="P64" s="28"/>
      <c r="Q64" s="28"/>
      <c r="R64" s="28"/>
      <c r="S64" s="28"/>
      <c r="T64" s="28"/>
      <c r="U64" s="33"/>
      <c r="V64" s="33"/>
      <c r="W64" s="97"/>
      <c r="X64" s="93"/>
      <c r="Y64" s="33"/>
      <c r="Z64" s="33"/>
      <c r="AA64" s="33"/>
      <c r="AC64" s="34"/>
      <c r="AD64" s="35"/>
      <c r="AE64" s="35"/>
      <c r="AF64" s="34"/>
      <c r="AG64" s="34"/>
      <c r="AH64" s="34"/>
      <c r="AI64" s="34"/>
      <c r="AJ64" s="34"/>
      <c r="AK64" s="34"/>
      <c r="AL64" s="34"/>
      <c r="AM64" s="34"/>
      <c r="AN64" s="36"/>
      <c r="AO64" s="34"/>
      <c r="AP64" s="34"/>
      <c r="AQ64" s="34"/>
      <c r="AR64" s="34"/>
      <c r="AS64" s="34"/>
      <c r="AT64" s="34"/>
      <c r="AU64" s="34"/>
      <c r="AV64" s="34"/>
      <c r="AW64" s="34"/>
      <c r="AX64" s="34"/>
      <c r="AY64" s="34"/>
      <c r="AZ64" s="36"/>
      <c r="BA64" s="28"/>
      <c r="BB64" s="28"/>
      <c r="BD64" s="28"/>
      <c r="BE64" s="28"/>
      <c r="BH64" s="34"/>
      <c r="BI64" s="34"/>
      <c r="BL64" s="28"/>
      <c r="BM64" s="28"/>
      <c r="BO64" s="28"/>
    </row>
    <row r="65" spans="1:67" x14ac:dyDescent="0.25">
      <c r="A65" s="27"/>
      <c r="D65" s="28"/>
      <c r="E65" s="28"/>
      <c r="F65" s="28"/>
      <c r="G65" s="28"/>
      <c r="H65" s="28"/>
      <c r="I65" s="29"/>
      <c r="J65" s="28"/>
      <c r="K65" s="30"/>
      <c r="L65" s="28"/>
      <c r="M65" s="28"/>
      <c r="N65" s="28"/>
      <c r="O65" s="28"/>
      <c r="P65" s="28"/>
      <c r="Q65" s="28"/>
      <c r="R65" s="28"/>
      <c r="S65" s="28"/>
      <c r="T65" s="28"/>
      <c r="U65" s="33"/>
      <c r="V65" s="33"/>
      <c r="W65" s="97"/>
      <c r="X65" s="93"/>
      <c r="Y65" s="33"/>
      <c r="Z65" s="33"/>
      <c r="AA65" s="33"/>
      <c r="AC65" s="34"/>
      <c r="AD65" s="35"/>
      <c r="AE65" s="35"/>
      <c r="AF65" s="34"/>
      <c r="AG65" s="34"/>
      <c r="AH65" s="34"/>
      <c r="AI65" s="34"/>
      <c r="AJ65" s="34"/>
      <c r="AK65" s="34"/>
      <c r="AL65" s="34"/>
      <c r="AM65" s="34"/>
      <c r="AN65" s="36"/>
      <c r="AO65" s="34"/>
      <c r="AP65" s="34"/>
      <c r="AQ65" s="34"/>
      <c r="AR65" s="34"/>
      <c r="AS65" s="34"/>
      <c r="AT65" s="34"/>
      <c r="AU65" s="34"/>
      <c r="AV65" s="34"/>
      <c r="AW65" s="34"/>
      <c r="AX65" s="34"/>
      <c r="AY65" s="34"/>
      <c r="AZ65" s="36"/>
      <c r="BA65" s="28"/>
      <c r="BB65" s="28"/>
      <c r="BD65" s="28"/>
      <c r="BE65" s="28"/>
      <c r="BH65" s="34"/>
      <c r="BI65" s="34"/>
      <c r="BL65" s="28"/>
      <c r="BM65" s="28"/>
      <c r="BO65" s="28"/>
    </row>
    <row r="66" spans="1:67" x14ac:dyDescent="0.25">
      <c r="A66" s="27"/>
      <c r="D66" s="28"/>
      <c r="E66" s="28"/>
      <c r="F66" s="28"/>
      <c r="G66" s="28"/>
      <c r="H66" s="28"/>
      <c r="I66" s="29"/>
      <c r="J66" s="28"/>
      <c r="K66" s="30"/>
      <c r="L66" s="28"/>
      <c r="M66" s="28"/>
      <c r="N66" s="28"/>
      <c r="O66" s="28"/>
      <c r="P66" s="28"/>
      <c r="Q66" s="28"/>
      <c r="R66" s="28"/>
      <c r="S66" s="28"/>
      <c r="T66" s="28"/>
      <c r="U66" s="33"/>
      <c r="V66" s="33"/>
      <c r="W66" s="97"/>
      <c r="X66" s="93"/>
      <c r="Y66" s="33"/>
      <c r="Z66" s="33"/>
      <c r="AA66" s="33"/>
      <c r="AC66" s="34"/>
      <c r="AD66" s="35"/>
      <c r="AE66" s="35"/>
      <c r="AF66" s="34"/>
      <c r="AG66" s="34"/>
      <c r="AH66" s="34"/>
      <c r="AI66" s="34"/>
      <c r="AJ66" s="34"/>
      <c r="AK66" s="34"/>
      <c r="AL66" s="34"/>
      <c r="AM66" s="34"/>
      <c r="AN66" s="36"/>
      <c r="AO66" s="34"/>
      <c r="AP66" s="34"/>
      <c r="AQ66" s="34"/>
      <c r="AR66" s="34"/>
      <c r="AS66" s="34"/>
      <c r="AT66" s="34"/>
      <c r="AU66" s="34"/>
      <c r="AV66" s="34"/>
      <c r="AW66" s="34"/>
      <c r="AX66" s="34"/>
      <c r="AY66" s="34"/>
      <c r="AZ66" s="36"/>
      <c r="BA66" s="28"/>
      <c r="BB66" s="28"/>
      <c r="BD66" s="28"/>
      <c r="BE66" s="28"/>
      <c r="BH66" s="34"/>
      <c r="BI66" s="34"/>
      <c r="BL66" s="28"/>
      <c r="BM66" s="28"/>
      <c r="BO66" s="28"/>
    </row>
    <row r="67" spans="1:67" x14ac:dyDescent="0.25">
      <c r="A67" s="27"/>
      <c r="D67" s="28"/>
      <c r="E67" s="28"/>
      <c r="F67" s="28"/>
      <c r="G67" s="28"/>
      <c r="H67" s="28"/>
      <c r="I67" s="29"/>
      <c r="J67" s="28"/>
      <c r="K67" s="30"/>
      <c r="L67" s="28"/>
      <c r="M67" s="28"/>
      <c r="N67" s="28"/>
      <c r="O67" s="28"/>
      <c r="P67" s="28"/>
      <c r="Q67" s="28"/>
      <c r="R67" s="28"/>
      <c r="S67" s="28"/>
      <c r="T67" s="28"/>
      <c r="U67" s="33"/>
      <c r="V67" s="33"/>
      <c r="W67" s="97"/>
      <c r="X67" s="93"/>
      <c r="Y67" s="33"/>
      <c r="Z67" s="33"/>
      <c r="AA67" s="33"/>
      <c r="AC67" s="34"/>
      <c r="AD67" s="35"/>
      <c r="AE67" s="35"/>
      <c r="AF67" s="34"/>
      <c r="AG67" s="34"/>
      <c r="AH67" s="34"/>
      <c r="AI67" s="34"/>
      <c r="AJ67" s="34"/>
      <c r="AK67" s="34"/>
      <c r="AL67" s="34"/>
      <c r="AM67" s="34"/>
      <c r="AN67" s="36"/>
      <c r="AO67" s="34"/>
      <c r="AP67" s="34"/>
      <c r="AQ67" s="34"/>
      <c r="AR67" s="34"/>
      <c r="AS67" s="34"/>
      <c r="AT67" s="34"/>
      <c r="AU67" s="34"/>
      <c r="AV67" s="34"/>
      <c r="AW67" s="34"/>
      <c r="AX67" s="34"/>
      <c r="AY67" s="34"/>
      <c r="AZ67" s="36"/>
      <c r="BA67" s="28"/>
      <c r="BB67" s="28"/>
      <c r="BD67" s="28"/>
      <c r="BE67" s="28"/>
      <c r="BH67" s="34"/>
      <c r="BI67" s="34"/>
      <c r="BL67" s="28"/>
      <c r="BM67" s="28"/>
      <c r="BO67" s="28"/>
    </row>
    <row r="68" spans="1:67" x14ac:dyDescent="0.25">
      <c r="A68" s="27"/>
      <c r="D68" s="28"/>
      <c r="E68" s="28"/>
      <c r="F68" s="28"/>
      <c r="G68" s="28"/>
      <c r="H68" s="28"/>
      <c r="I68" s="29"/>
      <c r="J68" s="28"/>
      <c r="K68" s="30"/>
      <c r="L68" s="28"/>
      <c r="M68" s="28"/>
      <c r="N68" s="28"/>
      <c r="O68" s="28"/>
      <c r="P68" s="28"/>
      <c r="Q68" s="28"/>
      <c r="R68" s="28"/>
      <c r="S68" s="28"/>
      <c r="T68" s="28"/>
      <c r="U68" s="33"/>
      <c r="V68" s="33"/>
      <c r="W68" s="97"/>
      <c r="X68" s="93"/>
      <c r="Y68" s="33"/>
      <c r="Z68" s="33"/>
      <c r="AA68" s="33"/>
      <c r="AC68" s="34"/>
      <c r="AD68" s="35"/>
      <c r="AE68" s="35"/>
      <c r="AF68" s="34"/>
      <c r="AG68" s="34"/>
      <c r="AH68" s="34"/>
      <c r="AI68" s="34"/>
      <c r="AJ68" s="34"/>
      <c r="AK68" s="34"/>
      <c r="AL68" s="34"/>
      <c r="AM68" s="34"/>
      <c r="AN68" s="36"/>
      <c r="AO68" s="34"/>
      <c r="AP68" s="34"/>
      <c r="AQ68" s="34"/>
      <c r="AR68" s="34"/>
      <c r="AS68" s="34"/>
      <c r="AT68" s="34"/>
      <c r="AU68" s="34"/>
      <c r="AV68" s="34"/>
      <c r="AW68" s="34"/>
      <c r="AX68" s="34"/>
      <c r="AY68" s="34"/>
      <c r="AZ68" s="36"/>
      <c r="BA68" s="28"/>
      <c r="BB68" s="28"/>
      <c r="BD68" s="28"/>
      <c r="BE68" s="28"/>
      <c r="BH68" s="34"/>
      <c r="BI68" s="34"/>
      <c r="BL68" s="28"/>
      <c r="BM68" s="28"/>
      <c r="BO68" s="28"/>
    </row>
    <row r="69" spans="1:67" x14ac:dyDescent="0.25">
      <c r="A69" s="27"/>
      <c r="D69" s="28"/>
      <c r="E69" s="28"/>
      <c r="F69" s="28"/>
      <c r="G69" s="28"/>
      <c r="H69" s="28"/>
      <c r="I69" s="29"/>
      <c r="J69" s="28"/>
      <c r="K69" s="30"/>
      <c r="L69" s="28"/>
      <c r="M69" s="28"/>
      <c r="N69" s="28"/>
      <c r="O69" s="28"/>
      <c r="P69" s="28"/>
      <c r="Q69" s="28"/>
      <c r="R69" s="28"/>
      <c r="S69" s="28"/>
      <c r="T69" s="28"/>
      <c r="U69" s="33"/>
      <c r="V69" s="33"/>
      <c r="W69" s="97"/>
      <c r="X69" s="93"/>
      <c r="Y69" s="33"/>
      <c r="Z69" s="33"/>
      <c r="AA69" s="33"/>
      <c r="AC69" s="34"/>
      <c r="AD69" s="35"/>
      <c r="AE69" s="35"/>
      <c r="AF69" s="34"/>
      <c r="AG69" s="34"/>
      <c r="AH69" s="34"/>
      <c r="AI69" s="34"/>
      <c r="AJ69" s="34"/>
      <c r="AK69" s="34"/>
      <c r="AL69" s="34"/>
      <c r="AM69" s="34"/>
      <c r="AN69" s="36"/>
      <c r="AO69" s="34"/>
      <c r="AP69" s="34"/>
      <c r="AQ69" s="34"/>
      <c r="AR69" s="34"/>
      <c r="AS69" s="34"/>
      <c r="AT69" s="34"/>
      <c r="AU69" s="34"/>
      <c r="AV69" s="34"/>
      <c r="AW69" s="34"/>
      <c r="AX69" s="34"/>
      <c r="AY69" s="34"/>
      <c r="AZ69" s="36"/>
      <c r="BA69" s="28"/>
      <c r="BB69" s="28"/>
      <c r="BD69" s="28"/>
      <c r="BE69" s="28"/>
      <c r="BH69" s="34"/>
      <c r="BI69" s="34"/>
      <c r="BL69" s="28"/>
      <c r="BM69" s="28"/>
      <c r="BO69" s="28"/>
    </row>
    <row r="70" spans="1:67" x14ac:dyDescent="0.25">
      <c r="A70" s="27"/>
      <c r="D70" s="28"/>
      <c r="E70" s="28"/>
      <c r="F70" s="28"/>
      <c r="G70" s="28"/>
      <c r="H70" s="28"/>
      <c r="I70" s="29"/>
      <c r="J70" s="28"/>
      <c r="K70" s="30"/>
      <c r="L70" s="28"/>
      <c r="M70" s="28"/>
      <c r="N70" s="28"/>
      <c r="O70" s="28"/>
      <c r="P70" s="28"/>
      <c r="Q70" s="28"/>
      <c r="R70" s="28"/>
      <c r="S70" s="28"/>
      <c r="T70" s="28"/>
      <c r="U70" s="33"/>
      <c r="V70" s="33"/>
      <c r="W70" s="97"/>
      <c r="X70" s="93"/>
      <c r="Y70" s="33"/>
      <c r="Z70" s="33"/>
      <c r="AA70" s="33"/>
      <c r="AC70" s="34"/>
      <c r="AD70" s="35"/>
      <c r="AE70" s="35"/>
      <c r="AF70" s="34"/>
      <c r="AG70" s="34"/>
      <c r="AH70" s="34"/>
      <c r="AI70" s="34"/>
      <c r="AJ70" s="34"/>
      <c r="AK70" s="34"/>
      <c r="AL70" s="34"/>
      <c r="AM70" s="34"/>
      <c r="AN70" s="36"/>
      <c r="AO70" s="34"/>
      <c r="AP70" s="34"/>
      <c r="AQ70" s="34"/>
      <c r="AR70" s="34"/>
      <c r="AS70" s="34"/>
      <c r="AT70" s="34"/>
      <c r="AU70" s="34"/>
      <c r="AV70" s="34"/>
      <c r="AW70" s="34"/>
      <c r="AX70" s="34"/>
      <c r="AY70" s="34"/>
      <c r="AZ70" s="36"/>
      <c r="BA70" s="28"/>
      <c r="BB70" s="28"/>
      <c r="BD70" s="28"/>
      <c r="BE70" s="28"/>
      <c r="BH70" s="34"/>
      <c r="BI70" s="34"/>
      <c r="BL70" s="28"/>
      <c r="BM70" s="28"/>
      <c r="BO70" s="28"/>
    </row>
    <row r="71" spans="1:67" x14ac:dyDescent="0.25">
      <c r="A71" s="27"/>
      <c r="D71" s="28"/>
      <c r="E71" s="28"/>
      <c r="F71" s="28"/>
      <c r="G71" s="28"/>
      <c r="H71" s="28"/>
      <c r="I71" s="29"/>
      <c r="J71" s="28"/>
      <c r="K71" s="30"/>
      <c r="L71" s="28"/>
      <c r="M71" s="28"/>
      <c r="N71" s="28"/>
      <c r="O71" s="28"/>
      <c r="P71" s="28"/>
      <c r="Q71" s="28"/>
      <c r="R71" s="28"/>
      <c r="S71" s="28"/>
      <c r="T71" s="28"/>
      <c r="U71" s="33"/>
      <c r="V71" s="33"/>
      <c r="W71" s="97"/>
      <c r="X71" s="93"/>
      <c r="Y71" s="33"/>
      <c r="Z71" s="33"/>
      <c r="AA71" s="33"/>
      <c r="AC71" s="34"/>
      <c r="AD71" s="35"/>
      <c r="AE71" s="35"/>
      <c r="AF71" s="34"/>
      <c r="AG71" s="34"/>
      <c r="AH71" s="34"/>
      <c r="AI71" s="34"/>
      <c r="AJ71" s="34"/>
      <c r="AK71" s="34"/>
      <c r="AL71" s="34"/>
      <c r="AM71" s="34"/>
      <c r="AN71" s="36"/>
      <c r="AO71" s="34"/>
      <c r="AP71" s="34"/>
      <c r="AQ71" s="34"/>
      <c r="AR71" s="34"/>
      <c r="AS71" s="34"/>
      <c r="AT71" s="34"/>
      <c r="AU71" s="34"/>
      <c r="AV71" s="34"/>
      <c r="AW71" s="34"/>
      <c r="AX71" s="34"/>
      <c r="AY71" s="34"/>
      <c r="AZ71" s="36"/>
      <c r="BA71" s="28"/>
      <c r="BB71" s="28"/>
      <c r="BD71" s="28"/>
      <c r="BE71" s="28"/>
      <c r="BH71" s="34"/>
      <c r="BI71" s="34"/>
      <c r="BL71" s="28"/>
      <c r="BM71" s="28"/>
      <c r="BO71" s="28"/>
    </row>
    <row r="72" spans="1:67" x14ac:dyDescent="0.25">
      <c r="A72" s="27"/>
      <c r="D72" s="28"/>
      <c r="E72" s="28"/>
      <c r="F72" s="28"/>
      <c r="G72" s="28"/>
      <c r="H72" s="28"/>
      <c r="I72" s="29"/>
      <c r="J72" s="28"/>
      <c r="K72" s="30"/>
      <c r="L72" s="28"/>
      <c r="M72" s="28"/>
      <c r="N72" s="28"/>
      <c r="O72" s="28"/>
      <c r="P72" s="28"/>
      <c r="Q72" s="28"/>
      <c r="R72" s="28"/>
      <c r="S72" s="28"/>
      <c r="T72" s="28"/>
      <c r="U72" s="33"/>
      <c r="V72" s="33"/>
      <c r="W72" s="97"/>
      <c r="X72" s="93"/>
      <c r="Y72" s="33"/>
      <c r="Z72" s="33"/>
      <c r="AA72" s="33"/>
      <c r="AC72" s="34"/>
      <c r="AD72" s="35"/>
      <c r="AE72" s="35"/>
      <c r="AF72" s="34"/>
      <c r="AG72" s="34"/>
      <c r="AH72" s="34"/>
      <c r="AI72" s="34"/>
      <c r="AJ72" s="34"/>
      <c r="AK72" s="34"/>
      <c r="AL72" s="34"/>
      <c r="AM72" s="34"/>
      <c r="AN72" s="36"/>
      <c r="AO72" s="34"/>
      <c r="AP72" s="34"/>
      <c r="AQ72" s="34"/>
      <c r="AR72" s="34"/>
      <c r="AS72" s="34"/>
      <c r="AT72" s="34"/>
      <c r="AU72" s="34"/>
      <c r="AV72" s="34"/>
      <c r="AW72" s="34"/>
      <c r="AX72" s="34"/>
      <c r="AY72" s="34"/>
      <c r="AZ72" s="36"/>
      <c r="BA72" s="28"/>
      <c r="BB72" s="28"/>
      <c r="BD72" s="28"/>
      <c r="BE72" s="28"/>
      <c r="BH72" s="34"/>
      <c r="BI72" s="34"/>
      <c r="BL72" s="28"/>
      <c r="BM72" s="28"/>
      <c r="BO72" s="28"/>
    </row>
    <row r="73" spans="1:67" x14ac:dyDescent="0.25">
      <c r="A73" s="27"/>
      <c r="D73" s="28"/>
      <c r="E73" s="28"/>
      <c r="F73" s="28"/>
      <c r="G73" s="28"/>
      <c r="H73" s="28"/>
      <c r="I73" s="29"/>
      <c r="J73" s="28"/>
      <c r="K73" s="30"/>
      <c r="L73" s="28"/>
      <c r="M73" s="28"/>
      <c r="N73" s="28"/>
      <c r="O73" s="28"/>
      <c r="P73" s="28"/>
      <c r="Q73" s="28"/>
      <c r="R73" s="28"/>
      <c r="S73" s="28"/>
      <c r="T73" s="28"/>
      <c r="U73" s="33"/>
      <c r="V73" s="33"/>
      <c r="W73" s="97"/>
      <c r="X73" s="93"/>
      <c r="Y73" s="33"/>
      <c r="Z73" s="33"/>
      <c r="AA73" s="33"/>
      <c r="AC73" s="34"/>
      <c r="AD73" s="35"/>
      <c r="AE73" s="35"/>
      <c r="AF73" s="34"/>
      <c r="AG73" s="34"/>
      <c r="AH73" s="34"/>
      <c r="AI73" s="34"/>
      <c r="AJ73" s="34"/>
      <c r="AK73" s="34"/>
      <c r="AL73" s="34"/>
      <c r="AM73" s="34"/>
      <c r="AN73" s="36"/>
      <c r="AO73" s="34"/>
      <c r="AP73" s="34"/>
      <c r="AQ73" s="34"/>
      <c r="AR73" s="34"/>
      <c r="AS73" s="34"/>
      <c r="AT73" s="34"/>
      <c r="AU73" s="34"/>
      <c r="AV73" s="34"/>
      <c r="AW73" s="34"/>
      <c r="AX73" s="34"/>
      <c r="AY73" s="34"/>
      <c r="AZ73" s="36"/>
      <c r="BA73" s="28"/>
      <c r="BB73" s="28"/>
      <c r="BD73" s="28"/>
      <c r="BE73" s="28"/>
      <c r="BH73" s="34"/>
      <c r="BI73" s="34"/>
      <c r="BL73" s="28"/>
      <c r="BM73" s="28"/>
      <c r="BO73" s="28"/>
    </row>
    <row r="74" spans="1:67" x14ac:dyDescent="0.25">
      <c r="A74" s="27"/>
      <c r="D74" s="28"/>
      <c r="E74" s="28"/>
      <c r="F74" s="28"/>
      <c r="G74" s="28"/>
      <c r="H74" s="28"/>
      <c r="I74" s="29"/>
      <c r="J74" s="28"/>
      <c r="K74" s="30"/>
      <c r="L74" s="28"/>
      <c r="M74" s="28"/>
      <c r="N74" s="28"/>
      <c r="O74" s="28"/>
      <c r="P74" s="28"/>
      <c r="Q74" s="28"/>
      <c r="R74" s="28"/>
      <c r="S74" s="28"/>
      <c r="T74" s="28"/>
      <c r="U74" s="33"/>
      <c r="V74" s="33"/>
      <c r="W74" s="97"/>
      <c r="X74" s="93"/>
      <c r="Y74" s="33"/>
      <c r="Z74" s="33"/>
      <c r="AA74" s="33"/>
      <c r="AC74" s="34"/>
      <c r="AD74" s="35"/>
      <c r="AE74" s="35"/>
      <c r="AF74" s="34"/>
      <c r="AG74" s="34"/>
      <c r="AH74" s="34"/>
      <c r="AI74" s="34"/>
      <c r="AJ74" s="34"/>
      <c r="AK74" s="34"/>
      <c r="AL74" s="34"/>
      <c r="AM74" s="34"/>
      <c r="AN74" s="36"/>
      <c r="AO74" s="34"/>
      <c r="AP74" s="34"/>
      <c r="AQ74" s="34"/>
      <c r="AR74" s="34"/>
      <c r="AS74" s="34"/>
      <c r="AT74" s="34"/>
      <c r="AU74" s="34"/>
      <c r="AV74" s="34"/>
      <c r="AW74" s="34"/>
      <c r="AX74" s="34"/>
      <c r="AY74" s="34"/>
      <c r="AZ74" s="36"/>
      <c r="BA74" s="28"/>
      <c r="BB74" s="28"/>
      <c r="BD74" s="28"/>
      <c r="BE74" s="28"/>
      <c r="BH74" s="34"/>
      <c r="BI74" s="34"/>
      <c r="BL74" s="28"/>
      <c r="BM74" s="28"/>
      <c r="BO74" s="28"/>
    </row>
    <row r="75" spans="1:67" x14ac:dyDescent="0.25">
      <c r="A75" s="27"/>
      <c r="D75" s="28"/>
      <c r="E75" s="28"/>
      <c r="F75" s="28"/>
      <c r="G75" s="28"/>
      <c r="H75" s="28"/>
      <c r="I75" s="29"/>
      <c r="J75" s="28"/>
      <c r="K75" s="30"/>
      <c r="L75" s="28"/>
      <c r="M75" s="28"/>
      <c r="N75" s="28"/>
      <c r="O75" s="28"/>
      <c r="P75" s="28"/>
      <c r="Q75" s="28"/>
      <c r="R75" s="28"/>
      <c r="S75" s="28"/>
      <c r="T75" s="28"/>
      <c r="U75" s="33"/>
      <c r="V75" s="33"/>
      <c r="W75" s="97"/>
      <c r="X75" s="93"/>
      <c r="Y75" s="33"/>
      <c r="Z75" s="33"/>
      <c r="AA75" s="33"/>
      <c r="AC75" s="34"/>
      <c r="AD75" s="35"/>
      <c r="AE75" s="35"/>
      <c r="AF75" s="34"/>
      <c r="AG75" s="34"/>
      <c r="AH75" s="34"/>
      <c r="AI75" s="34"/>
      <c r="AJ75" s="34"/>
      <c r="AK75" s="34"/>
      <c r="AL75" s="34"/>
      <c r="AM75" s="34"/>
      <c r="AN75" s="36"/>
      <c r="AO75" s="34"/>
      <c r="AP75" s="34"/>
      <c r="AQ75" s="34"/>
      <c r="AR75" s="34"/>
      <c r="AS75" s="34"/>
      <c r="AT75" s="34"/>
      <c r="AU75" s="34"/>
      <c r="AV75" s="34"/>
      <c r="AW75" s="34"/>
      <c r="AX75" s="34"/>
      <c r="AY75" s="34"/>
      <c r="AZ75" s="36"/>
      <c r="BA75" s="28"/>
      <c r="BB75" s="28"/>
      <c r="BD75" s="28"/>
      <c r="BE75" s="28"/>
      <c r="BH75" s="34"/>
      <c r="BI75" s="34"/>
      <c r="BL75" s="28"/>
      <c r="BM75" s="28"/>
      <c r="BO75" s="28"/>
    </row>
    <row r="76" spans="1:67" x14ac:dyDescent="0.25">
      <c r="A76" s="27"/>
      <c r="D76" s="28"/>
      <c r="E76" s="28"/>
      <c r="F76" s="28"/>
      <c r="G76" s="28"/>
      <c r="H76" s="28"/>
      <c r="I76" s="29"/>
      <c r="J76" s="28"/>
      <c r="K76" s="28"/>
      <c r="L76" s="28"/>
      <c r="M76" s="28"/>
      <c r="N76" s="28"/>
      <c r="O76" s="28"/>
      <c r="P76" s="28"/>
      <c r="Q76" s="28"/>
      <c r="R76" s="28"/>
      <c r="S76" s="28"/>
      <c r="T76" s="28"/>
      <c r="U76" s="33"/>
      <c r="V76" s="33"/>
      <c r="W76" s="97"/>
      <c r="X76" s="93"/>
      <c r="Y76" s="33"/>
      <c r="Z76" s="33"/>
      <c r="AA76" s="33"/>
      <c r="AC76" s="34"/>
      <c r="AD76" s="35"/>
      <c r="AE76" s="35"/>
      <c r="AF76" s="34"/>
      <c r="AG76" s="34"/>
      <c r="AH76" s="34"/>
      <c r="AI76" s="34"/>
      <c r="AJ76" s="34"/>
      <c r="AK76" s="34"/>
      <c r="AL76" s="34"/>
      <c r="AM76" s="34"/>
      <c r="AN76" s="36"/>
      <c r="AO76" s="34"/>
      <c r="AP76" s="34"/>
      <c r="AQ76" s="34"/>
      <c r="AR76" s="34"/>
      <c r="AS76" s="34"/>
      <c r="AT76" s="34"/>
      <c r="AU76" s="34"/>
      <c r="AV76" s="34"/>
      <c r="AW76" s="34"/>
      <c r="AX76" s="34"/>
      <c r="AY76" s="34"/>
      <c r="AZ76" s="36"/>
      <c r="BA76" s="28"/>
      <c r="BB76" s="28"/>
      <c r="BD76" s="28"/>
      <c r="BE76" s="28"/>
      <c r="BH76" s="34"/>
      <c r="BI76" s="34"/>
      <c r="BL76" s="28"/>
      <c r="BM76" s="28"/>
      <c r="BO76" s="28"/>
    </row>
    <row r="77" spans="1:67" x14ac:dyDescent="0.25">
      <c r="A77" s="27"/>
      <c r="D77" s="28"/>
      <c r="E77" s="28"/>
      <c r="F77" s="28"/>
      <c r="G77" s="28"/>
      <c r="H77" s="28"/>
      <c r="I77" s="29"/>
      <c r="J77" s="28"/>
      <c r="K77" s="28"/>
      <c r="L77" s="28"/>
      <c r="M77" s="28"/>
      <c r="N77" s="28"/>
      <c r="O77" s="28"/>
      <c r="P77" s="28"/>
      <c r="Q77" s="28"/>
      <c r="R77" s="28"/>
      <c r="S77" s="28"/>
      <c r="T77" s="28"/>
      <c r="U77" s="33"/>
      <c r="V77" s="33"/>
      <c r="W77" s="97"/>
      <c r="X77" s="93"/>
      <c r="Y77" s="33"/>
      <c r="Z77" s="33"/>
      <c r="AA77" s="33"/>
      <c r="AC77" s="34"/>
      <c r="AD77" s="35"/>
      <c r="AE77" s="35"/>
      <c r="AF77" s="34"/>
      <c r="AG77" s="34"/>
      <c r="AH77" s="34"/>
      <c r="AI77" s="34"/>
      <c r="AJ77" s="34"/>
      <c r="AK77" s="34"/>
      <c r="AL77" s="34"/>
      <c r="AM77" s="34"/>
      <c r="AN77" s="36"/>
      <c r="AO77" s="34"/>
      <c r="AP77" s="34"/>
      <c r="AQ77" s="34"/>
      <c r="AR77" s="34"/>
      <c r="AS77" s="34"/>
      <c r="AT77" s="34"/>
      <c r="AU77" s="34"/>
      <c r="AV77" s="34"/>
      <c r="AW77" s="34"/>
      <c r="AX77" s="34"/>
      <c r="AY77" s="34"/>
      <c r="AZ77" s="36"/>
      <c r="BA77" s="28"/>
      <c r="BB77" s="28"/>
      <c r="BD77" s="28"/>
      <c r="BE77" s="28"/>
      <c r="BH77" s="34"/>
      <c r="BI77" s="34"/>
      <c r="BL77" s="28"/>
      <c r="BM77" s="28"/>
      <c r="BO77" s="28"/>
    </row>
    <row r="78" spans="1:67" x14ac:dyDescent="0.25">
      <c r="A78" s="27"/>
      <c r="D78" s="28"/>
      <c r="E78" s="28"/>
      <c r="F78" s="28"/>
      <c r="G78" s="28"/>
      <c r="H78" s="28"/>
      <c r="I78" s="29"/>
      <c r="J78" s="28"/>
      <c r="K78" s="28"/>
      <c r="L78" s="28"/>
      <c r="M78" s="28"/>
      <c r="N78" s="28"/>
      <c r="O78" s="28"/>
      <c r="P78" s="28"/>
      <c r="Q78" s="28"/>
      <c r="R78" s="28"/>
      <c r="S78" s="28"/>
      <c r="T78" s="28"/>
      <c r="U78" s="33"/>
      <c r="V78" s="33"/>
      <c r="W78" s="97"/>
      <c r="X78" s="93"/>
      <c r="Y78" s="33"/>
      <c r="Z78" s="33"/>
      <c r="AA78" s="33"/>
      <c r="AC78" s="34"/>
      <c r="AD78" s="35"/>
      <c r="AE78" s="35"/>
      <c r="AF78" s="34"/>
      <c r="AG78" s="34"/>
      <c r="AH78" s="34"/>
      <c r="AI78" s="34"/>
      <c r="AJ78" s="34"/>
      <c r="AK78" s="34"/>
      <c r="AL78" s="34"/>
      <c r="AM78" s="34"/>
      <c r="AN78" s="36"/>
      <c r="AO78" s="34"/>
      <c r="AP78" s="34"/>
      <c r="AQ78" s="34"/>
      <c r="AR78" s="34"/>
      <c r="AS78" s="34"/>
      <c r="AT78" s="34"/>
      <c r="AU78" s="34"/>
      <c r="AV78" s="34"/>
      <c r="AW78" s="34"/>
      <c r="AX78" s="34"/>
      <c r="AY78" s="34"/>
      <c r="AZ78" s="36"/>
      <c r="BA78" s="28"/>
      <c r="BB78" s="28"/>
      <c r="BD78" s="28"/>
      <c r="BE78" s="28"/>
      <c r="BH78" s="34"/>
      <c r="BI78" s="34"/>
      <c r="BL78" s="28"/>
      <c r="BM78" s="28"/>
      <c r="BO78" s="28"/>
    </row>
    <row r="79" spans="1:67" x14ac:dyDescent="0.25">
      <c r="A79" s="27"/>
      <c r="D79" s="28"/>
      <c r="E79" s="28"/>
      <c r="F79" s="28"/>
      <c r="G79" s="28"/>
      <c r="H79" s="28"/>
      <c r="I79" s="29"/>
      <c r="J79" s="28"/>
      <c r="K79" s="28"/>
      <c r="L79" s="28"/>
      <c r="M79" s="28"/>
      <c r="N79" s="28"/>
      <c r="O79" s="28"/>
      <c r="P79" s="28"/>
      <c r="Q79" s="28"/>
      <c r="R79" s="28"/>
      <c r="S79" s="28"/>
      <c r="T79" s="28"/>
      <c r="U79" s="33"/>
      <c r="V79" s="33"/>
      <c r="W79" s="97"/>
      <c r="X79" s="93"/>
      <c r="Y79" s="33"/>
      <c r="Z79" s="33"/>
      <c r="AA79" s="33"/>
      <c r="AC79" s="34"/>
      <c r="AD79" s="35"/>
      <c r="AE79" s="35"/>
      <c r="AF79" s="34"/>
      <c r="AG79" s="34"/>
      <c r="AH79" s="34"/>
      <c r="AI79" s="34"/>
      <c r="AJ79" s="34"/>
      <c r="AK79" s="34"/>
      <c r="AL79" s="34"/>
      <c r="AM79" s="34"/>
      <c r="AN79" s="36"/>
      <c r="AO79" s="34"/>
      <c r="AP79" s="34"/>
      <c r="AQ79" s="34"/>
      <c r="AR79" s="34"/>
      <c r="AS79" s="34"/>
      <c r="AT79" s="34"/>
      <c r="AU79" s="34"/>
      <c r="AV79" s="34"/>
      <c r="AW79" s="34"/>
      <c r="AX79" s="34"/>
      <c r="AY79" s="34"/>
      <c r="AZ79" s="36"/>
      <c r="BA79" s="28"/>
      <c r="BB79" s="28"/>
      <c r="BD79" s="28"/>
      <c r="BE79" s="28"/>
      <c r="BH79" s="34"/>
      <c r="BI79" s="34"/>
      <c r="BL79" s="28"/>
      <c r="BM79" s="28"/>
      <c r="BO79" s="28"/>
    </row>
    <row r="80" spans="1:67" x14ac:dyDescent="0.25">
      <c r="A80" s="27"/>
      <c r="D80" s="28"/>
      <c r="E80" s="28"/>
      <c r="F80" s="28"/>
      <c r="G80" s="28"/>
      <c r="H80" s="28"/>
      <c r="I80" s="29"/>
      <c r="J80" s="28"/>
      <c r="K80" s="28"/>
      <c r="L80" s="28"/>
      <c r="M80" s="28"/>
      <c r="N80" s="28"/>
      <c r="O80" s="28"/>
      <c r="P80" s="28"/>
      <c r="Q80" s="28"/>
      <c r="R80" s="28"/>
      <c r="S80" s="28"/>
      <c r="T80" s="28"/>
      <c r="U80" s="33"/>
      <c r="V80" s="33"/>
      <c r="W80" s="97"/>
      <c r="X80" s="93"/>
      <c r="Y80" s="33"/>
      <c r="Z80" s="33"/>
      <c r="AA80" s="33"/>
      <c r="AC80" s="34"/>
      <c r="AD80" s="35"/>
      <c r="AE80" s="35"/>
      <c r="AF80" s="34"/>
      <c r="AG80" s="34"/>
      <c r="AH80" s="34"/>
      <c r="AI80" s="34"/>
      <c r="AJ80" s="34"/>
      <c r="AK80" s="34"/>
      <c r="AL80" s="34"/>
      <c r="AM80" s="34"/>
      <c r="AN80" s="36"/>
      <c r="AO80" s="34"/>
      <c r="AP80" s="34"/>
      <c r="AQ80" s="34"/>
      <c r="AR80" s="34"/>
      <c r="AS80" s="34"/>
      <c r="AT80" s="34"/>
      <c r="AU80" s="34"/>
      <c r="AV80" s="34"/>
      <c r="AW80" s="34"/>
      <c r="AX80" s="34"/>
      <c r="AY80" s="34"/>
      <c r="AZ80" s="36"/>
      <c r="BA80" s="28"/>
      <c r="BB80" s="28"/>
      <c r="BD80" s="28"/>
      <c r="BE80" s="28"/>
      <c r="BH80" s="34"/>
      <c r="BI80" s="34"/>
      <c r="BL80" s="28"/>
      <c r="BM80" s="28"/>
      <c r="BO80" s="28"/>
    </row>
    <row r="81" spans="1:67" x14ac:dyDescent="0.25">
      <c r="A81" s="27"/>
      <c r="D81" s="28"/>
      <c r="E81" s="28"/>
      <c r="F81" s="28"/>
      <c r="G81" s="28"/>
      <c r="H81" s="28"/>
      <c r="I81" s="29"/>
      <c r="J81" s="28"/>
      <c r="K81" s="28"/>
      <c r="L81" s="28"/>
      <c r="M81" s="28"/>
      <c r="N81" s="28"/>
      <c r="O81" s="28"/>
      <c r="P81" s="28"/>
      <c r="Q81" s="28"/>
      <c r="R81" s="28"/>
      <c r="S81" s="28"/>
      <c r="T81" s="28"/>
      <c r="U81" s="33"/>
      <c r="V81" s="33"/>
      <c r="W81" s="97"/>
      <c r="X81" s="93"/>
      <c r="Y81" s="33"/>
      <c r="Z81" s="33"/>
      <c r="AA81" s="33"/>
      <c r="AC81" s="34"/>
      <c r="AD81" s="35"/>
      <c r="AE81" s="35"/>
      <c r="AF81" s="34"/>
      <c r="AG81" s="34"/>
      <c r="AH81" s="34"/>
      <c r="AI81" s="34"/>
      <c r="AJ81" s="34"/>
      <c r="AK81" s="34"/>
      <c r="AL81" s="34"/>
      <c r="AM81" s="34"/>
      <c r="AN81" s="36"/>
      <c r="AO81" s="34"/>
      <c r="AP81" s="34"/>
      <c r="AQ81" s="34"/>
      <c r="AR81" s="34"/>
      <c r="AS81" s="34"/>
      <c r="AT81" s="34"/>
      <c r="AU81" s="34"/>
      <c r="AV81" s="34"/>
      <c r="AW81" s="34"/>
      <c r="AX81" s="34"/>
      <c r="AY81" s="34"/>
      <c r="AZ81" s="36"/>
      <c r="BA81" s="28"/>
      <c r="BB81" s="28"/>
      <c r="BD81" s="28"/>
      <c r="BE81" s="28"/>
      <c r="BH81" s="34"/>
      <c r="BI81" s="34"/>
      <c r="BL81" s="28"/>
      <c r="BM81" s="28"/>
      <c r="BO81" s="28"/>
    </row>
    <row r="82" spans="1:67" x14ac:dyDescent="0.25">
      <c r="A82" s="27"/>
      <c r="D82" s="28"/>
      <c r="E82" s="28"/>
      <c r="F82" s="28"/>
      <c r="G82" s="28"/>
      <c r="H82" s="28"/>
      <c r="I82" s="29"/>
      <c r="J82" s="28"/>
      <c r="K82" s="28"/>
      <c r="L82" s="37"/>
      <c r="M82" s="37"/>
      <c r="N82" s="37"/>
      <c r="O82" s="37"/>
      <c r="P82" s="37"/>
      <c r="Q82" s="37"/>
      <c r="R82" s="37"/>
      <c r="S82" s="37"/>
      <c r="T82" s="37"/>
      <c r="U82" s="33"/>
      <c r="V82" s="33"/>
      <c r="W82" s="98"/>
      <c r="X82" s="99"/>
      <c r="Y82" s="33"/>
      <c r="Z82" s="33"/>
      <c r="AA82" s="33"/>
      <c r="AC82" s="34"/>
      <c r="AD82" s="35"/>
      <c r="AE82" s="35"/>
      <c r="AF82" s="34"/>
      <c r="AG82" s="34"/>
      <c r="AH82" s="34"/>
      <c r="AI82" s="34"/>
      <c r="AJ82" s="34"/>
      <c r="AK82" s="34"/>
      <c r="AL82" s="34"/>
      <c r="AM82" s="34"/>
      <c r="AN82" s="36"/>
      <c r="AO82" s="34"/>
      <c r="AP82" s="34"/>
      <c r="AQ82" s="34"/>
      <c r="AR82" s="34"/>
      <c r="AS82" s="34"/>
      <c r="AT82" s="34"/>
      <c r="AU82" s="34"/>
      <c r="AV82" s="34"/>
      <c r="AW82" s="34"/>
      <c r="AX82" s="34"/>
      <c r="AY82" s="38"/>
      <c r="AZ82" s="36"/>
      <c r="BA82" s="28"/>
      <c r="BB82" s="28"/>
      <c r="BD82" s="28"/>
      <c r="BE82" s="28"/>
      <c r="BH82" s="34"/>
      <c r="BI82" s="34"/>
      <c r="BL82" s="28"/>
      <c r="BM82" s="28"/>
      <c r="BO82" s="28"/>
    </row>
    <row r="83" spans="1:67" x14ac:dyDescent="0.25">
      <c r="A83" s="27"/>
      <c r="D83" s="31"/>
      <c r="E83" s="31"/>
      <c r="F83" s="31"/>
      <c r="G83" s="31"/>
      <c r="H83" s="31"/>
      <c r="I83" s="31"/>
      <c r="J83" s="31"/>
      <c r="K83" s="31"/>
      <c r="L83" s="31"/>
      <c r="M83" s="31"/>
      <c r="N83" s="31"/>
      <c r="O83" s="31"/>
      <c r="P83" s="31"/>
      <c r="Q83" s="31"/>
      <c r="R83" s="31"/>
      <c r="S83" s="31"/>
      <c r="T83" s="31"/>
      <c r="U83" s="31"/>
      <c r="V83" s="31"/>
      <c r="W83" s="31"/>
      <c r="X83" s="31"/>
      <c r="Y83" s="31"/>
      <c r="Z83" s="33"/>
      <c r="AA83" s="33"/>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28"/>
      <c r="BB83" s="28"/>
      <c r="BC83" s="31"/>
      <c r="BD83" s="31"/>
      <c r="BE83" s="31"/>
      <c r="BF83" s="31"/>
      <c r="BG83" s="31"/>
      <c r="BH83" s="34"/>
      <c r="BI83" s="34"/>
      <c r="BJ83" s="31"/>
      <c r="BK83" s="31"/>
      <c r="BL83" s="31"/>
      <c r="BM83" s="31"/>
      <c r="BN83" s="31"/>
      <c r="BO83" s="31"/>
    </row>
    <row r="84" spans="1:67" x14ac:dyDescent="0.25">
      <c r="Z84" s="31"/>
      <c r="AA84" s="31"/>
      <c r="AO84" s="36"/>
      <c r="AP84" s="36"/>
      <c r="AQ84" s="36"/>
      <c r="AR84" s="36"/>
      <c r="AS84" s="36"/>
      <c r="AT84" s="36"/>
      <c r="AU84" s="36"/>
      <c r="AV84" s="36"/>
      <c r="AW84" s="36"/>
      <c r="AX84" s="36"/>
      <c r="BA84" s="28"/>
      <c r="BB84" s="28"/>
      <c r="BH84" s="31"/>
      <c r="BI84" s="31"/>
    </row>
    <row r="85" spans="1:67" x14ac:dyDescent="0.25">
      <c r="BA85" s="31"/>
      <c r="BB85" s="31"/>
    </row>
  </sheetData>
  <mergeCells count="25">
    <mergeCell ref="S3:T3"/>
    <mergeCell ref="D2:T2"/>
    <mergeCell ref="AC2:AY2"/>
    <mergeCell ref="BD2:BE2"/>
    <mergeCell ref="BH2:BI2"/>
    <mergeCell ref="D3:E3"/>
    <mergeCell ref="G3:H3"/>
    <mergeCell ref="J3:K3"/>
    <mergeCell ref="M3:N3"/>
    <mergeCell ref="P3:Q3"/>
    <mergeCell ref="BL2:BM2"/>
    <mergeCell ref="BA2:BB2"/>
    <mergeCell ref="W2:X2"/>
    <mergeCell ref="BL3:BM3"/>
    <mergeCell ref="AC3:AD3"/>
    <mergeCell ref="AF3:AG3"/>
    <mergeCell ref="BD3:BE3"/>
    <mergeCell ref="BH3:BI3"/>
    <mergeCell ref="AI3:AJ3"/>
    <mergeCell ref="AL3:AM3"/>
    <mergeCell ref="AO3:AP3"/>
    <mergeCell ref="AR3:AS3"/>
    <mergeCell ref="AU3:AV3"/>
    <mergeCell ref="AX3:AY3"/>
    <mergeCell ref="BA3:BB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845A9-8EDD-4E60-B2D5-673318A84D1A}">
  <dimension ref="A1:D8"/>
  <sheetViews>
    <sheetView workbookViewId="0">
      <selection activeCell="C9" sqref="C9"/>
    </sheetView>
  </sheetViews>
  <sheetFormatPr defaultRowHeight="15" x14ac:dyDescent="0.25"/>
  <cols>
    <col min="1" max="1" width="29.7109375" customWidth="1"/>
    <col min="3" max="3" width="11.140625" style="17" customWidth="1"/>
    <col min="4" max="4" width="11.5703125" bestFit="1" customWidth="1"/>
  </cols>
  <sheetData>
    <row r="1" spans="1:4" x14ac:dyDescent="0.25">
      <c r="A1" s="55" t="s">
        <v>86</v>
      </c>
      <c r="B1" s="55" t="s">
        <v>146</v>
      </c>
      <c r="C1" s="59" t="s">
        <v>147</v>
      </c>
      <c r="D1" s="55" t="s">
        <v>66</v>
      </c>
    </row>
    <row r="2" spans="1:4" x14ac:dyDescent="0.25">
      <c r="A2" t="s">
        <v>148</v>
      </c>
      <c r="B2">
        <v>343</v>
      </c>
      <c r="C2" s="17">
        <v>50</v>
      </c>
      <c r="D2" s="50">
        <f t="shared" ref="D2:D8" si="0">B2*C2</f>
        <v>17150</v>
      </c>
    </row>
    <row r="3" spans="1:4" x14ac:dyDescent="0.25">
      <c r="A3" t="s">
        <v>149</v>
      </c>
      <c r="B3">
        <v>677</v>
      </c>
      <c r="C3" s="17">
        <v>50</v>
      </c>
      <c r="D3" s="50">
        <f t="shared" si="0"/>
        <v>33850</v>
      </c>
    </row>
    <row r="4" spans="1:4" x14ac:dyDescent="0.25">
      <c r="A4" t="s">
        <v>150</v>
      </c>
      <c r="B4">
        <v>14</v>
      </c>
      <c r="C4" s="17">
        <v>35</v>
      </c>
      <c r="D4" s="50">
        <f t="shared" si="0"/>
        <v>490</v>
      </c>
    </row>
    <row r="5" spans="1:4" x14ac:dyDescent="0.25">
      <c r="A5" t="s">
        <v>151</v>
      </c>
      <c r="B5">
        <v>0</v>
      </c>
      <c r="C5" s="17">
        <v>20</v>
      </c>
      <c r="D5" s="50">
        <f t="shared" si="0"/>
        <v>0</v>
      </c>
    </row>
    <row r="6" spans="1:4" x14ac:dyDescent="0.25">
      <c r="A6" t="s">
        <v>152</v>
      </c>
      <c r="B6">
        <v>0</v>
      </c>
      <c r="C6" s="17">
        <v>35</v>
      </c>
      <c r="D6" s="50">
        <f t="shared" si="0"/>
        <v>0</v>
      </c>
    </row>
    <row r="7" spans="1:4" x14ac:dyDescent="0.25">
      <c r="D7" s="50">
        <f t="shared" si="0"/>
        <v>0</v>
      </c>
    </row>
    <row r="8" spans="1:4" x14ac:dyDescent="0.25">
      <c r="A8" t="s">
        <v>153</v>
      </c>
      <c r="B8">
        <v>59</v>
      </c>
      <c r="C8" s="17">
        <v>800</v>
      </c>
      <c r="D8" s="50">
        <f t="shared" si="0"/>
        <v>47200</v>
      </c>
    </row>
  </sheetData>
  <pageMargins left="0.7" right="0.7" top="0.75" bottom="0.75" header="0.3" footer="0.3"/>
  <pageSetup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44A47-C0B2-4685-8E3C-32CD8535D1E6}">
  <dimension ref="A1:I109"/>
  <sheetViews>
    <sheetView topLeftCell="E82" zoomScale="90" zoomScaleNormal="90" workbookViewId="0">
      <selection activeCell="G98" sqref="G98"/>
    </sheetView>
  </sheetViews>
  <sheetFormatPr defaultRowHeight="15" x14ac:dyDescent="0.25"/>
  <cols>
    <col min="1" max="1" width="30" style="11" customWidth="1"/>
    <col min="2" max="2" width="12.85546875" style="16" customWidth="1"/>
    <col min="3" max="3" width="9.140625" style="16" customWidth="1"/>
    <col min="4" max="4" width="34.140625" style="16" customWidth="1"/>
    <col min="5" max="5" width="77" style="16" customWidth="1"/>
    <col min="6" max="6" width="12.42578125" style="16" customWidth="1"/>
    <col min="7" max="7" width="42.42578125" style="16" customWidth="1"/>
    <col min="8" max="8" width="55.42578125" style="16" customWidth="1"/>
    <col min="9" max="9" width="12.140625" style="16" bestFit="1" customWidth="1"/>
    <col min="10" max="16384" width="9.140625" style="16"/>
  </cols>
  <sheetData>
    <row r="1" spans="1:9" s="106" customFormat="1" x14ac:dyDescent="0.25">
      <c r="A1" s="108"/>
      <c r="B1" s="105" t="s">
        <v>274</v>
      </c>
      <c r="C1" s="105" t="s">
        <v>275</v>
      </c>
      <c r="D1" s="105" t="s">
        <v>276</v>
      </c>
      <c r="E1" s="105" t="s">
        <v>277</v>
      </c>
      <c r="F1" s="105" t="s">
        <v>278</v>
      </c>
      <c r="G1" s="105" t="s">
        <v>279</v>
      </c>
      <c r="H1" s="105" t="s">
        <v>76</v>
      </c>
    </row>
    <row r="2" spans="1:9" ht="45" x14ac:dyDescent="0.25">
      <c r="A2" s="11" t="s">
        <v>280</v>
      </c>
      <c r="I2" s="109" t="s">
        <v>281</v>
      </c>
    </row>
    <row r="3" spans="1:9" x14ac:dyDescent="0.25">
      <c r="B3" s="16">
        <v>21364</v>
      </c>
      <c r="C3" s="16" t="s">
        <v>246</v>
      </c>
      <c r="D3" s="16" t="s">
        <v>247</v>
      </c>
      <c r="E3" s="16" t="s">
        <v>248</v>
      </c>
      <c r="F3" s="110">
        <v>100.5</v>
      </c>
      <c r="G3" s="16" t="s">
        <v>282</v>
      </c>
      <c r="I3" s="17">
        <f>F3*0.1545</f>
        <v>15.52725</v>
      </c>
    </row>
    <row r="4" spans="1:9" x14ac:dyDescent="0.25">
      <c r="B4" s="16">
        <v>21365</v>
      </c>
      <c r="C4" s="16" t="s">
        <v>249</v>
      </c>
      <c r="D4" s="16" t="s">
        <v>250</v>
      </c>
      <c r="E4" s="16" t="s">
        <v>251</v>
      </c>
      <c r="F4" s="110">
        <v>2080</v>
      </c>
      <c r="G4" s="16" t="s">
        <v>282</v>
      </c>
      <c r="I4" s="17">
        <f t="shared" ref="I4:I14" si="0">F4*0.1545</f>
        <v>321.36</v>
      </c>
    </row>
    <row r="5" spans="1:9" x14ac:dyDescent="0.25">
      <c r="B5" s="16">
        <v>21366</v>
      </c>
      <c r="C5" s="16" t="s">
        <v>252</v>
      </c>
      <c r="D5" s="16" t="s">
        <v>247</v>
      </c>
      <c r="E5" s="16" t="s">
        <v>253</v>
      </c>
      <c r="F5" s="110">
        <v>1492.08</v>
      </c>
      <c r="G5" s="16" t="s">
        <v>282</v>
      </c>
      <c r="I5" s="17">
        <f t="shared" si="0"/>
        <v>230.52635999999998</v>
      </c>
    </row>
    <row r="6" spans="1:9" x14ac:dyDescent="0.25">
      <c r="B6" s="16">
        <v>21367</v>
      </c>
      <c r="C6" s="16" t="s">
        <v>254</v>
      </c>
      <c r="D6" s="16" t="s">
        <v>247</v>
      </c>
      <c r="E6" s="16" t="s">
        <v>255</v>
      </c>
      <c r="F6" s="110">
        <v>1042.5</v>
      </c>
      <c r="G6" s="16" t="s">
        <v>282</v>
      </c>
      <c r="I6" s="17">
        <f t="shared" si="0"/>
        <v>161.06625</v>
      </c>
    </row>
    <row r="7" spans="1:9" x14ac:dyDescent="0.25">
      <c r="B7" s="16">
        <v>21368</v>
      </c>
      <c r="C7" s="16" t="s">
        <v>256</v>
      </c>
      <c r="D7" s="16" t="s">
        <v>247</v>
      </c>
      <c r="E7" s="16" t="s">
        <v>257</v>
      </c>
      <c r="F7" s="110">
        <v>2667.55</v>
      </c>
      <c r="G7" s="16" t="s">
        <v>282</v>
      </c>
      <c r="I7" s="17">
        <f t="shared" si="0"/>
        <v>412.13647500000002</v>
      </c>
    </row>
    <row r="8" spans="1:9" x14ac:dyDescent="0.25">
      <c r="B8" s="16">
        <v>21369</v>
      </c>
      <c r="C8" s="16" t="s">
        <v>258</v>
      </c>
      <c r="D8" s="16" t="s">
        <v>247</v>
      </c>
      <c r="E8" s="16" t="s">
        <v>259</v>
      </c>
      <c r="F8" s="110">
        <v>1545</v>
      </c>
      <c r="G8" s="16" t="s">
        <v>282</v>
      </c>
      <c r="I8" s="17">
        <f t="shared" si="0"/>
        <v>238.70249999999999</v>
      </c>
    </row>
    <row r="9" spans="1:9" x14ac:dyDescent="0.25">
      <c r="B9" s="16">
        <v>21370</v>
      </c>
      <c r="C9" s="16" t="s">
        <v>260</v>
      </c>
      <c r="D9" s="16" t="s">
        <v>247</v>
      </c>
      <c r="E9" s="16" t="s">
        <v>261</v>
      </c>
      <c r="F9" s="110">
        <v>1085.25</v>
      </c>
      <c r="G9" s="16" t="s">
        <v>282</v>
      </c>
      <c r="I9" s="17">
        <f t="shared" si="0"/>
        <v>167.67112499999999</v>
      </c>
    </row>
    <row r="10" spans="1:9" x14ac:dyDescent="0.25">
      <c r="B10" s="16">
        <v>21371</v>
      </c>
      <c r="C10" s="16" t="s">
        <v>262</v>
      </c>
      <c r="D10" s="16" t="s">
        <v>247</v>
      </c>
      <c r="E10" s="16" t="s">
        <v>263</v>
      </c>
      <c r="F10" s="110">
        <v>1091</v>
      </c>
      <c r="G10" s="16" t="s">
        <v>282</v>
      </c>
      <c r="I10" s="17">
        <f t="shared" si="0"/>
        <v>168.55949999999999</v>
      </c>
    </row>
    <row r="11" spans="1:9" x14ac:dyDescent="0.25">
      <c r="B11" s="16">
        <v>21372</v>
      </c>
      <c r="C11" s="16" t="s">
        <v>264</v>
      </c>
      <c r="D11" s="16" t="s">
        <v>247</v>
      </c>
      <c r="E11" s="16" t="s">
        <v>265</v>
      </c>
      <c r="F11" s="110">
        <v>813.75</v>
      </c>
      <c r="G11" s="16" t="s">
        <v>282</v>
      </c>
      <c r="I11" s="17">
        <f t="shared" si="0"/>
        <v>125.72437499999999</v>
      </c>
    </row>
    <row r="12" spans="1:9" x14ac:dyDescent="0.25">
      <c r="B12" s="16">
        <v>21373</v>
      </c>
      <c r="C12" s="16" t="s">
        <v>266</v>
      </c>
      <c r="D12" s="16" t="s">
        <v>247</v>
      </c>
      <c r="E12" s="16" t="s">
        <v>267</v>
      </c>
      <c r="F12" s="110">
        <v>800</v>
      </c>
      <c r="G12" s="16" t="s">
        <v>282</v>
      </c>
      <c r="I12" s="17">
        <f t="shared" si="0"/>
        <v>123.6</v>
      </c>
    </row>
    <row r="13" spans="1:9" x14ac:dyDescent="0.25">
      <c r="B13" s="16">
        <v>21375</v>
      </c>
      <c r="C13" s="16" t="s">
        <v>270</v>
      </c>
      <c r="D13" s="16" t="s">
        <v>247</v>
      </c>
      <c r="E13" s="16" t="s">
        <v>271</v>
      </c>
      <c r="F13" s="110">
        <v>1511.25</v>
      </c>
      <c r="G13" s="16" t="s">
        <v>282</v>
      </c>
      <c r="I13" s="17">
        <f t="shared" si="0"/>
        <v>233.488125</v>
      </c>
    </row>
    <row r="14" spans="1:9" x14ac:dyDescent="0.25">
      <c r="B14" s="16">
        <v>21445</v>
      </c>
      <c r="C14" s="16" t="s">
        <v>283</v>
      </c>
      <c r="D14" s="16" t="s">
        <v>247</v>
      </c>
      <c r="E14" s="16" t="s">
        <v>284</v>
      </c>
      <c r="F14" s="16">
        <v>393.75</v>
      </c>
      <c r="G14" s="16" t="s">
        <v>282</v>
      </c>
      <c r="H14" s="16" t="s">
        <v>285</v>
      </c>
      <c r="I14" s="17">
        <f t="shared" si="0"/>
        <v>60.834375000000001</v>
      </c>
    </row>
    <row r="15" spans="1:9" s="107" customFormat="1" x14ac:dyDescent="0.25">
      <c r="A15" s="111"/>
      <c r="B15" s="107">
        <v>21376</v>
      </c>
      <c r="C15" s="107" t="s">
        <v>272</v>
      </c>
      <c r="D15" s="107" t="s">
        <v>247</v>
      </c>
      <c r="E15" s="107" t="s">
        <v>273</v>
      </c>
      <c r="F15" s="112">
        <v>315</v>
      </c>
      <c r="G15" s="107" t="s">
        <v>286</v>
      </c>
      <c r="I15" s="113">
        <v>315</v>
      </c>
    </row>
    <row r="16" spans="1:9" s="107" customFormat="1" x14ac:dyDescent="0.25">
      <c r="A16" s="111"/>
      <c r="B16" s="107">
        <v>21374</v>
      </c>
      <c r="C16" s="107" t="s">
        <v>268</v>
      </c>
      <c r="D16" s="107" t="s">
        <v>247</v>
      </c>
      <c r="E16" s="107" t="s">
        <v>269</v>
      </c>
      <c r="F16" s="112">
        <v>1301.25</v>
      </c>
      <c r="G16" s="107" t="s">
        <v>287</v>
      </c>
      <c r="H16" s="107" t="s">
        <v>288</v>
      </c>
      <c r="I16" s="113">
        <v>1301.25</v>
      </c>
    </row>
    <row r="17" spans="1:9" s="71" customFormat="1" x14ac:dyDescent="0.25">
      <c r="A17" s="40"/>
      <c r="F17" s="114"/>
      <c r="H17" s="71" t="s">
        <v>289</v>
      </c>
      <c r="I17" s="87">
        <f>SUM(I3:I16)</f>
        <v>3875.4463350000001</v>
      </c>
    </row>
    <row r="18" spans="1:9" x14ac:dyDescent="0.25">
      <c r="I18" s="50"/>
    </row>
    <row r="19" spans="1:9" ht="45" x14ac:dyDescent="0.25">
      <c r="A19" s="11" t="s">
        <v>290</v>
      </c>
    </row>
    <row r="20" spans="1:9" x14ac:dyDescent="0.25">
      <c r="B20" s="16">
        <v>21407</v>
      </c>
      <c r="C20" s="16" t="s">
        <v>291</v>
      </c>
      <c r="D20" s="16" t="s">
        <v>292</v>
      </c>
      <c r="E20" s="16" t="s">
        <v>293</v>
      </c>
      <c r="F20" s="110">
        <v>65</v>
      </c>
      <c r="G20" s="16" t="s">
        <v>294</v>
      </c>
      <c r="I20" s="17">
        <f>F20*0.1545</f>
        <v>10.0425</v>
      </c>
    </row>
    <row r="21" spans="1:9" x14ac:dyDescent="0.25">
      <c r="B21" s="16">
        <v>21421</v>
      </c>
      <c r="C21" s="16" t="s">
        <v>295</v>
      </c>
      <c r="D21" s="16" t="s">
        <v>292</v>
      </c>
      <c r="E21" s="16" t="s">
        <v>296</v>
      </c>
      <c r="F21" s="110">
        <v>65</v>
      </c>
      <c r="G21" s="16" t="s">
        <v>294</v>
      </c>
      <c r="I21" s="17">
        <f t="shared" ref="I21:I32" si="1">F21*0.1545</f>
        <v>10.0425</v>
      </c>
    </row>
    <row r="22" spans="1:9" x14ac:dyDescent="0.25">
      <c r="B22" s="16">
        <v>21444</v>
      </c>
      <c r="C22" s="16" t="s">
        <v>297</v>
      </c>
      <c r="D22" s="16" t="s">
        <v>292</v>
      </c>
      <c r="E22" s="16" t="s">
        <v>298</v>
      </c>
      <c r="F22" s="110">
        <v>65</v>
      </c>
      <c r="G22" s="16" t="s">
        <v>294</v>
      </c>
      <c r="I22" s="17">
        <f t="shared" si="1"/>
        <v>10.0425</v>
      </c>
    </row>
    <row r="23" spans="1:9" x14ac:dyDescent="0.25">
      <c r="B23" s="16">
        <v>21453</v>
      </c>
      <c r="C23" s="16" t="s">
        <v>299</v>
      </c>
      <c r="D23" s="16" t="s">
        <v>292</v>
      </c>
      <c r="E23" s="16" t="s">
        <v>300</v>
      </c>
      <c r="F23" s="110">
        <v>65</v>
      </c>
      <c r="G23" s="16" t="s">
        <v>294</v>
      </c>
      <c r="I23" s="17">
        <f t="shared" si="1"/>
        <v>10.0425</v>
      </c>
    </row>
    <row r="24" spans="1:9" x14ac:dyDescent="0.25">
      <c r="B24" s="16">
        <v>21481</v>
      </c>
      <c r="C24" s="16" t="s">
        <v>301</v>
      </c>
      <c r="D24" s="16" t="s">
        <v>292</v>
      </c>
      <c r="E24" s="16" t="s">
        <v>302</v>
      </c>
      <c r="F24" s="110">
        <v>65</v>
      </c>
      <c r="G24" s="16" t="s">
        <v>294</v>
      </c>
      <c r="I24" s="17">
        <f t="shared" si="1"/>
        <v>10.0425</v>
      </c>
    </row>
    <row r="25" spans="1:9" x14ac:dyDescent="0.25">
      <c r="B25" s="16">
        <v>21491</v>
      </c>
      <c r="C25" s="16" t="s">
        <v>303</v>
      </c>
      <c r="D25" s="16" t="s">
        <v>292</v>
      </c>
      <c r="E25" s="16" t="s">
        <v>304</v>
      </c>
      <c r="F25" s="110">
        <v>65</v>
      </c>
      <c r="G25" s="16" t="s">
        <v>294</v>
      </c>
      <c r="I25" s="17">
        <f t="shared" si="1"/>
        <v>10.0425</v>
      </c>
    </row>
    <row r="26" spans="1:9" x14ac:dyDescent="0.25">
      <c r="B26" s="16">
        <v>21514</v>
      </c>
      <c r="C26" s="16" t="s">
        <v>305</v>
      </c>
      <c r="D26" s="16" t="s">
        <v>292</v>
      </c>
      <c r="E26" s="16" t="s">
        <v>306</v>
      </c>
      <c r="F26" s="110">
        <v>65</v>
      </c>
      <c r="G26" s="16" t="s">
        <v>294</v>
      </c>
      <c r="I26" s="17">
        <f t="shared" si="1"/>
        <v>10.0425</v>
      </c>
    </row>
    <row r="27" spans="1:9" x14ac:dyDescent="0.25">
      <c r="B27" s="16">
        <v>21542</v>
      </c>
      <c r="C27" s="16" t="s">
        <v>307</v>
      </c>
      <c r="D27" s="16" t="s">
        <v>292</v>
      </c>
      <c r="E27" s="16" t="s">
        <v>308</v>
      </c>
      <c r="F27" s="110">
        <v>65</v>
      </c>
      <c r="G27" s="16" t="s">
        <v>294</v>
      </c>
      <c r="I27" s="17">
        <f t="shared" si="1"/>
        <v>10.0425</v>
      </c>
    </row>
    <row r="28" spans="1:9" x14ac:dyDescent="0.25">
      <c r="B28" s="16">
        <v>21577</v>
      </c>
      <c r="C28" s="16" t="s">
        <v>309</v>
      </c>
      <c r="D28" s="16" t="s">
        <v>292</v>
      </c>
      <c r="E28" s="16" t="s">
        <v>310</v>
      </c>
      <c r="F28" s="110">
        <v>65</v>
      </c>
      <c r="G28" s="16" t="s">
        <v>294</v>
      </c>
      <c r="I28" s="17">
        <f t="shared" si="1"/>
        <v>10.0425</v>
      </c>
    </row>
    <row r="29" spans="1:9" x14ac:dyDescent="0.25">
      <c r="B29" s="16">
        <v>21602</v>
      </c>
      <c r="C29" s="16" t="s">
        <v>311</v>
      </c>
      <c r="D29" s="16" t="s">
        <v>292</v>
      </c>
      <c r="E29" s="16" t="s">
        <v>312</v>
      </c>
      <c r="F29" s="110">
        <v>65</v>
      </c>
      <c r="G29" s="16" t="s">
        <v>294</v>
      </c>
      <c r="I29" s="17">
        <f t="shared" si="1"/>
        <v>10.0425</v>
      </c>
    </row>
    <row r="30" spans="1:9" x14ac:dyDescent="0.25">
      <c r="B30" s="16">
        <v>21624</v>
      </c>
      <c r="C30" s="16" t="s">
        <v>313</v>
      </c>
      <c r="D30" s="16" t="s">
        <v>292</v>
      </c>
      <c r="E30" s="16" t="s">
        <v>314</v>
      </c>
      <c r="F30" s="110">
        <v>65</v>
      </c>
      <c r="G30" s="16" t="s">
        <v>294</v>
      </c>
      <c r="I30" s="17">
        <f t="shared" si="1"/>
        <v>10.0425</v>
      </c>
    </row>
    <row r="31" spans="1:9" x14ac:dyDescent="0.25">
      <c r="B31" s="16">
        <v>21643</v>
      </c>
      <c r="C31" s="16" t="s">
        <v>315</v>
      </c>
      <c r="D31" s="16" t="s">
        <v>292</v>
      </c>
      <c r="E31" s="16" t="s">
        <v>316</v>
      </c>
      <c r="F31" s="110">
        <v>65</v>
      </c>
      <c r="G31" s="16" t="s">
        <v>294</v>
      </c>
      <c r="I31" s="17">
        <f t="shared" si="1"/>
        <v>10.0425</v>
      </c>
    </row>
    <row r="32" spans="1:9" x14ac:dyDescent="0.25">
      <c r="B32" s="16">
        <v>21561</v>
      </c>
      <c r="C32" s="16" t="s">
        <v>317</v>
      </c>
      <c r="D32" s="16" t="s">
        <v>318</v>
      </c>
      <c r="E32" s="16" t="s">
        <v>319</v>
      </c>
      <c r="F32" s="115">
        <v>200</v>
      </c>
      <c r="G32" s="16" t="s">
        <v>294</v>
      </c>
      <c r="I32" s="17">
        <f t="shared" si="1"/>
        <v>30.9</v>
      </c>
    </row>
    <row r="33" spans="1:9" x14ac:dyDescent="0.25">
      <c r="H33" s="16" t="s">
        <v>289</v>
      </c>
      <c r="I33" s="17">
        <f>SUM(I20:I32)</f>
        <v>151.41000000000003</v>
      </c>
    </row>
    <row r="34" spans="1:9" ht="45" x14ac:dyDescent="0.25">
      <c r="A34" s="11" t="s">
        <v>320</v>
      </c>
    </row>
    <row r="35" spans="1:9" x14ac:dyDescent="0.25">
      <c r="B35" s="16">
        <v>21402</v>
      </c>
      <c r="C35" s="16" t="s">
        <v>321</v>
      </c>
      <c r="D35" s="16" t="s">
        <v>322</v>
      </c>
      <c r="E35" s="16" t="s">
        <v>323</v>
      </c>
      <c r="F35" s="110">
        <v>63.52</v>
      </c>
      <c r="G35" s="16" t="s">
        <v>324</v>
      </c>
      <c r="I35" s="17">
        <f>F35*0.1545</f>
        <v>9.8138400000000008</v>
      </c>
    </row>
    <row r="36" spans="1:9" x14ac:dyDescent="0.25">
      <c r="B36" s="16">
        <v>21414</v>
      </c>
      <c r="C36" s="16" t="s">
        <v>325</v>
      </c>
      <c r="D36" s="16" t="s">
        <v>322</v>
      </c>
      <c r="E36" s="16" t="s">
        <v>323</v>
      </c>
      <c r="F36" s="110">
        <v>150</v>
      </c>
      <c r="G36" s="16" t="s">
        <v>324</v>
      </c>
      <c r="I36" s="17">
        <f t="shared" ref="I36:I47" si="2">F36*0.1545</f>
        <v>23.175000000000001</v>
      </c>
    </row>
    <row r="37" spans="1:9" x14ac:dyDescent="0.25">
      <c r="B37" s="16">
        <v>21440</v>
      </c>
      <c r="C37" s="16" t="s">
        <v>326</v>
      </c>
      <c r="D37" s="16" t="s">
        <v>322</v>
      </c>
      <c r="E37" s="16" t="s">
        <v>327</v>
      </c>
      <c r="F37" s="110">
        <v>235.6</v>
      </c>
      <c r="G37" s="16" t="s">
        <v>324</v>
      </c>
      <c r="I37" s="17">
        <f t="shared" si="2"/>
        <v>36.400199999999998</v>
      </c>
    </row>
    <row r="38" spans="1:9" x14ac:dyDescent="0.25">
      <c r="B38" s="16">
        <v>21462</v>
      </c>
      <c r="C38" s="16" t="s">
        <v>328</v>
      </c>
      <c r="D38" s="16" t="s">
        <v>322</v>
      </c>
      <c r="E38" s="16" t="s">
        <v>329</v>
      </c>
      <c r="F38" s="110">
        <v>122.8</v>
      </c>
      <c r="G38" s="16" t="s">
        <v>324</v>
      </c>
      <c r="I38" s="17">
        <f t="shared" si="2"/>
        <v>18.9726</v>
      </c>
    </row>
    <row r="39" spans="1:9" x14ac:dyDescent="0.25">
      <c r="B39" s="16">
        <v>21478</v>
      </c>
      <c r="C39" s="16" t="s">
        <v>330</v>
      </c>
      <c r="D39" s="16" t="s">
        <v>322</v>
      </c>
      <c r="E39" s="16" t="s">
        <v>327</v>
      </c>
      <c r="F39" s="110">
        <v>209.25</v>
      </c>
      <c r="G39" s="16" t="s">
        <v>324</v>
      </c>
      <c r="I39" s="17">
        <f t="shared" si="2"/>
        <v>32.329124999999998</v>
      </c>
    </row>
    <row r="40" spans="1:9" x14ac:dyDescent="0.25">
      <c r="B40" s="16">
        <v>21498</v>
      </c>
      <c r="C40" s="16" t="s">
        <v>331</v>
      </c>
      <c r="D40" s="16" t="s">
        <v>322</v>
      </c>
      <c r="E40" s="16" t="s">
        <v>327</v>
      </c>
      <c r="F40" s="110">
        <v>105.83</v>
      </c>
      <c r="G40" s="16" t="s">
        <v>324</v>
      </c>
      <c r="I40" s="17">
        <f t="shared" si="2"/>
        <v>16.350735</v>
      </c>
    </row>
    <row r="41" spans="1:9" x14ac:dyDescent="0.25">
      <c r="B41" s="16">
        <v>21513</v>
      </c>
      <c r="C41" s="16" t="s">
        <v>332</v>
      </c>
      <c r="D41" s="16" t="s">
        <v>322</v>
      </c>
      <c r="E41" s="16" t="s">
        <v>329</v>
      </c>
      <c r="F41" s="110">
        <v>54.87</v>
      </c>
      <c r="G41" s="16" t="s">
        <v>324</v>
      </c>
      <c r="I41" s="17">
        <f t="shared" si="2"/>
        <v>8.4774149999999988</v>
      </c>
    </row>
    <row r="42" spans="1:9" x14ac:dyDescent="0.25">
      <c r="B42" s="16">
        <v>21549</v>
      </c>
      <c r="C42" s="16" t="s">
        <v>333</v>
      </c>
      <c r="D42" s="16" t="s">
        <v>322</v>
      </c>
      <c r="E42" s="16" t="s">
        <v>327</v>
      </c>
      <c r="F42" s="110">
        <v>143.22</v>
      </c>
      <c r="G42" s="16" t="s">
        <v>324</v>
      </c>
      <c r="I42" s="17">
        <f t="shared" si="2"/>
        <v>22.127489999999998</v>
      </c>
    </row>
    <row r="43" spans="1:9" x14ac:dyDescent="0.25">
      <c r="B43" s="16">
        <v>21576</v>
      </c>
      <c r="C43" s="16" t="s">
        <v>334</v>
      </c>
      <c r="D43" s="16" t="s">
        <v>322</v>
      </c>
      <c r="E43" s="16" t="s">
        <v>327</v>
      </c>
      <c r="F43" s="110">
        <v>0</v>
      </c>
      <c r="G43" s="16" t="s">
        <v>324</v>
      </c>
      <c r="I43" s="17">
        <f t="shared" si="2"/>
        <v>0</v>
      </c>
    </row>
    <row r="44" spans="1:9" x14ac:dyDescent="0.25">
      <c r="B44" s="16">
        <v>21579</v>
      </c>
      <c r="C44" s="16" t="s">
        <v>335</v>
      </c>
      <c r="D44" s="16" t="s">
        <v>322</v>
      </c>
      <c r="E44" s="16" t="s">
        <v>327</v>
      </c>
      <c r="F44" s="110">
        <v>40.729999999999997</v>
      </c>
      <c r="G44" s="16" t="s">
        <v>324</v>
      </c>
      <c r="I44" s="17">
        <f t="shared" si="2"/>
        <v>6.2927849999999994</v>
      </c>
    </row>
    <row r="45" spans="1:9" x14ac:dyDescent="0.25">
      <c r="B45" s="16">
        <v>21601</v>
      </c>
      <c r="C45" s="16" t="s">
        <v>336</v>
      </c>
      <c r="D45" s="16" t="s">
        <v>322</v>
      </c>
      <c r="E45" s="16" t="s">
        <v>327</v>
      </c>
      <c r="F45" s="110">
        <v>27.52</v>
      </c>
      <c r="G45" s="16" t="s">
        <v>324</v>
      </c>
      <c r="I45" s="17">
        <f t="shared" si="2"/>
        <v>4.2518399999999996</v>
      </c>
    </row>
    <row r="46" spans="1:9" x14ac:dyDescent="0.25">
      <c r="B46" s="16">
        <v>21621</v>
      </c>
      <c r="C46" s="16" t="s">
        <v>337</v>
      </c>
      <c r="D46" s="16" t="s">
        <v>322</v>
      </c>
      <c r="E46" s="16" t="s">
        <v>329</v>
      </c>
      <c r="F46" s="110">
        <v>16.670000000000002</v>
      </c>
      <c r="G46" s="16" t="s">
        <v>324</v>
      </c>
      <c r="I46" s="17">
        <f t="shared" si="2"/>
        <v>2.5755150000000002</v>
      </c>
    </row>
    <row r="47" spans="1:9" x14ac:dyDescent="0.25">
      <c r="B47" s="16">
        <v>21645</v>
      </c>
      <c r="C47" s="16" t="s">
        <v>338</v>
      </c>
      <c r="D47" s="16" t="s">
        <v>322</v>
      </c>
      <c r="E47" s="16" t="s">
        <v>327</v>
      </c>
      <c r="F47" s="110">
        <v>92.77</v>
      </c>
      <c r="G47" s="16" t="s">
        <v>324</v>
      </c>
      <c r="I47" s="17">
        <f t="shared" si="2"/>
        <v>14.332965</v>
      </c>
    </row>
    <row r="48" spans="1:9" x14ac:dyDescent="0.25">
      <c r="F48" s="110"/>
      <c r="H48" s="16" t="s">
        <v>289</v>
      </c>
      <c r="I48" s="17">
        <f>SUM(I35:I47)</f>
        <v>195.09950999999998</v>
      </c>
    </row>
    <row r="49" spans="1:9" ht="45" x14ac:dyDescent="0.25">
      <c r="A49" s="11" t="s">
        <v>339</v>
      </c>
    </row>
    <row r="50" spans="1:9" x14ac:dyDescent="0.25">
      <c r="B50" s="16">
        <v>21507</v>
      </c>
      <c r="C50" s="16" t="s">
        <v>340</v>
      </c>
      <c r="D50" s="16" t="s">
        <v>341</v>
      </c>
      <c r="E50" s="16" t="s">
        <v>342</v>
      </c>
      <c r="F50" s="110">
        <v>2250</v>
      </c>
      <c r="G50" s="16" t="s">
        <v>324</v>
      </c>
      <c r="I50" s="17">
        <f>F50*0.1545</f>
        <v>347.625</v>
      </c>
    </row>
    <row r="51" spans="1:9" x14ac:dyDescent="0.25">
      <c r="B51" s="16">
        <v>21556</v>
      </c>
      <c r="C51" s="16" t="s">
        <v>343</v>
      </c>
      <c r="D51" s="16" t="s">
        <v>341</v>
      </c>
      <c r="E51" s="16" t="s">
        <v>344</v>
      </c>
      <c r="F51" s="110">
        <v>2450</v>
      </c>
      <c r="G51" s="16" t="s">
        <v>324</v>
      </c>
      <c r="I51" s="17">
        <f t="shared" ref="I51:I56" si="3">F51*0.1545</f>
        <v>378.52499999999998</v>
      </c>
    </row>
    <row r="52" spans="1:9" x14ac:dyDescent="0.25">
      <c r="B52" s="16">
        <v>21582</v>
      </c>
      <c r="C52" s="16" t="s">
        <v>345</v>
      </c>
      <c r="D52" s="16" t="s">
        <v>341</v>
      </c>
      <c r="E52" s="16" t="s">
        <v>346</v>
      </c>
      <c r="F52" s="110">
        <v>2350</v>
      </c>
      <c r="G52" s="16" t="s">
        <v>324</v>
      </c>
      <c r="I52" s="17">
        <f t="shared" si="3"/>
        <v>363.07499999999999</v>
      </c>
    </row>
    <row r="53" spans="1:9" x14ac:dyDescent="0.25">
      <c r="B53" s="16">
        <v>21608</v>
      </c>
      <c r="C53" s="16" t="s">
        <v>347</v>
      </c>
      <c r="D53" s="16" t="s">
        <v>341</v>
      </c>
      <c r="E53" s="16" t="s">
        <v>348</v>
      </c>
      <c r="F53" s="110">
        <v>2350</v>
      </c>
      <c r="G53" s="16" t="s">
        <v>324</v>
      </c>
      <c r="I53" s="17">
        <f t="shared" si="3"/>
        <v>363.07499999999999</v>
      </c>
    </row>
    <row r="54" spans="1:9" x14ac:dyDescent="0.25">
      <c r="B54" s="16">
        <v>21612</v>
      </c>
      <c r="C54" s="16" t="s">
        <v>349</v>
      </c>
      <c r="D54" s="16" t="s">
        <v>341</v>
      </c>
      <c r="E54" s="16" t="s">
        <v>350</v>
      </c>
      <c r="F54" s="110">
        <v>2350</v>
      </c>
      <c r="G54" s="16" t="s">
        <v>324</v>
      </c>
      <c r="I54" s="17">
        <f t="shared" si="3"/>
        <v>363.07499999999999</v>
      </c>
    </row>
    <row r="55" spans="1:9" x14ac:dyDescent="0.25">
      <c r="B55" s="16">
        <v>21625</v>
      </c>
      <c r="C55" s="16" t="s">
        <v>351</v>
      </c>
      <c r="D55" s="16" t="s">
        <v>341</v>
      </c>
      <c r="E55" s="16" t="s">
        <v>352</v>
      </c>
      <c r="F55" s="110">
        <v>2350</v>
      </c>
      <c r="G55" s="16" t="s">
        <v>324</v>
      </c>
      <c r="I55" s="17">
        <f t="shared" si="3"/>
        <v>363.07499999999999</v>
      </c>
    </row>
    <row r="56" spans="1:9" x14ac:dyDescent="0.25">
      <c r="B56" s="16">
        <v>21639</v>
      </c>
      <c r="C56" s="16" t="s">
        <v>353</v>
      </c>
      <c r="D56" s="16" t="s">
        <v>341</v>
      </c>
      <c r="E56" s="16" t="s">
        <v>354</v>
      </c>
      <c r="F56" s="110">
        <v>2350</v>
      </c>
      <c r="G56" s="16" t="s">
        <v>324</v>
      </c>
      <c r="I56" s="17">
        <f t="shared" si="3"/>
        <v>363.07499999999999</v>
      </c>
    </row>
    <row r="57" spans="1:9" x14ac:dyDescent="0.25">
      <c r="F57" s="110"/>
      <c r="H57" s="16" t="s">
        <v>289</v>
      </c>
      <c r="I57" s="17">
        <f>SUM(I50:I56)</f>
        <v>2541.5249999999996</v>
      </c>
    </row>
    <row r="58" spans="1:9" x14ac:dyDescent="0.25">
      <c r="F58" s="110"/>
      <c r="I58" s="17"/>
    </row>
    <row r="59" spans="1:9" ht="30" x14ac:dyDescent="0.25">
      <c r="A59" s="11" t="s">
        <v>355</v>
      </c>
      <c r="F59" s="110"/>
      <c r="I59" s="17"/>
    </row>
    <row r="60" spans="1:9" x14ac:dyDescent="0.25">
      <c r="B60" s="16">
        <v>21401</v>
      </c>
      <c r="C60" s="116" t="s">
        <v>356</v>
      </c>
      <c r="D60" s="116" t="s">
        <v>357</v>
      </c>
      <c r="E60" s="16" t="s">
        <v>358</v>
      </c>
      <c r="F60" s="110">
        <v>3039.92</v>
      </c>
      <c r="G60" s="16" t="s">
        <v>324</v>
      </c>
      <c r="I60" s="17">
        <f>F60*0.1545</f>
        <v>469.66764000000001</v>
      </c>
    </row>
    <row r="61" spans="1:9" x14ac:dyDescent="0.25">
      <c r="B61" s="16">
        <v>21415</v>
      </c>
      <c r="C61" s="116" t="s">
        <v>359</v>
      </c>
      <c r="D61" s="116" t="s">
        <v>357</v>
      </c>
      <c r="E61" s="16" t="s">
        <v>360</v>
      </c>
      <c r="F61" s="110">
        <v>3082.9</v>
      </c>
      <c r="G61" s="16" t="s">
        <v>324</v>
      </c>
      <c r="I61" s="17">
        <f t="shared" ref="I61:I72" si="4">F61*0.1545</f>
        <v>476.30805000000004</v>
      </c>
    </row>
    <row r="62" spans="1:9" x14ac:dyDescent="0.25">
      <c r="B62" s="16">
        <v>21431</v>
      </c>
      <c r="C62" s="116" t="s">
        <v>361</v>
      </c>
      <c r="D62" s="116" t="s">
        <v>357</v>
      </c>
      <c r="E62" s="16" t="s">
        <v>362</v>
      </c>
      <c r="F62" s="110">
        <v>3058.9</v>
      </c>
      <c r="G62" s="16" t="s">
        <v>324</v>
      </c>
      <c r="I62" s="17">
        <f t="shared" si="4"/>
        <v>472.60005000000001</v>
      </c>
    </row>
    <row r="63" spans="1:9" x14ac:dyDescent="0.25">
      <c r="B63" s="16">
        <v>21456</v>
      </c>
      <c r="C63" s="116" t="s">
        <v>363</v>
      </c>
      <c r="D63" s="116" t="s">
        <v>357</v>
      </c>
      <c r="E63" s="16" t="s">
        <v>364</v>
      </c>
      <c r="F63" s="110">
        <v>3062.63</v>
      </c>
      <c r="G63" s="16" t="s">
        <v>324</v>
      </c>
      <c r="I63" s="17">
        <f t="shared" si="4"/>
        <v>473.17633499999999</v>
      </c>
    </row>
    <row r="64" spans="1:9" x14ac:dyDescent="0.25">
      <c r="B64" s="16">
        <v>21473</v>
      </c>
      <c r="C64" s="116" t="s">
        <v>365</v>
      </c>
      <c r="D64" s="116" t="s">
        <v>357</v>
      </c>
      <c r="E64" s="16" t="s">
        <v>366</v>
      </c>
      <c r="F64" s="110">
        <v>3090.56</v>
      </c>
      <c r="G64" s="16" t="s">
        <v>324</v>
      </c>
      <c r="I64" s="17">
        <f t="shared" si="4"/>
        <v>477.49151999999998</v>
      </c>
    </row>
    <row r="65" spans="1:9" x14ac:dyDescent="0.25">
      <c r="B65" s="16">
        <v>21485</v>
      </c>
      <c r="C65" s="116" t="s">
        <v>367</v>
      </c>
      <c r="D65" s="116" t="s">
        <v>357</v>
      </c>
      <c r="E65" s="16" t="s">
        <v>368</v>
      </c>
      <c r="F65" s="110">
        <v>3053.61</v>
      </c>
      <c r="G65" s="16" t="s">
        <v>324</v>
      </c>
      <c r="I65" s="17">
        <f t="shared" si="4"/>
        <v>471.78274500000003</v>
      </c>
    </row>
    <row r="66" spans="1:9" x14ac:dyDescent="0.25">
      <c r="B66" s="16">
        <v>21506</v>
      </c>
      <c r="C66" s="116" t="s">
        <v>369</v>
      </c>
      <c r="D66" s="116" t="s">
        <v>357</v>
      </c>
      <c r="E66" s="16" t="s">
        <v>370</v>
      </c>
      <c r="F66" s="110">
        <v>3068.31</v>
      </c>
      <c r="G66" s="16" t="s">
        <v>324</v>
      </c>
      <c r="I66" s="17">
        <f t="shared" si="4"/>
        <v>474.05389500000001</v>
      </c>
    </row>
    <row r="67" spans="1:9" x14ac:dyDescent="0.25">
      <c r="B67" s="16">
        <v>21539</v>
      </c>
      <c r="C67" s="116" t="s">
        <v>371</v>
      </c>
      <c r="D67" s="116" t="s">
        <v>357</v>
      </c>
      <c r="E67" s="16" t="s">
        <v>372</v>
      </c>
      <c r="F67" s="110">
        <v>3096.6</v>
      </c>
      <c r="G67" s="16" t="s">
        <v>324</v>
      </c>
      <c r="I67" s="17">
        <f t="shared" si="4"/>
        <v>478.42469999999997</v>
      </c>
    </row>
    <row r="68" spans="1:9" x14ac:dyDescent="0.25">
      <c r="B68" s="16">
        <v>21571</v>
      </c>
      <c r="C68" s="116" t="s">
        <v>373</v>
      </c>
      <c r="D68" s="116" t="s">
        <v>357</v>
      </c>
      <c r="E68" s="16" t="s">
        <v>374</v>
      </c>
      <c r="F68" s="110">
        <v>3075.24</v>
      </c>
      <c r="G68" s="16" t="s">
        <v>324</v>
      </c>
      <c r="I68" s="17">
        <f t="shared" si="4"/>
        <v>475.12457999999998</v>
      </c>
    </row>
    <row r="69" spans="1:9" x14ac:dyDescent="0.25">
      <c r="B69" s="16">
        <v>21598</v>
      </c>
      <c r="C69" s="116" t="s">
        <v>375</v>
      </c>
      <c r="D69" s="116" t="s">
        <v>357</v>
      </c>
      <c r="E69" s="16" t="s">
        <v>376</v>
      </c>
      <c r="F69" s="110">
        <v>3087.92</v>
      </c>
      <c r="G69" s="16" t="s">
        <v>324</v>
      </c>
      <c r="I69" s="17">
        <f t="shared" si="4"/>
        <v>477.08364</v>
      </c>
    </row>
    <row r="70" spans="1:9" x14ac:dyDescent="0.25">
      <c r="B70" s="16">
        <v>21611</v>
      </c>
      <c r="C70" s="116" t="s">
        <v>377</v>
      </c>
      <c r="D70" s="116" t="s">
        <v>357</v>
      </c>
      <c r="E70" s="16" t="s">
        <v>378</v>
      </c>
      <c r="F70" s="110">
        <v>3102.58</v>
      </c>
      <c r="G70" s="16" t="s">
        <v>324</v>
      </c>
      <c r="I70" s="17">
        <f t="shared" si="4"/>
        <v>479.34861000000001</v>
      </c>
    </row>
    <row r="71" spans="1:9" x14ac:dyDescent="0.25">
      <c r="B71" s="16">
        <v>21620</v>
      </c>
      <c r="C71" s="116" t="s">
        <v>379</v>
      </c>
      <c r="D71" s="116" t="s">
        <v>357</v>
      </c>
      <c r="E71" s="16" t="s">
        <v>380</v>
      </c>
      <c r="F71" s="16">
        <v>360</v>
      </c>
      <c r="G71" s="16" t="s">
        <v>324</v>
      </c>
      <c r="I71" s="17">
        <f t="shared" si="4"/>
        <v>55.62</v>
      </c>
    </row>
    <row r="72" spans="1:9" x14ac:dyDescent="0.25">
      <c r="B72" s="16">
        <v>21630</v>
      </c>
      <c r="C72" s="116" t="s">
        <v>381</v>
      </c>
      <c r="D72" s="116" t="s">
        <v>357</v>
      </c>
      <c r="E72" s="16" t="s">
        <v>382</v>
      </c>
      <c r="F72" s="16">
        <v>3098.47</v>
      </c>
      <c r="G72" s="16" t="s">
        <v>324</v>
      </c>
      <c r="I72" s="17">
        <f t="shared" si="4"/>
        <v>478.71361499999995</v>
      </c>
    </row>
    <row r="73" spans="1:9" x14ac:dyDescent="0.25">
      <c r="C73" s="116"/>
      <c r="D73" s="116"/>
      <c r="H73" s="16" t="s">
        <v>289</v>
      </c>
      <c r="I73" s="17">
        <f>SUM(I60:I72)</f>
        <v>5759.395379999999</v>
      </c>
    </row>
    <row r="74" spans="1:9" ht="60" x14ac:dyDescent="0.25">
      <c r="A74" s="11" t="s">
        <v>383</v>
      </c>
      <c r="C74" s="117"/>
      <c r="D74" s="117"/>
    </row>
    <row r="75" spans="1:9" x14ac:dyDescent="0.25">
      <c r="B75" s="16">
        <v>21398</v>
      </c>
      <c r="C75" s="16" t="s">
        <v>384</v>
      </c>
      <c r="D75" s="16" t="s">
        <v>385</v>
      </c>
      <c r="E75" s="16" t="s">
        <v>386</v>
      </c>
      <c r="F75" s="17">
        <v>1782.5</v>
      </c>
      <c r="G75" s="16" t="s">
        <v>387</v>
      </c>
      <c r="I75" s="17">
        <v>1782.5</v>
      </c>
    </row>
    <row r="76" spans="1:9" x14ac:dyDescent="0.25">
      <c r="B76" s="16">
        <v>21399</v>
      </c>
      <c r="C76" s="16" t="s">
        <v>388</v>
      </c>
      <c r="D76" s="16" t="s">
        <v>385</v>
      </c>
      <c r="E76" s="16" t="s">
        <v>389</v>
      </c>
      <c r="F76" s="17">
        <v>4063</v>
      </c>
      <c r="G76" s="16" t="s">
        <v>387</v>
      </c>
      <c r="I76" s="17">
        <v>4063</v>
      </c>
    </row>
    <row r="77" spans="1:9" x14ac:dyDescent="0.25">
      <c r="B77" s="16">
        <v>21428</v>
      </c>
      <c r="C77" s="16" t="s">
        <v>390</v>
      </c>
      <c r="D77" s="16" t="s">
        <v>385</v>
      </c>
      <c r="E77" s="16" t="s">
        <v>344</v>
      </c>
      <c r="F77" s="17">
        <v>1864</v>
      </c>
      <c r="G77" s="16" t="s">
        <v>387</v>
      </c>
      <c r="I77" s="17">
        <v>1864</v>
      </c>
    </row>
    <row r="78" spans="1:9" x14ac:dyDescent="0.25">
      <c r="B78" s="16">
        <v>21459</v>
      </c>
      <c r="C78" s="16" t="s">
        <v>391</v>
      </c>
      <c r="D78" s="16" t="s">
        <v>385</v>
      </c>
      <c r="E78" s="16" t="s">
        <v>344</v>
      </c>
      <c r="F78" s="17">
        <v>1884</v>
      </c>
      <c r="G78" s="16" t="s">
        <v>387</v>
      </c>
      <c r="I78" s="17">
        <v>1884</v>
      </c>
    </row>
    <row r="79" spans="1:9" x14ac:dyDescent="0.25">
      <c r="B79" s="16">
        <v>21474</v>
      </c>
      <c r="C79" s="16" t="s">
        <v>392</v>
      </c>
      <c r="D79" s="16" t="s">
        <v>385</v>
      </c>
      <c r="E79" s="16" t="s">
        <v>344</v>
      </c>
      <c r="F79" s="17">
        <v>1910</v>
      </c>
      <c r="G79" s="16" t="s">
        <v>387</v>
      </c>
      <c r="I79" s="17">
        <v>1910</v>
      </c>
    </row>
    <row r="80" spans="1:9" x14ac:dyDescent="0.25">
      <c r="B80" s="16">
        <v>21490</v>
      </c>
      <c r="C80" s="16" t="s">
        <v>393</v>
      </c>
      <c r="D80" s="16" t="s">
        <v>385</v>
      </c>
      <c r="E80" s="16" t="s">
        <v>344</v>
      </c>
      <c r="F80" s="17">
        <v>4020</v>
      </c>
      <c r="G80" s="16" t="s">
        <v>387</v>
      </c>
      <c r="I80" s="17">
        <v>4020</v>
      </c>
    </row>
    <row r="81" spans="1:9" x14ac:dyDescent="0.25">
      <c r="B81" s="16">
        <v>21511</v>
      </c>
      <c r="C81" s="16" t="s">
        <v>394</v>
      </c>
      <c r="D81" s="16" t="s">
        <v>385</v>
      </c>
      <c r="E81" s="16" t="s">
        <v>344</v>
      </c>
      <c r="F81" s="17">
        <v>6600</v>
      </c>
      <c r="G81" s="16" t="s">
        <v>387</v>
      </c>
      <c r="I81" s="17">
        <v>6600</v>
      </c>
    </row>
    <row r="82" spans="1:9" x14ac:dyDescent="0.25">
      <c r="B82" s="16">
        <v>21540</v>
      </c>
      <c r="C82" s="16" t="s">
        <v>395</v>
      </c>
      <c r="D82" s="16" t="s">
        <v>385</v>
      </c>
      <c r="E82" s="16" t="s">
        <v>344</v>
      </c>
      <c r="F82" s="17">
        <v>3317</v>
      </c>
      <c r="G82" s="16" t="s">
        <v>387</v>
      </c>
      <c r="I82" s="17">
        <v>3317</v>
      </c>
    </row>
    <row r="83" spans="1:9" x14ac:dyDescent="0.25">
      <c r="B83" s="16">
        <v>21550</v>
      </c>
      <c r="C83" s="16" t="s">
        <v>396</v>
      </c>
      <c r="D83" s="16" t="s">
        <v>385</v>
      </c>
      <c r="E83" s="16" t="s">
        <v>344</v>
      </c>
      <c r="F83" s="17">
        <v>2977</v>
      </c>
      <c r="G83" s="16" t="s">
        <v>387</v>
      </c>
      <c r="I83" s="17">
        <v>2977</v>
      </c>
    </row>
    <row r="84" spans="1:9" x14ac:dyDescent="0.25">
      <c r="B84" s="16">
        <v>21566</v>
      </c>
      <c r="C84" s="16" t="s">
        <v>397</v>
      </c>
      <c r="D84" s="16" t="s">
        <v>385</v>
      </c>
      <c r="E84" s="16" t="s">
        <v>398</v>
      </c>
      <c r="F84" s="17">
        <v>1442.5</v>
      </c>
      <c r="G84" s="16" t="s">
        <v>387</v>
      </c>
      <c r="I84" s="17">
        <v>1442.5</v>
      </c>
    </row>
    <row r="85" spans="1:9" x14ac:dyDescent="0.25">
      <c r="B85" s="16">
        <v>21599</v>
      </c>
      <c r="C85" s="16" t="s">
        <v>399</v>
      </c>
      <c r="D85" s="16" t="s">
        <v>385</v>
      </c>
      <c r="E85" s="16" t="s">
        <v>400</v>
      </c>
      <c r="F85" s="17">
        <v>1539</v>
      </c>
      <c r="G85" s="16" t="s">
        <v>387</v>
      </c>
      <c r="I85" s="17">
        <v>1539</v>
      </c>
    </row>
    <row r="86" spans="1:9" s="71" customFormat="1" x14ac:dyDescent="0.25">
      <c r="A86" s="40"/>
      <c r="B86" s="71">
        <v>21615</v>
      </c>
      <c r="C86" s="71" t="s">
        <v>401</v>
      </c>
      <c r="D86" s="71" t="s">
        <v>385</v>
      </c>
      <c r="E86" s="71" t="s">
        <v>344</v>
      </c>
      <c r="F86" s="87">
        <v>1366.5</v>
      </c>
      <c r="G86" s="71" t="s">
        <v>387</v>
      </c>
      <c r="I86" s="118">
        <v>1366.5</v>
      </c>
    </row>
    <row r="87" spans="1:9" x14ac:dyDescent="0.25">
      <c r="B87" s="16">
        <v>21633</v>
      </c>
      <c r="C87" s="16" t="s">
        <v>402</v>
      </c>
      <c r="D87" s="16" t="s">
        <v>385</v>
      </c>
      <c r="E87" s="16" t="s">
        <v>403</v>
      </c>
      <c r="F87" s="17">
        <v>4686.5</v>
      </c>
      <c r="G87" s="16" t="s">
        <v>387</v>
      </c>
      <c r="I87" s="17">
        <v>4686.5</v>
      </c>
    </row>
    <row r="88" spans="1:9" x14ac:dyDescent="0.25">
      <c r="B88" s="71"/>
      <c r="H88" s="16" t="s">
        <v>289</v>
      </c>
      <c r="I88" s="50">
        <f>SUM(I75:I87)</f>
        <v>37452</v>
      </c>
    </row>
    <row r="89" spans="1:9" x14ac:dyDescent="0.25">
      <c r="B89" s="71"/>
    </row>
    <row r="90" spans="1:9" x14ac:dyDescent="0.25">
      <c r="B90" s="71"/>
      <c r="F90" s="119"/>
      <c r="I90" s="17"/>
    </row>
    <row r="91" spans="1:9" ht="30" x14ac:dyDescent="0.25">
      <c r="A91" s="11" t="s">
        <v>405</v>
      </c>
      <c r="B91" s="71"/>
      <c r="F91" s="119"/>
      <c r="H91" s="16" t="s">
        <v>425</v>
      </c>
      <c r="I91" s="17">
        <f>I17+I33+I48+I57+I73+I88</f>
        <v>49974.876225</v>
      </c>
    </row>
    <row r="92" spans="1:9" x14ac:dyDescent="0.25">
      <c r="B92" s="71"/>
      <c r="F92" s="119"/>
      <c r="I92" s="17"/>
    </row>
    <row r="93" spans="1:9" x14ac:dyDescent="0.25">
      <c r="A93" s="11" t="s">
        <v>404</v>
      </c>
      <c r="B93" s="71"/>
      <c r="F93" s="119">
        <v>6096.66</v>
      </c>
      <c r="G93" s="16" t="s">
        <v>324</v>
      </c>
      <c r="I93" s="17">
        <f>F93*0.1545</f>
        <v>941.93396999999993</v>
      </c>
    </row>
    <row r="94" spans="1:9" x14ac:dyDescent="0.25">
      <c r="F94" s="119"/>
    </row>
    <row r="95" spans="1:9" ht="30" x14ac:dyDescent="0.25">
      <c r="A95" s="11" t="s">
        <v>406</v>
      </c>
      <c r="F95" s="16">
        <v>710.43</v>
      </c>
      <c r="G95" s="16" t="s">
        <v>294</v>
      </c>
      <c r="I95" s="17">
        <f>F95*0.1545</f>
        <v>109.76143499999999</v>
      </c>
    </row>
    <row r="97" spans="1:9" ht="30" x14ac:dyDescent="0.25">
      <c r="A97" s="11" t="s">
        <v>407</v>
      </c>
    </row>
    <row r="98" spans="1:9" x14ac:dyDescent="0.25">
      <c r="C98" s="16" t="s">
        <v>408</v>
      </c>
      <c r="D98" s="16" t="s">
        <v>409</v>
      </c>
      <c r="E98" s="16" t="s">
        <v>410</v>
      </c>
      <c r="F98" s="110">
        <v>660</v>
      </c>
      <c r="G98" s="16" t="s">
        <v>436</v>
      </c>
      <c r="I98" s="17">
        <v>193.2</v>
      </c>
    </row>
    <row r="99" spans="1:9" x14ac:dyDescent="0.25">
      <c r="C99" s="16" t="s">
        <v>411</v>
      </c>
      <c r="D99" s="16" t="s">
        <v>409</v>
      </c>
      <c r="E99" s="16" t="s">
        <v>412</v>
      </c>
      <c r="F99" s="110">
        <v>30</v>
      </c>
      <c r="I99" s="17"/>
    </row>
    <row r="100" spans="1:9" x14ac:dyDescent="0.25">
      <c r="C100" s="16" t="s">
        <v>413</v>
      </c>
      <c r="D100" s="16" t="s">
        <v>409</v>
      </c>
      <c r="E100" s="16" t="s">
        <v>414</v>
      </c>
      <c r="F100" s="110">
        <v>30</v>
      </c>
      <c r="I100" s="17"/>
    </row>
    <row r="101" spans="1:9" x14ac:dyDescent="0.25">
      <c r="C101" s="16" t="s">
        <v>415</v>
      </c>
      <c r="D101" s="16" t="s">
        <v>409</v>
      </c>
      <c r="E101" s="16" t="s">
        <v>416</v>
      </c>
      <c r="F101" s="110">
        <v>30</v>
      </c>
      <c r="I101" s="17"/>
    </row>
    <row r="102" spans="1:9" x14ac:dyDescent="0.25">
      <c r="C102" s="16" t="s">
        <v>417</v>
      </c>
      <c r="D102" s="16" t="s">
        <v>418</v>
      </c>
      <c r="E102" s="16" t="s">
        <v>419</v>
      </c>
      <c r="F102" s="110">
        <v>2820</v>
      </c>
      <c r="G102" s="110" t="s">
        <v>324</v>
      </c>
      <c r="H102" s="110"/>
      <c r="I102" s="17">
        <f>F102*0.1545</f>
        <v>435.69</v>
      </c>
    </row>
    <row r="103" spans="1:9" x14ac:dyDescent="0.25">
      <c r="C103" s="16" t="s">
        <v>420</v>
      </c>
      <c r="D103" s="16" t="s">
        <v>418</v>
      </c>
      <c r="E103" s="16" t="s">
        <v>421</v>
      </c>
      <c r="F103" s="110">
        <v>500</v>
      </c>
      <c r="G103" s="110" t="s">
        <v>324</v>
      </c>
      <c r="H103" s="110"/>
      <c r="I103" s="17">
        <f>F103*0.1545</f>
        <v>77.25</v>
      </c>
    </row>
    <row r="104" spans="1:9" x14ac:dyDescent="0.25">
      <c r="C104" s="16" t="s">
        <v>422</v>
      </c>
      <c r="D104" s="16" t="s">
        <v>418</v>
      </c>
      <c r="E104" s="16" t="s">
        <v>423</v>
      </c>
      <c r="F104" s="110">
        <v>250</v>
      </c>
      <c r="G104" s="110" t="s">
        <v>324</v>
      </c>
      <c r="H104" s="110"/>
      <c r="I104" s="17">
        <f>F104*0.1545</f>
        <v>38.625</v>
      </c>
    </row>
    <row r="105" spans="1:9" x14ac:dyDescent="0.25">
      <c r="C105" s="16" t="s">
        <v>424</v>
      </c>
      <c r="D105" s="16" t="s">
        <v>418</v>
      </c>
      <c r="E105" s="16" t="s">
        <v>344</v>
      </c>
      <c r="F105" s="110">
        <v>1850</v>
      </c>
      <c r="G105" s="110" t="s">
        <v>324</v>
      </c>
      <c r="H105" s="110"/>
      <c r="I105" s="17">
        <f>F105*0.1545</f>
        <v>285.82499999999999</v>
      </c>
    </row>
    <row r="106" spans="1:9" x14ac:dyDescent="0.25">
      <c r="H106" s="16" t="s">
        <v>431</v>
      </c>
      <c r="I106" s="17">
        <f>SUM(I93:I105)</f>
        <v>2082.2854050000001</v>
      </c>
    </row>
    <row r="109" spans="1:9" x14ac:dyDescent="0.25">
      <c r="F109" s="50"/>
      <c r="I109" s="50"/>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7B0F6-CAAD-4426-BB35-0A7BCFB81382}">
  <sheetPr filterMode="1"/>
  <dimension ref="A1:F24"/>
  <sheetViews>
    <sheetView workbookViewId="0">
      <selection activeCell="D24" sqref="D24"/>
    </sheetView>
  </sheetViews>
  <sheetFormatPr defaultRowHeight="15" x14ac:dyDescent="0.25"/>
  <cols>
    <col min="1" max="1" width="12.7109375" style="140" customWidth="1"/>
    <col min="2" max="2" width="31" style="140" customWidth="1"/>
    <col min="3" max="3" width="13.5703125" style="144" customWidth="1"/>
    <col min="4" max="4" width="11.28515625" customWidth="1"/>
    <col min="6" max="6" width="24" customWidth="1"/>
  </cols>
  <sheetData>
    <row r="1" spans="1:6" x14ac:dyDescent="0.25">
      <c r="A1" s="141" t="s">
        <v>90</v>
      </c>
      <c r="B1" s="141" t="s">
        <v>437</v>
      </c>
      <c r="C1" s="143" t="s">
        <v>438</v>
      </c>
      <c r="D1" s="141" t="s">
        <v>278</v>
      </c>
      <c r="E1" s="141" t="s">
        <v>439</v>
      </c>
      <c r="F1" s="141" t="s">
        <v>440</v>
      </c>
    </row>
    <row r="2" spans="1:6" x14ac:dyDescent="0.25">
      <c r="A2" s="140" t="s">
        <v>441</v>
      </c>
      <c r="B2" s="140" t="s">
        <v>442</v>
      </c>
      <c r="C2" s="144">
        <v>44001</v>
      </c>
      <c r="D2" s="86">
        <v>2175</v>
      </c>
      <c r="E2">
        <v>11183</v>
      </c>
      <c r="F2" s="140" t="s">
        <v>443</v>
      </c>
    </row>
    <row r="3" spans="1:6" x14ac:dyDescent="0.25">
      <c r="A3" s="140" t="s">
        <v>441</v>
      </c>
      <c r="B3" s="140" t="s">
        <v>442</v>
      </c>
      <c r="C3" s="144">
        <v>44001</v>
      </c>
      <c r="D3" s="86">
        <v>1000</v>
      </c>
      <c r="E3">
        <v>11185</v>
      </c>
      <c r="F3" s="140" t="s">
        <v>443</v>
      </c>
    </row>
    <row r="4" spans="1:6" x14ac:dyDescent="0.25">
      <c r="A4" s="140" t="s">
        <v>441</v>
      </c>
      <c r="B4" s="140" t="s">
        <v>442</v>
      </c>
      <c r="C4" s="144">
        <v>44155</v>
      </c>
      <c r="D4" s="86">
        <v>2175</v>
      </c>
      <c r="E4">
        <v>11556</v>
      </c>
      <c r="F4" s="140" t="s">
        <v>443</v>
      </c>
    </row>
    <row r="5" spans="1:6" x14ac:dyDescent="0.25">
      <c r="A5" s="140" t="s">
        <v>441</v>
      </c>
      <c r="B5" s="140" t="s">
        <v>442</v>
      </c>
      <c r="C5" s="144">
        <v>43518</v>
      </c>
      <c r="D5" s="86">
        <v>3645</v>
      </c>
      <c r="E5">
        <v>10116</v>
      </c>
      <c r="F5" s="140" t="s">
        <v>443</v>
      </c>
    </row>
    <row r="6" spans="1:6" x14ac:dyDescent="0.25">
      <c r="A6" s="140" t="s">
        <v>441</v>
      </c>
      <c r="B6" s="140" t="s">
        <v>442</v>
      </c>
      <c r="C6" s="144">
        <v>43630</v>
      </c>
      <c r="D6" s="86">
        <v>1425</v>
      </c>
      <c r="E6">
        <v>10346</v>
      </c>
      <c r="F6" s="140" t="s">
        <v>443</v>
      </c>
    </row>
    <row r="7" spans="1:6" x14ac:dyDescent="0.25">
      <c r="A7" s="140" t="s">
        <v>441</v>
      </c>
      <c r="B7" s="140" t="s">
        <v>442</v>
      </c>
      <c r="C7" s="144">
        <v>43819</v>
      </c>
      <c r="D7" s="86">
        <v>2700</v>
      </c>
      <c r="E7">
        <v>10812</v>
      </c>
      <c r="F7" s="140" t="s">
        <v>443</v>
      </c>
    </row>
    <row r="8" spans="1:6" x14ac:dyDescent="0.25">
      <c r="A8" s="140" t="s">
        <v>444</v>
      </c>
      <c r="B8" s="140" t="s">
        <v>442</v>
      </c>
      <c r="C8" s="144">
        <v>44001</v>
      </c>
      <c r="D8" s="86">
        <v>500</v>
      </c>
      <c r="E8">
        <v>36603</v>
      </c>
      <c r="F8" s="140" t="s">
        <v>443</v>
      </c>
    </row>
    <row r="9" spans="1:6" x14ac:dyDescent="0.25">
      <c r="A9" s="140" t="s">
        <v>444</v>
      </c>
      <c r="B9" s="140" t="s">
        <v>442</v>
      </c>
      <c r="C9" s="144">
        <v>43819</v>
      </c>
      <c r="D9" s="86">
        <v>1250</v>
      </c>
      <c r="E9">
        <v>35532</v>
      </c>
      <c r="F9" s="140" t="s">
        <v>443</v>
      </c>
    </row>
    <row r="10" spans="1:6" hidden="1" x14ac:dyDescent="0.25">
      <c r="A10" s="140" t="s">
        <v>441</v>
      </c>
      <c r="B10" s="140" t="s">
        <v>445</v>
      </c>
      <c r="C10" s="144">
        <v>44112</v>
      </c>
      <c r="D10" s="86">
        <v>400</v>
      </c>
      <c r="E10">
        <v>11449</v>
      </c>
      <c r="F10" s="140" t="s">
        <v>446</v>
      </c>
    </row>
    <row r="11" spans="1:6" hidden="1" x14ac:dyDescent="0.25">
      <c r="A11" s="140" t="s">
        <v>441</v>
      </c>
      <c r="B11" s="140" t="s">
        <v>445</v>
      </c>
      <c r="C11" s="144">
        <v>44120</v>
      </c>
      <c r="D11" s="86">
        <v>100</v>
      </c>
      <c r="E11">
        <v>11471</v>
      </c>
      <c r="F11" s="140" t="s">
        <v>446</v>
      </c>
    </row>
    <row r="12" spans="1:6" hidden="1" x14ac:dyDescent="0.25">
      <c r="A12" s="140" t="s">
        <v>441</v>
      </c>
      <c r="B12" s="140" t="s">
        <v>445</v>
      </c>
      <c r="C12" s="144">
        <v>43580</v>
      </c>
      <c r="D12" s="86">
        <v>400</v>
      </c>
      <c r="E12">
        <v>10241</v>
      </c>
      <c r="F12" s="140" t="s">
        <v>446</v>
      </c>
    </row>
    <row r="13" spans="1:6" hidden="1" x14ac:dyDescent="0.25">
      <c r="A13" s="140" t="s">
        <v>441</v>
      </c>
      <c r="B13" s="140" t="s">
        <v>445</v>
      </c>
      <c r="C13" s="144">
        <v>43616</v>
      </c>
      <c r="D13" s="86">
        <v>1425</v>
      </c>
      <c r="E13">
        <v>10346</v>
      </c>
      <c r="F13" s="140" t="s">
        <v>446</v>
      </c>
    </row>
    <row r="14" spans="1:6" hidden="1" x14ac:dyDescent="0.25">
      <c r="A14" s="140" t="s">
        <v>441</v>
      </c>
      <c r="B14" s="140" t="s">
        <v>445</v>
      </c>
      <c r="C14" s="144">
        <v>43714</v>
      </c>
      <c r="D14" s="86">
        <v>700</v>
      </c>
      <c r="E14">
        <v>10584</v>
      </c>
      <c r="F14" s="140" t="s">
        <v>446</v>
      </c>
    </row>
    <row r="15" spans="1:6" hidden="1" x14ac:dyDescent="0.25">
      <c r="A15" s="140" t="s">
        <v>441</v>
      </c>
      <c r="B15" s="140" t="s">
        <v>445</v>
      </c>
      <c r="C15" s="144">
        <v>43791</v>
      </c>
      <c r="D15" s="86">
        <v>400</v>
      </c>
      <c r="E15">
        <v>10736</v>
      </c>
      <c r="F15" s="140" t="s">
        <v>446</v>
      </c>
    </row>
    <row r="16" spans="1:6" hidden="1" x14ac:dyDescent="0.25">
      <c r="A16" s="140" t="s">
        <v>441</v>
      </c>
      <c r="B16" s="140" t="s">
        <v>463</v>
      </c>
      <c r="C16" s="144">
        <v>44274</v>
      </c>
      <c r="D16" s="86">
        <v>600</v>
      </c>
      <c r="E16">
        <v>11859</v>
      </c>
      <c r="F16" s="148" t="s">
        <v>446</v>
      </c>
    </row>
    <row r="17" spans="1:6" hidden="1" x14ac:dyDescent="0.25">
      <c r="A17" s="140" t="s">
        <v>441</v>
      </c>
      <c r="B17" s="140" t="s">
        <v>463</v>
      </c>
      <c r="C17" s="144">
        <v>44372</v>
      </c>
      <c r="D17" s="86">
        <v>250</v>
      </c>
      <c r="E17">
        <v>12112</v>
      </c>
      <c r="F17" s="148" t="s">
        <v>446</v>
      </c>
    </row>
    <row r="18" spans="1:6" hidden="1" x14ac:dyDescent="0.25">
      <c r="A18" s="140" t="s">
        <v>441</v>
      </c>
      <c r="B18" s="140" t="s">
        <v>463</v>
      </c>
      <c r="C18" s="144">
        <v>44386</v>
      </c>
      <c r="D18" s="86">
        <v>480</v>
      </c>
      <c r="E18">
        <v>12279</v>
      </c>
      <c r="F18" s="148" t="s">
        <v>446</v>
      </c>
    </row>
    <row r="19" spans="1:6" hidden="1" x14ac:dyDescent="0.25">
      <c r="A19" s="140" t="s">
        <v>441</v>
      </c>
      <c r="B19" s="140" t="s">
        <v>463</v>
      </c>
      <c r="C19" s="144">
        <v>44435</v>
      </c>
      <c r="D19" s="86">
        <v>1125</v>
      </c>
      <c r="E19">
        <v>12279</v>
      </c>
      <c r="F19" s="148" t="s">
        <v>446</v>
      </c>
    </row>
    <row r="20" spans="1:6" hidden="1" x14ac:dyDescent="0.25">
      <c r="A20" s="140" t="s">
        <v>441</v>
      </c>
      <c r="B20" s="140" t="s">
        <v>463</v>
      </c>
      <c r="C20" s="144">
        <v>44449</v>
      </c>
      <c r="D20" s="86">
        <v>375</v>
      </c>
      <c r="E20">
        <v>12315</v>
      </c>
      <c r="F20" s="148" t="s">
        <v>446</v>
      </c>
    </row>
    <row r="21" spans="1:6" x14ac:dyDescent="0.25">
      <c r="A21" s="140" t="s">
        <v>444</v>
      </c>
      <c r="B21" s="140" t="s">
        <v>442</v>
      </c>
      <c r="C21" s="144">
        <v>44316</v>
      </c>
      <c r="D21" s="86">
        <v>800</v>
      </c>
      <c r="E21">
        <v>38803</v>
      </c>
      <c r="F21" s="148" t="s">
        <v>443</v>
      </c>
    </row>
    <row r="22" spans="1:6" x14ac:dyDescent="0.25">
      <c r="A22" s="140" t="s">
        <v>441</v>
      </c>
      <c r="B22" s="140" t="s">
        <v>442</v>
      </c>
      <c r="C22" s="144">
        <v>44316</v>
      </c>
      <c r="D22" s="86">
        <v>4200</v>
      </c>
      <c r="E22">
        <v>11986</v>
      </c>
      <c r="F22" s="148" t="s">
        <v>443</v>
      </c>
    </row>
    <row r="23" spans="1:6" x14ac:dyDescent="0.25">
      <c r="A23" s="140" t="s">
        <v>441</v>
      </c>
      <c r="B23" s="140" t="s">
        <v>442</v>
      </c>
      <c r="C23" s="144">
        <v>44316</v>
      </c>
      <c r="D23" s="86">
        <v>400</v>
      </c>
      <c r="E23">
        <v>11986</v>
      </c>
      <c r="F23" s="148" t="s">
        <v>443</v>
      </c>
    </row>
    <row r="24" spans="1:6" x14ac:dyDescent="0.25">
      <c r="D24">
        <f>SUBTOTAL(9,D2:D23)</f>
        <v>20270</v>
      </c>
    </row>
  </sheetData>
  <autoFilter ref="A1:F23" xr:uid="{4DEC7A67-106D-4515-8329-0CB3276D9609}">
    <filterColumn colId="1">
      <filters>
        <filter val="Repair and Service Solutions"/>
      </filters>
    </filterColumn>
  </autoFilter>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89655-384B-4FAD-B82C-88A570E3C9BB}">
  <dimension ref="A1:C30"/>
  <sheetViews>
    <sheetView topLeftCell="A10" workbookViewId="0">
      <selection activeCell="B14" sqref="B14"/>
    </sheetView>
  </sheetViews>
  <sheetFormatPr defaultRowHeight="15" x14ac:dyDescent="0.25"/>
  <cols>
    <col min="1" max="1" width="12.5703125" style="7" customWidth="1"/>
    <col min="2" max="2" width="94.140625" customWidth="1"/>
  </cols>
  <sheetData>
    <row r="1" spans="1:2" x14ac:dyDescent="0.25">
      <c r="A1" s="6" t="s">
        <v>75</v>
      </c>
      <c r="B1" s="6" t="s">
        <v>76</v>
      </c>
    </row>
    <row r="2" spans="1:2" ht="120" x14ac:dyDescent="0.25">
      <c r="A2" s="7" t="s">
        <v>43</v>
      </c>
      <c r="B2" s="131" t="s">
        <v>453</v>
      </c>
    </row>
    <row r="4" spans="1:2" ht="195" x14ac:dyDescent="0.25">
      <c r="A4" s="7" t="s">
        <v>45</v>
      </c>
      <c r="B4" s="41" t="s">
        <v>244</v>
      </c>
    </row>
    <row r="6" spans="1:2" ht="345" x14ac:dyDescent="0.25">
      <c r="A6" s="7" t="s">
        <v>56</v>
      </c>
      <c r="B6" s="11" t="s">
        <v>449</v>
      </c>
    </row>
    <row r="8" spans="1:2" ht="60" x14ac:dyDescent="0.25">
      <c r="A8" s="7" t="s">
        <v>57</v>
      </c>
      <c r="B8" s="124" t="s">
        <v>156</v>
      </c>
    </row>
    <row r="9" spans="1:2" s="16" customFormat="1" x14ac:dyDescent="0.25">
      <c r="A9" s="85"/>
      <c r="B9" s="11"/>
    </row>
    <row r="10" spans="1:2" ht="253.5" customHeight="1" x14ac:dyDescent="0.25">
      <c r="A10" s="7" t="s">
        <v>58</v>
      </c>
      <c r="B10" s="130" t="s">
        <v>450</v>
      </c>
    </row>
    <row r="11" spans="1:2" s="16" customFormat="1" x14ac:dyDescent="0.25">
      <c r="A11" s="85"/>
      <c r="B11" s="11"/>
    </row>
    <row r="12" spans="1:2" s="16" customFormat="1" ht="30" x14ac:dyDescent="0.25">
      <c r="A12" s="85" t="s">
        <v>59</v>
      </c>
      <c r="B12" s="11" t="s">
        <v>433</v>
      </c>
    </row>
    <row r="13" spans="1:2" s="16" customFormat="1" x14ac:dyDescent="0.25">
      <c r="A13" s="120"/>
      <c r="B13" s="11"/>
    </row>
    <row r="14" spans="1:2" ht="60" x14ac:dyDescent="0.25">
      <c r="A14" s="7" t="s">
        <v>55</v>
      </c>
      <c r="B14" s="11" t="s">
        <v>457</v>
      </c>
    </row>
    <row r="15" spans="1:2" x14ac:dyDescent="0.25">
      <c r="B15" s="11"/>
    </row>
    <row r="16" spans="1:2" ht="198" customHeight="1" x14ac:dyDescent="0.25">
      <c r="A16" s="7" t="s">
        <v>53</v>
      </c>
      <c r="B16" s="125" t="s">
        <v>454</v>
      </c>
    </row>
    <row r="17" spans="1:3" x14ac:dyDescent="0.25">
      <c r="B17" s="126"/>
    </row>
    <row r="18" spans="1:3" ht="45" x14ac:dyDescent="0.25">
      <c r="A18" s="7" t="s">
        <v>54</v>
      </c>
      <c r="B18" s="125" t="s">
        <v>429</v>
      </c>
    </row>
    <row r="20" spans="1:3" ht="75" x14ac:dyDescent="0.25">
      <c r="A20" s="7" t="s">
        <v>77</v>
      </c>
      <c r="B20" s="124" t="s">
        <v>430</v>
      </c>
    </row>
    <row r="21" spans="1:3" x14ac:dyDescent="0.25">
      <c r="B21" s="11"/>
    </row>
    <row r="22" spans="1:3" ht="60" x14ac:dyDescent="0.25">
      <c r="A22" s="7" t="s">
        <v>60</v>
      </c>
      <c r="B22" s="125" t="s">
        <v>428</v>
      </c>
      <c r="C22" s="11"/>
    </row>
    <row r="24" spans="1:3" ht="30" x14ac:dyDescent="0.25">
      <c r="A24" s="7" t="s">
        <v>432</v>
      </c>
      <c r="B24" s="11" t="s">
        <v>434</v>
      </c>
    </row>
    <row r="28" spans="1:3" x14ac:dyDescent="0.25">
      <c r="B28" s="11"/>
    </row>
    <row r="30" spans="1:3" x14ac:dyDescent="0.25">
      <c r="B30" s="11"/>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4"/>
  <sheetViews>
    <sheetView workbookViewId="0">
      <selection activeCell="B3" sqref="B3"/>
    </sheetView>
  </sheetViews>
  <sheetFormatPr defaultColWidth="9.140625" defaultRowHeight="15" x14ac:dyDescent="0.25"/>
  <cols>
    <col min="1" max="1" width="54.85546875" style="9" customWidth="1"/>
    <col min="2" max="2" width="18.140625" style="9" customWidth="1"/>
    <col min="3" max="16384" width="9.140625" style="9"/>
  </cols>
  <sheetData>
    <row r="1" spans="1:2" x14ac:dyDescent="0.25">
      <c r="A1" s="154" t="s">
        <v>62</v>
      </c>
      <c r="B1" s="154"/>
    </row>
    <row r="3" spans="1:2" x14ac:dyDescent="0.25">
      <c r="A3" s="9" t="s">
        <v>46</v>
      </c>
      <c r="B3" s="74">
        <f>'Schedule Of Adjusted Operations'!E46</f>
        <v>3649401.97612435</v>
      </c>
    </row>
    <row r="4" spans="1:2" x14ac:dyDescent="0.25">
      <c r="A4" s="9" t="s">
        <v>47</v>
      </c>
      <c r="B4" s="74">
        <f>DebtServiceRequirements!BQ16</f>
        <v>713442.22647999995</v>
      </c>
    </row>
    <row r="5" spans="1:2" x14ac:dyDescent="0.25">
      <c r="A5" s="10" t="s">
        <v>48</v>
      </c>
      <c r="B5" s="74">
        <f>B4*0.2</f>
        <v>142688.44529599999</v>
      </c>
    </row>
    <row r="6" spans="1:2" x14ac:dyDescent="0.25">
      <c r="A6" s="9" t="s">
        <v>49</v>
      </c>
      <c r="B6" s="74">
        <f>SUM(B3:B5)</f>
        <v>4505532.6479003495</v>
      </c>
    </row>
    <row r="7" spans="1:2" x14ac:dyDescent="0.25">
      <c r="A7" s="9" t="s">
        <v>78</v>
      </c>
      <c r="B7" s="74">
        <f>'Schedule Of Adjusted Operations'!E18</f>
        <v>139711.39706500003</v>
      </c>
    </row>
    <row r="8" spans="1:2" x14ac:dyDescent="0.25">
      <c r="A8" s="10" t="s">
        <v>50</v>
      </c>
      <c r="B8" s="74">
        <v>0</v>
      </c>
    </row>
    <row r="9" spans="1:2" x14ac:dyDescent="0.25">
      <c r="A9" s="10" t="s">
        <v>51</v>
      </c>
      <c r="B9" s="74">
        <v>11151.72</v>
      </c>
    </row>
    <row r="10" spans="1:2" x14ac:dyDescent="0.25">
      <c r="A10" s="9" t="s">
        <v>242</v>
      </c>
      <c r="B10" s="74">
        <f>B6-(B7+B8+B9)</f>
        <v>4354669.5308353491</v>
      </c>
    </row>
    <row r="11" spans="1:2" s="16" customFormat="1" x14ac:dyDescent="0.25">
      <c r="A11" s="16" t="s">
        <v>243</v>
      </c>
      <c r="B11" s="74">
        <f>'Schedule Of Adjusted Operations'!E12</f>
        <v>4006165.63</v>
      </c>
    </row>
    <row r="12" spans="1:2" x14ac:dyDescent="0.25">
      <c r="A12" s="9" t="s">
        <v>52</v>
      </c>
      <c r="B12" s="74">
        <f>B10-B11</f>
        <v>348503.90083534922</v>
      </c>
    </row>
    <row r="14" spans="1:2" ht="30" x14ac:dyDescent="0.25">
      <c r="A14" s="11" t="s">
        <v>435</v>
      </c>
      <c r="B14" s="146">
        <f>(B12/'Schedule Of Adjusted Operations'!E12)*100</f>
        <v>8.6991885264451554</v>
      </c>
    </row>
  </sheetData>
  <mergeCells count="1">
    <mergeCell ref="A1:B1"/>
  </mergeCells>
  <pageMargins left="1.45" right="0.7" top="2"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447C5-0139-4041-812D-594FE7D5D048}">
  <dimension ref="A1:R40"/>
  <sheetViews>
    <sheetView topLeftCell="A4" workbookViewId="0">
      <selection activeCell="D2" sqref="D2:D34"/>
    </sheetView>
  </sheetViews>
  <sheetFormatPr defaultColWidth="9" defaultRowHeight="15" x14ac:dyDescent="0.25"/>
  <cols>
    <col min="1" max="1" width="9" style="81"/>
    <col min="2" max="2" width="9" style="103"/>
    <col min="3" max="3" width="6.28515625" style="81" customWidth="1"/>
    <col min="4" max="4" width="25.42578125" style="16" customWidth="1"/>
    <col min="5" max="5" width="44.28515625" style="16" customWidth="1"/>
    <col min="6" max="6" width="15.85546875" style="81" customWidth="1"/>
    <col min="7" max="8" width="10.42578125" style="16" customWidth="1"/>
    <col min="9" max="11" width="12.140625" style="16" customWidth="1"/>
    <col min="12" max="13" width="10.42578125" style="16" customWidth="1"/>
    <col min="14" max="15" width="14" style="16" customWidth="1"/>
    <col min="16" max="16" width="13.7109375" style="46" customWidth="1"/>
    <col min="17" max="17" width="13.85546875" style="16" customWidth="1"/>
    <col min="18" max="18" width="18.85546875" style="17" customWidth="1"/>
    <col min="19" max="16384" width="9" style="16"/>
  </cols>
  <sheetData>
    <row r="1" spans="1:18" ht="45" x14ac:dyDescent="0.25">
      <c r="A1" s="84" t="s">
        <v>90</v>
      </c>
      <c r="B1" s="104" t="s">
        <v>245</v>
      </c>
      <c r="C1" s="84" t="s">
        <v>86</v>
      </c>
      <c r="D1" s="84" t="s">
        <v>79</v>
      </c>
      <c r="E1" s="84" t="s">
        <v>98</v>
      </c>
      <c r="F1" s="82" t="s">
        <v>94</v>
      </c>
      <c r="G1" s="84" t="s">
        <v>80</v>
      </c>
      <c r="H1" s="84" t="s">
        <v>81</v>
      </c>
      <c r="I1" s="82" t="s">
        <v>211</v>
      </c>
      <c r="J1" s="82" t="s">
        <v>212</v>
      </c>
      <c r="K1" s="84" t="s">
        <v>97</v>
      </c>
      <c r="L1" s="84" t="s">
        <v>82</v>
      </c>
      <c r="M1" s="84" t="s">
        <v>83</v>
      </c>
      <c r="N1" s="82" t="s">
        <v>447</v>
      </c>
      <c r="O1" s="142" t="s">
        <v>448</v>
      </c>
      <c r="P1" s="45" t="s">
        <v>84</v>
      </c>
      <c r="Q1" s="82" t="s">
        <v>85</v>
      </c>
      <c r="R1" s="83" t="s">
        <v>141</v>
      </c>
    </row>
    <row r="2" spans="1:18" x14ac:dyDescent="0.25">
      <c r="A2" s="81" t="s">
        <v>91</v>
      </c>
      <c r="B2" s="103">
        <v>1</v>
      </c>
      <c r="C2" s="81" t="s">
        <v>87</v>
      </c>
      <c r="D2" s="151"/>
      <c r="E2" s="16" t="s">
        <v>122</v>
      </c>
      <c r="F2" s="81">
        <v>2018</v>
      </c>
      <c r="G2" s="16">
        <f>I2-H2</f>
        <v>2148</v>
      </c>
      <c r="H2" s="16">
        <v>148</v>
      </c>
      <c r="I2" s="16">
        <v>2296</v>
      </c>
      <c r="J2" s="16">
        <v>2296</v>
      </c>
      <c r="K2" s="16">
        <v>10</v>
      </c>
      <c r="L2" s="16">
        <v>10.8</v>
      </c>
      <c r="M2" s="16">
        <v>11.8</v>
      </c>
      <c r="N2" s="16">
        <v>956.51</v>
      </c>
      <c r="O2" s="121">
        <v>500</v>
      </c>
      <c r="P2" s="46">
        <f t="shared" ref="P2:P23" si="0">(G2*L2)+(H2*L2*1.5)+N2</f>
        <v>26552.51</v>
      </c>
      <c r="Q2" s="17">
        <f>(G2*M2)+(H2*M2*1.5)+O2</f>
        <v>28466</v>
      </c>
    </row>
    <row r="3" spans="1:18" x14ac:dyDescent="0.25">
      <c r="A3" s="81" t="s">
        <v>91</v>
      </c>
      <c r="B3" s="103">
        <v>2</v>
      </c>
      <c r="C3" s="81" t="s">
        <v>87</v>
      </c>
      <c r="D3" s="151"/>
      <c r="E3" s="16" t="s">
        <v>122</v>
      </c>
      <c r="F3" s="81">
        <v>2017</v>
      </c>
      <c r="G3" s="16">
        <f>I3-H3</f>
        <v>2189.5</v>
      </c>
      <c r="H3" s="16">
        <v>138</v>
      </c>
      <c r="I3" s="16">
        <v>2327.5</v>
      </c>
      <c r="J3" s="16">
        <v>2327.5</v>
      </c>
      <c r="K3" s="16">
        <v>12</v>
      </c>
      <c r="L3" s="16">
        <v>12.8</v>
      </c>
      <c r="M3" s="16">
        <v>13.8</v>
      </c>
      <c r="N3" s="16">
        <v>959.51</v>
      </c>
      <c r="O3" s="121">
        <v>500</v>
      </c>
      <c r="P3" s="46">
        <f t="shared" si="0"/>
        <v>31634.710000000003</v>
      </c>
      <c r="Q3" s="17">
        <f>(G3*M3)+(H3*M3*1.5)+O3</f>
        <v>33571.700000000004</v>
      </c>
    </row>
    <row r="4" spans="1:18" x14ac:dyDescent="0.25">
      <c r="A4" s="49" t="s">
        <v>91</v>
      </c>
      <c r="B4" s="49">
        <v>3</v>
      </c>
      <c r="C4" s="49" t="s">
        <v>87</v>
      </c>
      <c r="D4" s="151"/>
      <c r="E4" s="43"/>
      <c r="F4" s="49"/>
      <c r="G4" s="43">
        <v>987.5</v>
      </c>
      <c r="H4" s="43"/>
      <c r="I4" s="43">
        <v>987.5</v>
      </c>
      <c r="J4" s="43">
        <v>0</v>
      </c>
      <c r="K4" s="43"/>
      <c r="L4" s="43">
        <v>10</v>
      </c>
      <c r="M4" s="43">
        <v>0</v>
      </c>
      <c r="N4" s="43">
        <v>893.87</v>
      </c>
      <c r="O4" s="145"/>
      <c r="P4" s="47">
        <f t="shared" si="0"/>
        <v>10768.87</v>
      </c>
      <c r="Q4" s="44"/>
    </row>
    <row r="5" spans="1:18" x14ac:dyDescent="0.25">
      <c r="A5" s="81" t="s">
        <v>91</v>
      </c>
      <c r="B5" s="103">
        <v>4</v>
      </c>
      <c r="C5" s="81" t="s">
        <v>87</v>
      </c>
      <c r="D5" s="151"/>
      <c r="E5" s="16" t="s">
        <v>123</v>
      </c>
      <c r="F5" s="81">
        <v>2016</v>
      </c>
      <c r="G5" s="16">
        <f>I5-H5</f>
        <v>2119</v>
      </c>
      <c r="H5" s="16">
        <v>151.5</v>
      </c>
      <c r="I5" s="16">
        <v>2270.5</v>
      </c>
      <c r="J5" s="16">
        <v>2270.5</v>
      </c>
      <c r="K5" s="16">
        <v>18</v>
      </c>
      <c r="L5" s="16">
        <v>19.3</v>
      </c>
      <c r="M5" s="16">
        <v>20.8</v>
      </c>
      <c r="N5" s="16">
        <v>949.18</v>
      </c>
      <c r="O5" s="121">
        <v>500</v>
      </c>
      <c r="P5" s="48">
        <f t="shared" si="0"/>
        <v>46231.805000000008</v>
      </c>
      <c r="Q5" s="17">
        <f>(G5*M5)+(H5*M5*1.5)+O5</f>
        <v>49302.000000000007</v>
      </c>
    </row>
    <row r="6" spans="1:18" x14ac:dyDescent="0.25">
      <c r="A6" s="81" t="s">
        <v>91</v>
      </c>
      <c r="B6" s="103">
        <v>5</v>
      </c>
      <c r="C6" s="81" t="s">
        <v>88</v>
      </c>
      <c r="D6" s="151"/>
      <c r="E6" s="16" t="s">
        <v>122</v>
      </c>
      <c r="F6" s="81">
        <v>2021</v>
      </c>
      <c r="G6" s="16">
        <f>I6-H6</f>
        <v>40</v>
      </c>
      <c r="I6" s="16">
        <v>40</v>
      </c>
      <c r="J6" s="16">
        <v>2080</v>
      </c>
      <c r="L6" s="16">
        <v>10</v>
      </c>
      <c r="M6" s="16">
        <v>10</v>
      </c>
      <c r="O6" s="121">
        <v>500</v>
      </c>
      <c r="P6" s="48">
        <f t="shared" si="0"/>
        <v>400</v>
      </c>
      <c r="Q6" s="17">
        <f>(2080*M6)+(256*M6*1.5)+O6</f>
        <v>25140</v>
      </c>
    </row>
    <row r="7" spans="1:18" x14ac:dyDescent="0.25">
      <c r="A7" s="81" t="s">
        <v>91</v>
      </c>
      <c r="B7" s="103">
        <v>6</v>
      </c>
      <c r="C7" s="81" t="s">
        <v>87</v>
      </c>
      <c r="D7" s="151"/>
      <c r="E7" s="16" t="s">
        <v>124</v>
      </c>
      <c r="F7" s="81">
        <v>2012</v>
      </c>
      <c r="G7" s="16">
        <f>I7-H7</f>
        <v>2144.5</v>
      </c>
      <c r="H7" s="16">
        <v>151.5</v>
      </c>
      <c r="I7" s="16">
        <v>2296</v>
      </c>
      <c r="J7" s="16">
        <v>2296</v>
      </c>
      <c r="K7" s="16">
        <v>13.55</v>
      </c>
      <c r="L7" s="16">
        <v>14.85</v>
      </c>
      <c r="M7" s="16">
        <v>15.85</v>
      </c>
      <c r="N7" s="16">
        <v>1301.05</v>
      </c>
      <c r="O7" s="121">
        <v>500</v>
      </c>
      <c r="P7" s="48">
        <f t="shared" si="0"/>
        <v>36521.537500000006</v>
      </c>
      <c r="Q7" s="17">
        <f t="shared" ref="Q7:Q17" si="1">(G7*M7)+(H7*M7*1.5)+O7</f>
        <v>38092.237499999996</v>
      </c>
    </row>
    <row r="8" spans="1:18" x14ac:dyDescent="0.25">
      <c r="A8" s="81" t="s">
        <v>91</v>
      </c>
      <c r="B8" s="103">
        <v>7</v>
      </c>
      <c r="C8" s="81" t="s">
        <v>87</v>
      </c>
      <c r="D8" s="151"/>
      <c r="E8" s="16" t="s">
        <v>124</v>
      </c>
      <c r="F8" s="81">
        <v>2019</v>
      </c>
      <c r="G8" s="16">
        <f>I8-H8</f>
        <v>1610.5</v>
      </c>
      <c r="H8" s="16">
        <v>49.5</v>
      </c>
      <c r="I8" s="16">
        <v>1660</v>
      </c>
      <c r="J8" s="16">
        <f>G8+H8+760</f>
        <v>2420</v>
      </c>
      <c r="K8" s="16">
        <v>10</v>
      </c>
      <c r="L8" s="16">
        <v>10.3</v>
      </c>
      <c r="M8" s="16">
        <v>12</v>
      </c>
      <c r="N8" s="16">
        <v>993.5</v>
      </c>
      <c r="O8" s="121">
        <v>500</v>
      </c>
      <c r="P8" s="48">
        <f t="shared" si="0"/>
        <v>18346.425000000003</v>
      </c>
      <c r="Q8" s="17">
        <f t="shared" si="1"/>
        <v>20717</v>
      </c>
      <c r="R8" s="17">
        <f>((G8+760)*M8)+(H8*M8*1.5)+O8</f>
        <v>29837</v>
      </c>
    </row>
    <row r="9" spans="1:18" x14ac:dyDescent="0.25">
      <c r="A9" s="81" t="s">
        <v>91</v>
      </c>
      <c r="B9" s="103">
        <v>8</v>
      </c>
      <c r="C9" s="81" t="s">
        <v>88</v>
      </c>
      <c r="D9" s="151"/>
      <c r="E9" s="16" t="s">
        <v>125</v>
      </c>
      <c r="F9" s="81">
        <v>2019</v>
      </c>
      <c r="G9" s="16">
        <v>1639</v>
      </c>
      <c r="I9" s="16">
        <v>1639</v>
      </c>
      <c r="J9" s="16">
        <v>1639</v>
      </c>
      <c r="K9" s="16">
        <v>10</v>
      </c>
      <c r="L9" s="16">
        <v>10.3</v>
      </c>
      <c r="M9" s="16">
        <v>12.3</v>
      </c>
      <c r="N9" s="16">
        <v>993.51</v>
      </c>
      <c r="O9" s="121">
        <v>500</v>
      </c>
      <c r="P9" s="48">
        <f t="shared" si="0"/>
        <v>17875.21</v>
      </c>
      <c r="Q9" s="17">
        <f t="shared" si="1"/>
        <v>20659.7</v>
      </c>
    </row>
    <row r="10" spans="1:18" x14ac:dyDescent="0.25">
      <c r="A10" s="81" t="s">
        <v>91</v>
      </c>
      <c r="B10" s="103">
        <v>9</v>
      </c>
      <c r="C10" s="81" t="s">
        <v>88</v>
      </c>
      <c r="D10" s="151"/>
      <c r="E10" s="16" t="s">
        <v>125</v>
      </c>
      <c r="F10" s="81">
        <v>2021</v>
      </c>
      <c r="G10" s="16">
        <v>333.5</v>
      </c>
      <c r="I10" s="16">
        <v>333.5</v>
      </c>
      <c r="J10" s="16">
        <v>333.5</v>
      </c>
      <c r="L10" s="16">
        <v>8.5</v>
      </c>
      <c r="M10" s="16">
        <v>9.5</v>
      </c>
      <c r="N10" s="16">
        <v>922.48</v>
      </c>
      <c r="O10" s="121">
        <v>500</v>
      </c>
      <c r="P10" s="46">
        <f t="shared" si="0"/>
        <v>3757.23</v>
      </c>
      <c r="Q10" s="17">
        <f t="shared" si="1"/>
        <v>3668.25</v>
      </c>
    </row>
    <row r="11" spans="1:18" x14ac:dyDescent="0.25">
      <c r="A11" s="81" t="s">
        <v>91</v>
      </c>
      <c r="B11" s="103">
        <v>10</v>
      </c>
      <c r="C11" s="81" t="s">
        <v>87</v>
      </c>
      <c r="D11" s="151"/>
      <c r="E11" s="16" t="s">
        <v>126</v>
      </c>
      <c r="F11" s="81">
        <v>2004</v>
      </c>
      <c r="G11" s="16">
        <f t="shared" ref="G11:G23" si="2">I11-H11</f>
        <v>2182.5</v>
      </c>
      <c r="H11" s="16">
        <v>106.5</v>
      </c>
      <c r="I11" s="16">
        <v>2289</v>
      </c>
      <c r="J11" s="16">
        <v>2289</v>
      </c>
      <c r="K11" s="16">
        <v>20.97</v>
      </c>
      <c r="L11" s="16">
        <v>21.27</v>
      </c>
      <c r="M11" s="16">
        <v>22.27</v>
      </c>
      <c r="N11" s="16">
        <v>991.11</v>
      </c>
      <c r="O11" s="121">
        <v>500</v>
      </c>
      <c r="P11" s="46">
        <f t="shared" si="0"/>
        <v>50810.767500000002</v>
      </c>
      <c r="Q11" s="17">
        <f t="shared" si="1"/>
        <v>52661.907500000001</v>
      </c>
    </row>
    <row r="12" spans="1:18" x14ac:dyDescent="0.25">
      <c r="A12" s="81" t="s">
        <v>91</v>
      </c>
      <c r="B12" s="103">
        <v>11</v>
      </c>
      <c r="C12" s="81" t="s">
        <v>87</v>
      </c>
      <c r="D12" s="151"/>
      <c r="E12" s="16" t="s">
        <v>127</v>
      </c>
      <c r="F12" s="81">
        <v>2015</v>
      </c>
      <c r="G12" s="16">
        <f t="shared" si="2"/>
        <v>1664</v>
      </c>
      <c r="H12" s="16">
        <v>148.5</v>
      </c>
      <c r="I12" s="16">
        <v>1812.5</v>
      </c>
      <c r="J12" s="16">
        <v>1812.5</v>
      </c>
      <c r="K12" s="16">
        <v>18</v>
      </c>
      <c r="L12" s="16">
        <v>18.3</v>
      </c>
      <c r="M12" s="16">
        <v>19.3</v>
      </c>
      <c r="N12" s="16">
        <v>588.75</v>
      </c>
      <c r="O12" s="121">
        <v>500</v>
      </c>
      <c r="P12" s="46">
        <f t="shared" si="0"/>
        <v>35116.275000000001</v>
      </c>
      <c r="Q12" s="17">
        <f t="shared" si="1"/>
        <v>36914.275000000001</v>
      </c>
    </row>
    <row r="13" spans="1:18" x14ac:dyDescent="0.25">
      <c r="A13" s="81" t="s">
        <v>91</v>
      </c>
      <c r="B13" s="103">
        <v>12</v>
      </c>
      <c r="C13" s="81" t="s">
        <v>87</v>
      </c>
      <c r="D13" s="151"/>
      <c r="E13" s="16" t="s">
        <v>125</v>
      </c>
      <c r="F13" s="81">
        <v>2005</v>
      </c>
      <c r="G13" s="16">
        <f t="shared" si="2"/>
        <v>2125</v>
      </c>
      <c r="H13" s="16">
        <v>31.5</v>
      </c>
      <c r="I13" s="16">
        <v>2156.5</v>
      </c>
      <c r="J13" s="16">
        <v>2156.5</v>
      </c>
      <c r="K13" s="16">
        <v>19.329999999999998</v>
      </c>
      <c r="L13" s="16">
        <v>19.63</v>
      </c>
      <c r="M13" s="16">
        <v>20.63</v>
      </c>
      <c r="N13" s="16">
        <v>979.94</v>
      </c>
      <c r="O13" s="121">
        <v>500</v>
      </c>
      <c r="P13" s="46">
        <f t="shared" si="0"/>
        <v>43621.207500000004</v>
      </c>
      <c r="Q13" s="17">
        <f t="shared" si="1"/>
        <v>45313.517500000002</v>
      </c>
    </row>
    <row r="14" spans="1:18" x14ac:dyDescent="0.25">
      <c r="A14" s="81" t="s">
        <v>91</v>
      </c>
      <c r="B14" s="103">
        <v>13</v>
      </c>
      <c r="C14" s="81" t="s">
        <v>87</v>
      </c>
      <c r="D14" s="151"/>
      <c r="E14" s="16" t="s">
        <v>126</v>
      </c>
      <c r="F14" s="81">
        <v>2020</v>
      </c>
      <c r="G14" s="16">
        <f t="shared" si="2"/>
        <v>2192</v>
      </c>
      <c r="H14" s="16">
        <v>153.5</v>
      </c>
      <c r="I14" s="16">
        <v>2345.5</v>
      </c>
      <c r="J14" s="16">
        <v>2345.5</v>
      </c>
      <c r="K14" s="16">
        <v>10</v>
      </c>
      <c r="L14" s="16">
        <v>10.8</v>
      </c>
      <c r="M14" s="16">
        <v>11.8</v>
      </c>
      <c r="N14" s="16">
        <v>979.94</v>
      </c>
      <c r="O14" s="121">
        <v>500</v>
      </c>
      <c r="P14" s="46">
        <f t="shared" si="0"/>
        <v>27140.240000000002</v>
      </c>
      <c r="Q14" s="17">
        <f t="shared" si="1"/>
        <v>29082.550000000003</v>
      </c>
    </row>
    <row r="15" spans="1:18" x14ac:dyDescent="0.25">
      <c r="A15" s="81" t="s">
        <v>91</v>
      </c>
      <c r="B15" s="103">
        <v>14</v>
      </c>
      <c r="C15" s="81" t="s">
        <v>87</v>
      </c>
      <c r="D15" s="151"/>
      <c r="E15" s="16" t="s">
        <v>128</v>
      </c>
      <c r="F15" s="81">
        <v>2004</v>
      </c>
      <c r="G15" s="16">
        <f t="shared" si="2"/>
        <v>2235.5</v>
      </c>
      <c r="H15" s="16">
        <v>340</v>
      </c>
      <c r="I15" s="16">
        <v>2575.5</v>
      </c>
      <c r="J15" s="16">
        <v>2575.5</v>
      </c>
      <c r="K15" s="16">
        <v>21</v>
      </c>
      <c r="L15" s="16">
        <v>21.3</v>
      </c>
      <c r="M15" s="16">
        <v>22.8</v>
      </c>
      <c r="N15" s="16">
        <v>949.19</v>
      </c>
      <c r="O15" s="121">
        <v>500</v>
      </c>
      <c r="P15" s="46">
        <f t="shared" si="0"/>
        <v>59428.340000000004</v>
      </c>
      <c r="Q15" s="17">
        <f t="shared" si="1"/>
        <v>63097.4</v>
      </c>
    </row>
    <row r="16" spans="1:18" x14ac:dyDescent="0.25">
      <c r="A16" s="81" t="s">
        <v>91</v>
      </c>
      <c r="B16" s="103">
        <v>15</v>
      </c>
      <c r="C16" s="81" t="s">
        <v>87</v>
      </c>
      <c r="D16" s="151"/>
      <c r="E16" s="16" t="s">
        <v>129</v>
      </c>
      <c r="F16" s="81">
        <v>2019</v>
      </c>
      <c r="G16" s="16">
        <f t="shared" si="2"/>
        <v>2165</v>
      </c>
      <c r="H16" s="16">
        <v>206.5</v>
      </c>
      <c r="I16" s="16">
        <v>2371.5</v>
      </c>
      <c r="J16" s="16">
        <v>2371.5</v>
      </c>
      <c r="K16" s="16">
        <v>12</v>
      </c>
      <c r="L16" s="16">
        <v>12.8</v>
      </c>
      <c r="M16" s="16">
        <v>13.8</v>
      </c>
      <c r="N16" s="16">
        <v>1236.4100000000001</v>
      </c>
      <c r="O16" s="121">
        <v>500</v>
      </c>
      <c r="P16" s="46">
        <f t="shared" si="0"/>
        <v>32913.21</v>
      </c>
      <c r="Q16" s="17">
        <f t="shared" si="1"/>
        <v>34651.550000000003</v>
      </c>
    </row>
    <row r="17" spans="1:18" x14ac:dyDescent="0.25">
      <c r="A17" s="81" t="s">
        <v>91</v>
      </c>
      <c r="B17" s="103">
        <v>16</v>
      </c>
      <c r="C17" s="81" t="s">
        <v>88</v>
      </c>
      <c r="D17" s="151"/>
      <c r="E17" s="16" t="s">
        <v>126</v>
      </c>
      <c r="F17" s="81">
        <v>2000</v>
      </c>
      <c r="G17" s="16">
        <f t="shared" si="2"/>
        <v>505.5</v>
      </c>
      <c r="I17" s="16">
        <v>505.5</v>
      </c>
      <c r="J17" s="16">
        <v>505.5</v>
      </c>
      <c r="K17" s="16">
        <v>15</v>
      </c>
      <c r="L17" s="16">
        <v>15.3</v>
      </c>
      <c r="M17" s="16">
        <v>16.3</v>
      </c>
      <c r="N17" s="16">
        <v>588.75</v>
      </c>
      <c r="O17" s="121">
        <v>500</v>
      </c>
      <c r="P17" s="46">
        <f t="shared" si="0"/>
        <v>8322.9000000000015</v>
      </c>
      <c r="Q17" s="17">
        <f t="shared" si="1"/>
        <v>8739.65</v>
      </c>
    </row>
    <row r="18" spans="1:18" x14ac:dyDescent="0.25">
      <c r="A18" s="49" t="s">
        <v>91</v>
      </c>
      <c r="B18" s="49">
        <v>17</v>
      </c>
      <c r="C18" s="49" t="s">
        <v>87</v>
      </c>
      <c r="D18" s="151"/>
      <c r="E18" s="43" t="s">
        <v>122</v>
      </c>
      <c r="F18" s="49"/>
      <c r="G18" s="43">
        <f t="shared" si="2"/>
        <v>2181.5</v>
      </c>
      <c r="H18" s="43">
        <v>74</v>
      </c>
      <c r="I18" s="43">
        <v>2255.5</v>
      </c>
      <c r="J18" s="43">
        <v>0</v>
      </c>
      <c r="K18" s="43">
        <v>15</v>
      </c>
      <c r="L18" s="43">
        <v>15.3</v>
      </c>
      <c r="M18" s="43">
        <v>0</v>
      </c>
      <c r="N18" s="43">
        <v>588.75</v>
      </c>
      <c r="O18" s="145"/>
      <c r="P18" s="47">
        <f t="shared" si="0"/>
        <v>35664.000000000007</v>
      </c>
      <c r="Q18" s="44"/>
    </row>
    <row r="19" spans="1:18" x14ac:dyDescent="0.25">
      <c r="A19" s="81" t="s">
        <v>91</v>
      </c>
      <c r="B19" s="103">
        <v>18</v>
      </c>
      <c r="C19" s="81" t="s">
        <v>87</v>
      </c>
      <c r="D19" s="151"/>
      <c r="E19" s="16" t="s">
        <v>125</v>
      </c>
      <c r="F19" s="81">
        <v>2016</v>
      </c>
      <c r="G19" s="16">
        <f t="shared" si="2"/>
        <v>2120.5</v>
      </c>
      <c r="H19" s="16">
        <v>1</v>
      </c>
      <c r="I19" s="16">
        <v>2121.5</v>
      </c>
      <c r="J19" s="16">
        <v>2121.5</v>
      </c>
      <c r="K19" s="16">
        <v>12</v>
      </c>
      <c r="L19" s="16">
        <v>12.3</v>
      </c>
      <c r="M19" s="16">
        <v>13.3</v>
      </c>
      <c r="N19" s="16">
        <v>988.18</v>
      </c>
      <c r="O19" s="121">
        <v>500</v>
      </c>
      <c r="P19" s="46">
        <f t="shared" si="0"/>
        <v>27088.780000000002</v>
      </c>
      <c r="Q19" s="17">
        <f>(G19*M19)+(H19*M19*1.5)+O19</f>
        <v>28722.600000000002</v>
      </c>
    </row>
    <row r="20" spans="1:18" x14ac:dyDescent="0.25">
      <c r="A20" s="81" t="s">
        <v>91</v>
      </c>
      <c r="B20" s="103">
        <v>19</v>
      </c>
      <c r="C20" s="81" t="s">
        <v>87</v>
      </c>
      <c r="D20" s="151"/>
      <c r="E20" s="16" t="s">
        <v>96</v>
      </c>
      <c r="F20" s="81">
        <v>1994</v>
      </c>
      <c r="G20" s="16">
        <f t="shared" si="2"/>
        <v>2196.5</v>
      </c>
      <c r="H20" s="16">
        <v>7.5</v>
      </c>
      <c r="I20" s="16">
        <v>2204</v>
      </c>
      <c r="J20" s="16">
        <v>2204</v>
      </c>
      <c r="K20" s="16">
        <v>21.12</v>
      </c>
      <c r="L20" s="16">
        <v>21.92</v>
      </c>
      <c r="M20" s="16">
        <v>22.92</v>
      </c>
      <c r="N20" s="16">
        <v>949.17</v>
      </c>
      <c r="O20" s="121">
        <v>500</v>
      </c>
      <c r="P20" s="46">
        <f t="shared" si="0"/>
        <v>49343.05</v>
      </c>
      <c r="Q20" s="17">
        <f>(G20*M20)+(H20*M20*1.5)+O20</f>
        <v>51101.630000000005</v>
      </c>
    </row>
    <row r="21" spans="1:18" x14ac:dyDescent="0.25">
      <c r="A21" s="49" t="s">
        <v>91</v>
      </c>
      <c r="B21" s="49">
        <v>20</v>
      </c>
      <c r="C21" s="49" t="s">
        <v>87</v>
      </c>
      <c r="D21" s="151"/>
      <c r="E21" s="43" t="s">
        <v>122</v>
      </c>
      <c r="F21" s="49">
        <v>2015</v>
      </c>
      <c r="G21" s="43">
        <f t="shared" si="2"/>
        <v>1518</v>
      </c>
      <c r="H21" s="43">
        <v>63</v>
      </c>
      <c r="I21" s="43">
        <v>1581</v>
      </c>
      <c r="J21" s="43">
        <v>0</v>
      </c>
      <c r="K21" s="43">
        <v>12.5</v>
      </c>
      <c r="L21" s="43">
        <v>12.8</v>
      </c>
      <c r="M21" s="43">
        <v>0</v>
      </c>
      <c r="N21" s="43">
        <v>976.95</v>
      </c>
      <c r="O21" s="145"/>
      <c r="P21" s="47">
        <f t="shared" si="0"/>
        <v>21616.95</v>
      </c>
      <c r="Q21" s="44">
        <v>0</v>
      </c>
    </row>
    <row r="22" spans="1:18" x14ac:dyDescent="0.25">
      <c r="A22" s="81" t="s">
        <v>91</v>
      </c>
      <c r="B22" s="103">
        <v>21</v>
      </c>
      <c r="C22" s="81" t="s">
        <v>87</v>
      </c>
      <c r="D22" s="151"/>
      <c r="E22" s="16" t="s">
        <v>130</v>
      </c>
      <c r="F22" s="81">
        <v>2000</v>
      </c>
      <c r="G22" s="16">
        <f t="shared" si="2"/>
        <v>2200.5</v>
      </c>
      <c r="H22" s="16">
        <v>145</v>
      </c>
      <c r="I22" s="16">
        <v>2345.5</v>
      </c>
      <c r="J22" s="16">
        <v>2345.5</v>
      </c>
      <c r="K22" s="16">
        <v>23.13</v>
      </c>
      <c r="L22" s="16">
        <v>24.93</v>
      </c>
      <c r="M22" s="16">
        <v>25.93</v>
      </c>
      <c r="N22" s="16">
        <v>966.45</v>
      </c>
      <c r="O22" s="121">
        <v>500</v>
      </c>
      <c r="P22" s="46">
        <f t="shared" si="0"/>
        <v>61247.189999999995</v>
      </c>
      <c r="Q22" s="17">
        <f>(G22*M22)+(H22*M22*1.5)+O22</f>
        <v>63198.74</v>
      </c>
    </row>
    <row r="23" spans="1:18" x14ac:dyDescent="0.25">
      <c r="A23" s="81" t="s">
        <v>91</v>
      </c>
      <c r="B23" s="103">
        <v>22</v>
      </c>
      <c r="C23" s="81" t="s">
        <v>87</v>
      </c>
      <c r="D23" s="151"/>
      <c r="E23" s="16" t="s">
        <v>93</v>
      </c>
      <c r="F23" s="81">
        <v>2003</v>
      </c>
      <c r="G23" s="16">
        <f t="shared" si="2"/>
        <v>2257.5</v>
      </c>
      <c r="H23" s="16">
        <v>301</v>
      </c>
      <c r="I23" s="16">
        <v>2558.5</v>
      </c>
      <c r="J23" s="16">
        <v>2558.5</v>
      </c>
      <c r="K23" s="16">
        <v>22.38</v>
      </c>
      <c r="L23" s="16">
        <v>22.68</v>
      </c>
      <c r="M23" s="16">
        <v>23.68</v>
      </c>
      <c r="N23" s="16">
        <v>1962.76</v>
      </c>
      <c r="O23" s="121">
        <v>500</v>
      </c>
      <c r="P23" s="46">
        <f t="shared" si="0"/>
        <v>63402.879999999997</v>
      </c>
      <c r="Q23" s="17">
        <f>(G23*M23)+(H23*M23*1.5)+O23</f>
        <v>64649.119999999995</v>
      </c>
    </row>
    <row r="24" spans="1:18" x14ac:dyDescent="0.25">
      <c r="A24" s="81" t="s">
        <v>91</v>
      </c>
      <c r="B24" s="103">
        <v>23</v>
      </c>
      <c r="C24" s="81" t="s">
        <v>89</v>
      </c>
      <c r="D24" s="151"/>
      <c r="E24" s="16" t="s">
        <v>92</v>
      </c>
      <c r="F24" s="81">
        <v>1997</v>
      </c>
      <c r="J24" s="16">
        <v>0</v>
      </c>
      <c r="O24" s="121"/>
      <c r="P24" s="46">
        <v>106258.31</v>
      </c>
      <c r="Q24" s="46">
        <v>116258.31</v>
      </c>
    </row>
    <row r="25" spans="1:18" x14ac:dyDescent="0.25">
      <c r="A25" s="81" t="s">
        <v>91</v>
      </c>
      <c r="B25" s="103">
        <v>24</v>
      </c>
      <c r="C25" s="81" t="s">
        <v>87</v>
      </c>
      <c r="D25" s="151"/>
      <c r="E25" s="16" t="s">
        <v>122</v>
      </c>
      <c r="F25" s="81">
        <v>2012</v>
      </c>
      <c r="G25" s="16">
        <f>I25-H25</f>
        <v>1425</v>
      </c>
      <c r="H25" s="16">
        <v>54</v>
      </c>
      <c r="I25" s="16">
        <v>1479</v>
      </c>
      <c r="J25" s="16">
        <f>G25+H25+760</f>
        <v>2239</v>
      </c>
      <c r="K25" s="16">
        <v>14</v>
      </c>
      <c r="L25" s="16">
        <v>14.8</v>
      </c>
      <c r="M25" s="16">
        <v>16.3</v>
      </c>
      <c r="N25" s="16">
        <v>985.18</v>
      </c>
      <c r="O25" s="121">
        <v>500</v>
      </c>
      <c r="P25" s="46">
        <f t="shared" ref="P25:P34" si="3">(G25*L25)+(H25*L25*1.5)+N25</f>
        <v>23273.98</v>
      </c>
      <c r="Q25" s="17">
        <f>(G25*M25)+(H25*M25*1.5)+O25</f>
        <v>25047.8</v>
      </c>
      <c r="R25" s="17">
        <f>((G25+760)*M25)+(H25*M25*1.5)+O25</f>
        <v>37435.800000000003</v>
      </c>
    </row>
    <row r="26" spans="1:18" x14ac:dyDescent="0.25">
      <c r="A26" s="49" t="s">
        <v>91</v>
      </c>
      <c r="B26" s="49">
        <v>25</v>
      </c>
      <c r="C26" s="49" t="s">
        <v>87</v>
      </c>
      <c r="D26" s="151"/>
      <c r="E26" s="43" t="s">
        <v>125</v>
      </c>
      <c r="F26" s="49"/>
      <c r="G26" s="43">
        <f>I26-H26</f>
        <v>615.5</v>
      </c>
      <c r="H26" s="43">
        <v>5.5</v>
      </c>
      <c r="I26" s="43">
        <v>621</v>
      </c>
      <c r="J26" s="43">
        <v>0</v>
      </c>
      <c r="K26" s="43">
        <v>11.5</v>
      </c>
      <c r="L26" s="43">
        <v>11.8</v>
      </c>
      <c r="M26" s="43">
        <v>0</v>
      </c>
      <c r="N26" s="43">
        <v>0</v>
      </c>
      <c r="O26" s="145"/>
      <c r="P26" s="47">
        <f t="shared" si="3"/>
        <v>7360.2500000000009</v>
      </c>
      <c r="Q26" s="44">
        <f>(G26*M26)+(H26*M26*1.5)+N26</f>
        <v>0</v>
      </c>
    </row>
    <row r="27" spans="1:18" x14ac:dyDescent="0.25">
      <c r="A27" s="81" t="s">
        <v>91</v>
      </c>
      <c r="B27" s="103">
        <v>26</v>
      </c>
      <c r="C27" s="81" t="s">
        <v>88</v>
      </c>
      <c r="D27" s="151"/>
      <c r="E27" s="16" t="s">
        <v>122</v>
      </c>
      <c r="F27" s="81">
        <v>2020</v>
      </c>
      <c r="G27" s="16">
        <f>I27-H27</f>
        <v>893.5</v>
      </c>
      <c r="H27" s="16">
        <v>43.5</v>
      </c>
      <c r="I27" s="16">
        <v>937</v>
      </c>
      <c r="J27" s="16">
        <v>937</v>
      </c>
      <c r="L27" s="16">
        <v>10</v>
      </c>
      <c r="M27" s="16">
        <v>10.5</v>
      </c>
      <c r="N27" s="16">
        <v>550.35</v>
      </c>
      <c r="O27" s="121">
        <v>500</v>
      </c>
      <c r="P27" s="46">
        <f t="shared" si="3"/>
        <v>10137.85</v>
      </c>
      <c r="Q27" s="17">
        <f>(G27*M27)+(H27*M27*1.5)+O27</f>
        <v>10566.875</v>
      </c>
    </row>
    <row r="28" spans="1:18" x14ac:dyDescent="0.25">
      <c r="A28" s="81" t="s">
        <v>91</v>
      </c>
      <c r="B28" s="103">
        <v>27</v>
      </c>
      <c r="C28" s="81" t="s">
        <v>87</v>
      </c>
      <c r="D28" s="151"/>
      <c r="E28" s="16" t="s">
        <v>126</v>
      </c>
      <c r="F28" s="81">
        <v>2008</v>
      </c>
      <c r="G28" s="16">
        <f>I28-H28</f>
        <v>2208.5</v>
      </c>
      <c r="H28" s="16">
        <v>181.5</v>
      </c>
      <c r="I28" s="16">
        <v>2390</v>
      </c>
      <c r="J28" s="16">
        <v>2390</v>
      </c>
      <c r="K28" s="16">
        <v>18.149999999999999</v>
      </c>
      <c r="L28" s="16">
        <v>18.45</v>
      </c>
      <c r="M28" s="16">
        <v>19.45</v>
      </c>
      <c r="N28" s="16">
        <v>1256.1600000000001</v>
      </c>
      <c r="O28" s="121">
        <v>500</v>
      </c>
      <c r="P28" s="46">
        <f t="shared" si="3"/>
        <v>47025.997499999998</v>
      </c>
      <c r="Q28" s="17">
        <f t="shared" ref="Q28:Q34" si="4">(G28*M28)+(H28*M28*1.5)+O28</f>
        <v>48750.587499999994</v>
      </c>
    </row>
    <row r="29" spans="1:18" x14ac:dyDescent="0.25">
      <c r="A29" s="81" t="s">
        <v>91</v>
      </c>
      <c r="B29" s="103">
        <v>28</v>
      </c>
      <c r="C29" s="81" t="s">
        <v>87</v>
      </c>
      <c r="D29" s="151"/>
      <c r="E29" s="16" t="s">
        <v>126</v>
      </c>
      <c r="F29" s="81">
        <v>2016</v>
      </c>
      <c r="G29" s="16">
        <f>I29-H29</f>
        <v>2177</v>
      </c>
      <c r="H29" s="16">
        <v>109</v>
      </c>
      <c r="I29" s="16">
        <v>2286</v>
      </c>
      <c r="J29" s="16">
        <v>2286</v>
      </c>
      <c r="K29" s="16">
        <v>12.5</v>
      </c>
      <c r="L29" s="16">
        <v>12.8</v>
      </c>
      <c r="M29" s="16">
        <v>13.8</v>
      </c>
      <c r="N29" s="16">
        <v>988.16</v>
      </c>
      <c r="O29" s="121">
        <v>500</v>
      </c>
      <c r="P29" s="46">
        <f t="shared" si="3"/>
        <v>30946.560000000001</v>
      </c>
      <c r="Q29" s="17">
        <f t="shared" si="4"/>
        <v>32798.9</v>
      </c>
    </row>
    <row r="30" spans="1:18" x14ac:dyDescent="0.25">
      <c r="A30" s="81" t="s">
        <v>89</v>
      </c>
      <c r="B30" s="103">
        <v>29</v>
      </c>
      <c r="C30" s="81" t="s">
        <v>87</v>
      </c>
      <c r="D30" s="151"/>
      <c r="E30" s="16" t="s">
        <v>131</v>
      </c>
      <c r="F30" s="81">
        <v>2010</v>
      </c>
      <c r="G30" s="16">
        <v>2170.5</v>
      </c>
      <c r="H30" s="16">
        <v>156.5</v>
      </c>
      <c r="I30" s="16">
        <v>2327</v>
      </c>
      <c r="J30" s="16">
        <v>2327</v>
      </c>
      <c r="K30" s="16">
        <v>20.96</v>
      </c>
      <c r="L30" s="16">
        <v>21.26</v>
      </c>
      <c r="M30" s="16">
        <v>22.26</v>
      </c>
      <c r="N30" s="16">
        <v>1278.4000000000001</v>
      </c>
      <c r="O30" s="121">
        <v>500</v>
      </c>
      <c r="P30" s="46">
        <f t="shared" si="3"/>
        <v>52414.015000000007</v>
      </c>
      <c r="Q30" s="17">
        <f t="shared" si="4"/>
        <v>54040.865000000005</v>
      </c>
    </row>
    <row r="31" spans="1:18" x14ac:dyDescent="0.25">
      <c r="A31" s="81" t="s">
        <v>89</v>
      </c>
      <c r="B31" s="103">
        <v>30</v>
      </c>
      <c r="C31" s="81" t="s">
        <v>87</v>
      </c>
      <c r="D31" s="151"/>
      <c r="E31" s="16" t="s">
        <v>132</v>
      </c>
      <c r="F31" s="81">
        <v>2007</v>
      </c>
      <c r="G31" s="16">
        <f>I31-H31</f>
        <v>2127.5</v>
      </c>
      <c r="H31" s="16">
        <v>64</v>
      </c>
      <c r="I31" s="16">
        <v>2191.5</v>
      </c>
      <c r="J31" s="16">
        <v>2191.5</v>
      </c>
      <c r="K31" s="16">
        <v>19.96</v>
      </c>
      <c r="L31" s="16">
        <v>21.26</v>
      </c>
      <c r="M31" s="16">
        <v>22.26</v>
      </c>
      <c r="N31" s="16">
        <v>1234.01</v>
      </c>
      <c r="O31" s="121">
        <v>500</v>
      </c>
      <c r="P31" s="46">
        <f t="shared" si="3"/>
        <v>48505.62</v>
      </c>
      <c r="Q31" s="17">
        <f t="shared" si="4"/>
        <v>49995.11</v>
      </c>
    </row>
    <row r="32" spans="1:18" x14ac:dyDescent="0.25">
      <c r="A32" s="81" t="s">
        <v>89</v>
      </c>
      <c r="B32" s="103">
        <v>31</v>
      </c>
      <c r="C32" s="81" t="s">
        <v>87</v>
      </c>
      <c r="D32" s="151"/>
      <c r="E32" s="16" t="s">
        <v>95</v>
      </c>
      <c r="F32" s="81">
        <v>2009</v>
      </c>
      <c r="G32" s="16">
        <f>I32-H32</f>
        <v>2175.5</v>
      </c>
      <c r="H32" s="16">
        <v>86</v>
      </c>
      <c r="I32" s="16">
        <v>2261.5</v>
      </c>
      <c r="J32" s="16">
        <v>2261.5</v>
      </c>
      <c r="K32" s="16">
        <v>21.65</v>
      </c>
      <c r="L32" s="16">
        <v>21.95</v>
      </c>
      <c r="M32" s="16">
        <v>23.95</v>
      </c>
      <c r="N32" s="16">
        <v>991.11</v>
      </c>
      <c r="O32" s="121">
        <v>500</v>
      </c>
      <c r="P32" s="46">
        <f t="shared" si="3"/>
        <v>51574.885000000002</v>
      </c>
      <c r="Q32" s="17">
        <f t="shared" si="4"/>
        <v>55692.775000000001</v>
      </c>
    </row>
    <row r="33" spans="1:18" x14ac:dyDescent="0.25">
      <c r="A33" s="81" t="s">
        <v>89</v>
      </c>
      <c r="B33" s="103">
        <v>32</v>
      </c>
      <c r="C33" s="81" t="s">
        <v>87</v>
      </c>
      <c r="D33" s="151"/>
      <c r="E33" s="16" t="s">
        <v>133</v>
      </c>
      <c r="F33" s="81">
        <v>2017</v>
      </c>
      <c r="G33" s="16">
        <f>I33-H33</f>
        <v>1591.5</v>
      </c>
      <c r="H33" s="16">
        <v>37.5</v>
      </c>
      <c r="I33" s="16">
        <v>1629</v>
      </c>
      <c r="J33" s="16">
        <f>G33+H33+760</f>
        <v>2389</v>
      </c>
      <c r="K33" s="16">
        <v>13</v>
      </c>
      <c r="L33" s="16">
        <v>14.3</v>
      </c>
      <c r="M33" s="16">
        <v>15.3</v>
      </c>
      <c r="N33" s="16">
        <v>989.07</v>
      </c>
      <c r="O33" s="121">
        <v>500</v>
      </c>
      <c r="P33" s="46">
        <f t="shared" si="3"/>
        <v>24551.895</v>
      </c>
      <c r="Q33" s="17">
        <f t="shared" si="4"/>
        <v>25710.575000000001</v>
      </c>
      <c r="R33" s="17">
        <f>((G33+760)*M33)+(H33*M33*1.5)+O33</f>
        <v>37338.575000000004</v>
      </c>
    </row>
    <row r="34" spans="1:18" x14ac:dyDescent="0.25">
      <c r="A34" s="81" t="s">
        <v>89</v>
      </c>
      <c r="B34" s="103">
        <v>33</v>
      </c>
      <c r="C34" s="81" t="s">
        <v>87</v>
      </c>
      <c r="D34" s="151"/>
      <c r="E34" s="16" t="s">
        <v>133</v>
      </c>
      <c r="F34" s="81">
        <v>2012</v>
      </c>
      <c r="G34" s="16">
        <f>I34-H34</f>
        <v>1481.5</v>
      </c>
      <c r="H34" s="16">
        <v>64</v>
      </c>
      <c r="I34" s="16">
        <v>1545.5</v>
      </c>
      <c r="J34" s="16">
        <f>G34+H34+760</f>
        <v>2305.5</v>
      </c>
      <c r="K34" s="16">
        <v>17.05</v>
      </c>
      <c r="L34" s="16">
        <v>17.350000000000001</v>
      </c>
      <c r="M34" s="16">
        <v>18.350000000000001</v>
      </c>
      <c r="N34" s="16">
        <v>977.87</v>
      </c>
      <c r="O34" s="121">
        <v>500</v>
      </c>
      <c r="P34" s="46">
        <f t="shared" si="3"/>
        <v>28347.494999999999</v>
      </c>
      <c r="Q34" s="17">
        <f t="shared" si="4"/>
        <v>29447.125</v>
      </c>
      <c r="R34" s="17">
        <f>((G34+760)*M34)+(H34*M34*1.5)+O34</f>
        <v>43393.125</v>
      </c>
    </row>
    <row r="35" spans="1:18" x14ac:dyDescent="0.25">
      <c r="N35" s="16">
        <f>SUM(N2:N34)</f>
        <v>29966.27</v>
      </c>
      <c r="O35" s="110">
        <f>SUM(O2:O34)</f>
        <v>14000</v>
      </c>
    </row>
    <row r="37" spans="1:18" ht="15" customHeight="1" x14ac:dyDescent="0.25">
      <c r="A37" s="156" t="s">
        <v>458</v>
      </c>
      <c r="B37" s="156"/>
      <c r="C37" s="156"/>
      <c r="D37" s="156"/>
      <c r="E37" s="156"/>
    </row>
    <row r="39" spans="1:18" x14ac:dyDescent="0.25">
      <c r="R39" s="86"/>
    </row>
    <row r="40" spans="1:18" x14ac:dyDescent="0.25">
      <c r="R40" s="86"/>
    </row>
  </sheetData>
  <mergeCells count="1">
    <mergeCell ref="A37:E37"/>
  </mergeCells>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C9526-A2B6-47EE-877F-C73B3620F6F3}">
  <dimension ref="A1:AK38"/>
  <sheetViews>
    <sheetView tabSelected="1" zoomScale="80" zoomScaleNormal="80" workbookViewId="0">
      <selection activeCell="F3" sqref="F3"/>
    </sheetView>
  </sheetViews>
  <sheetFormatPr defaultRowHeight="15" x14ac:dyDescent="0.25"/>
  <cols>
    <col min="1" max="1" width="12.140625" style="53" customWidth="1"/>
    <col min="2" max="2" width="9" style="127"/>
    <col min="3" max="4" width="16.85546875" style="53" customWidth="1"/>
    <col min="5" max="5" width="9.140625" style="7"/>
    <col min="6" max="6" width="22.5703125" customWidth="1"/>
    <col min="7" max="7" width="29.42578125" customWidth="1"/>
    <col min="8" max="9" width="17.42578125" style="16" customWidth="1"/>
    <col min="10" max="10" width="15.5703125" style="16" customWidth="1"/>
    <col min="11" max="11" width="13.7109375" customWidth="1"/>
    <col min="12" max="12" width="11.42578125" customWidth="1"/>
    <col min="13" max="13" width="10.5703125" bestFit="1" customWidth="1"/>
    <col min="16" max="16" width="17.5703125" style="54" customWidth="1"/>
    <col min="17" max="17" width="13.140625" customWidth="1"/>
    <col min="18" max="19" width="13.42578125" customWidth="1"/>
    <col min="20" max="20" width="16" style="17" customWidth="1"/>
    <col min="21" max="21" width="15.42578125" style="17" customWidth="1"/>
    <col min="22" max="23" width="18" style="17" customWidth="1"/>
    <col min="24" max="24" width="20.5703125" customWidth="1"/>
    <col min="25" max="27" width="21" style="11" customWidth="1"/>
    <col min="28" max="28" width="21.7109375" customWidth="1"/>
    <col min="29" max="29" width="18.42578125" customWidth="1"/>
    <col min="30" max="30" width="19.140625" customWidth="1"/>
    <col min="31" max="31" width="20.28515625" customWidth="1"/>
    <col min="32" max="32" width="23.5703125" customWidth="1"/>
    <col min="33" max="33" width="21.85546875" customWidth="1"/>
    <col min="34" max="34" width="20.5703125" customWidth="1"/>
    <col min="35" max="35" width="22.42578125" customWidth="1"/>
    <col min="36" max="36" width="19" customWidth="1"/>
    <col min="37" max="37" width="21.42578125" customWidth="1"/>
  </cols>
  <sheetData>
    <row r="1" spans="1:37" ht="38.25" customHeight="1" x14ac:dyDescent="0.25">
      <c r="A1" s="161" t="s">
        <v>90</v>
      </c>
      <c r="B1" s="161" t="s">
        <v>245</v>
      </c>
      <c r="C1" s="162" t="s">
        <v>139</v>
      </c>
      <c r="D1" s="162" t="s">
        <v>214</v>
      </c>
      <c r="E1" s="161" t="s">
        <v>137</v>
      </c>
      <c r="F1" s="161" t="s">
        <v>79</v>
      </c>
      <c r="G1" s="161" t="s">
        <v>99</v>
      </c>
      <c r="H1" s="162" t="s">
        <v>135</v>
      </c>
      <c r="I1" s="162" t="s">
        <v>136</v>
      </c>
      <c r="J1" s="161" t="s">
        <v>105</v>
      </c>
      <c r="K1" s="161" t="s">
        <v>134</v>
      </c>
      <c r="L1" s="161"/>
      <c r="M1" s="161" t="s">
        <v>100</v>
      </c>
      <c r="N1" s="161" t="s">
        <v>101</v>
      </c>
      <c r="O1" s="161" t="s">
        <v>102</v>
      </c>
      <c r="P1" s="162" t="s">
        <v>143</v>
      </c>
      <c r="Q1" s="162" t="s">
        <v>138</v>
      </c>
      <c r="R1" s="162"/>
      <c r="S1" s="162" t="s">
        <v>142</v>
      </c>
      <c r="T1" s="159" t="s">
        <v>144</v>
      </c>
      <c r="U1" s="159" t="s">
        <v>145</v>
      </c>
      <c r="V1" s="160" t="s">
        <v>213</v>
      </c>
      <c r="W1" s="160" t="s">
        <v>215</v>
      </c>
      <c r="X1" s="158" t="s">
        <v>216</v>
      </c>
      <c r="Y1" s="158" t="s">
        <v>217</v>
      </c>
      <c r="Z1" s="158" t="s">
        <v>218</v>
      </c>
      <c r="AA1" s="158" t="s">
        <v>220</v>
      </c>
      <c r="AB1" s="158" t="s">
        <v>219</v>
      </c>
      <c r="AC1" s="158" t="s">
        <v>221</v>
      </c>
      <c r="AD1" s="157" t="s">
        <v>154</v>
      </c>
      <c r="AE1" s="157" t="s">
        <v>155</v>
      </c>
      <c r="AF1" s="157" t="s">
        <v>222</v>
      </c>
      <c r="AG1" s="157" t="s">
        <v>223</v>
      </c>
      <c r="AH1" s="157" t="s">
        <v>224</v>
      </c>
      <c r="AI1" s="157" t="s">
        <v>225</v>
      </c>
      <c r="AJ1" s="157" t="s">
        <v>219</v>
      </c>
      <c r="AK1" s="157" t="s">
        <v>221</v>
      </c>
    </row>
    <row r="2" spans="1:37" ht="38.25" customHeight="1" x14ac:dyDescent="0.25">
      <c r="A2" s="161"/>
      <c r="B2" s="161"/>
      <c r="C2" s="162"/>
      <c r="D2" s="162"/>
      <c r="E2" s="161"/>
      <c r="F2" s="161"/>
      <c r="G2" s="161"/>
      <c r="H2" s="162"/>
      <c r="I2" s="162"/>
      <c r="J2" s="161"/>
      <c r="K2" s="6">
        <v>2020</v>
      </c>
      <c r="L2" s="6">
        <v>2021</v>
      </c>
      <c r="M2" s="161"/>
      <c r="N2" s="161"/>
      <c r="O2" s="161"/>
      <c r="P2" s="162"/>
      <c r="Q2" s="51">
        <v>2020</v>
      </c>
      <c r="R2" s="59" t="s">
        <v>140</v>
      </c>
      <c r="S2" s="162"/>
      <c r="T2" s="159"/>
      <c r="U2" s="159"/>
      <c r="V2" s="160"/>
      <c r="W2" s="160"/>
      <c r="X2" s="158"/>
      <c r="Y2" s="158"/>
      <c r="Z2" s="158"/>
      <c r="AA2" s="158"/>
      <c r="AB2" s="158"/>
      <c r="AC2" s="158"/>
      <c r="AD2" s="157"/>
      <c r="AE2" s="157"/>
      <c r="AF2" s="157"/>
      <c r="AG2" s="157"/>
      <c r="AH2" s="157"/>
      <c r="AI2" s="157"/>
      <c r="AJ2" s="157"/>
      <c r="AK2" s="157"/>
    </row>
    <row r="3" spans="1:37" x14ac:dyDescent="0.25">
      <c r="A3" s="53" t="s">
        <v>103</v>
      </c>
      <c r="B3" s="127">
        <v>23</v>
      </c>
      <c r="C3" s="53">
        <v>90</v>
      </c>
      <c r="D3" s="123">
        <f>(AD36/I36)*100</f>
        <v>76.969835548824221</v>
      </c>
      <c r="E3" s="7" t="s">
        <v>87</v>
      </c>
      <c r="F3" s="151"/>
      <c r="G3" t="s">
        <v>104</v>
      </c>
      <c r="H3" s="17">
        <v>106258.31</v>
      </c>
      <c r="I3" s="17">
        <v>116258.31</v>
      </c>
      <c r="J3" s="52" t="s">
        <v>106</v>
      </c>
      <c r="K3" s="56">
        <v>1306.6500000000001</v>
      </c>
      <c r="L3" s="52">
        <v>1481.7</v>
      </c>
      <c r="M3" s="52">
        <v>39.6</v>
      </c>
      <c r="N3" s="52">
        <v>13.75</v>
      </c>
      <c r="O3" s="52">
        <v>5.5</v>
      </c>
      <c r="P3" s="60">
        <f>12*(L3+M3+N3+O3)</f>
        <v>18486.599999999999</v>
      </c>
      <c r="Q3" s="50">
        <f>0.246*H3</f>
        <v>26139.544259999999</v>
      </c>
      <c r="R3" s="17">
        <f>0.2695*I3</f>
        <v>31331.614545</v>
      </c>
      <c r="S3" s="50">
        <f>I3*0.0765</f>
        <v>8893.7607150000003</v>
      </c>
      <c r="T3" s="17">
        <f>(L3*12)*0.66</f>
        <v>11735.064000000002</v>
      </c>
      <c r="U3" s="17">
        <f>M3*12*0.4</f>
        <v>190.08000000000004</v>
      </c>
      <c r="V3" s="17">
        <f>I3*(C3/100)</f>
        <v>104632.47900000001</v>
      </c>
      <c r="W3" s="17">
        <f>V3*0.0765</f>
        <v>8004.3846435000005</v>
      </c>
      <c r="X3" s="50">
        <f>(C3/100)*T3</f>
        <v>10561.557600000002</v>
      </c>
      <c r="Y3" s="61">
        <f>(C3/100)*U3</f>
        <v>171.07200000000003</v>
      </c>
      <c r="Z3" s="61">
        <f>(C3/100)*N3*12</f>
        <v>148.5</v>
      </c>
      <c r="AA3" s="61">
        <f>(C3/100)*O3*12</f>
        <v>59.400000000000006</v>
      </c>
      <c r="AB3" s="50">
        <f>(C3/100)*R3</f>
        <v>28198.453090499999</v>
      </c>
      <c r="AC3" s="50">
        <f>X3+Y3+Z3+AA3+AB3</f>
        <v>39138.982690500001</v>
      </c>
      <c r="AD3" s="17">
        <f>I3*(D3/100)</f>
        <v>89483.830018842258</v>
      </c>
      <c r="AE3" s="17">
        <f>AD3*0.0765</f>
        <v>6845.5129964414327</v>
      </c>
      <c r="AF3" s="17">
        <f>(D3/100)*T3</f>
        <v>9032.459462349274</v>
      </c>
      <c r="AG3" s="17">
        <f>(D3/100)*U3</f>
        <v>146.30426341120511</v>
      </c>
      <c r="AH3" s="17">
        <f>(D3/100)*N3*12</f>
        <v>127.00022865555997</v>
      </c>
      <c r="AI3" s="17">
        <f>(D3/100)*O3*12</f>
        <v>50.800091462223982</v>
      </c>
      <c r="AJ3" s="17">
        <f>(D3/100)*R3</f>
        <v>24115.89219007799</v>
      </c>
      <c r="AK3" s="17">
        <f>AF3+AG3+AH3+AI3+AJ3</f>
        <v>33472.456235956255</v>
      </c>
    </row>
    <row r="4" spans="1:37" x14ac:dyDescent="0.25">
      <c r="A4" s="53" t="s">
        <v>103</v>
      </c>
      <c r="B4" s="127">
        <v>19</v>
      </c>
      <c r="C4" s="53">
        <v>80</v>
      </c>
      <c r="D4" s="53">
        <v>84.55</v>
      </c>
      <c r="E4" s="7" t="s">
        <v>87</v>
      </c>
      <c r="F4" s="151"/>
      <c r="G4" t="s">
        <v>107</v>
      </c>
      <c r="H4" s="17">
        <v>48375.21</v>
      </c>
      <c r="I4" s="17">
        <v>51101.63</v>
      </c>
      <c r="J4" s="52" t="s">
        <v>121</v>
      </c>
      <c r="K4" s="56">
        <v>946.2</v>
      </c>
      <c r="L4" s="52">
        <v>1072.95</v>
      </c>
      <c r="M4" s="52">
        <v>40.81</v>
      </c>
      <c r="N4" s="52">
        <v>13.07</v>
      </c>
      <c r="O4" s="52">
        <v>5.5</v>
      </c>
      <c r="P4" s="60">
        <f t="shared" ref="P4:P31" si="0">12*(L4+M4+N4+O4)</f>
        <v>13587.96</v>
      </c>
      <c r="Q4" s="50">
        <f t="shared" ref="Q4:Q26" si="1">0.246*H4</f>
        <v>11900.301659999999</v>
      </c>
      <c r="R4" s="17">
        <f t="shared" ref="R4:R26" si="2">0.2695*I4</f>
        <v>13771.889284999999</v>
      </c>
      <c r="S4" s="50">
        <f t="shared" ref="S4:S31" si="3">I4*0.0765</f>
        <v>3909.2746949999996</v>
      </c>
      <c r="T4" s="17">
        <f t="shared" ref="T4:T24" si="4">(L4*12)*0.66</f>
        <v>8497.764000000001</v>
      </c>
      <c r="U4" s="17">
        <f t="shared" ref="U4:U31" si="5">M4*12*0.4</f>
        <v>195.88800000000003</v>
      </c>
      <c r="V4" s="17">
        <f t="shared" ref="V4:V31" si="6">I4*(C4/100)</f>
        <v>40881.304000000004</v>
      </c>
      <c r="W4" s="17">
        <f t="shared" ref="W4:W32" si="7">V4*0.0765</f>
        <v>3127.4197560000002</v>
      </c>
      <c r="X4" s="50">
        <f t="shared" ref="X4:X31" si="8">(C4/100)*T4</f>
        <v>6798.2112000000016</v>
      </c>
      <c r="Y4" s="61">
        <f t="shared" ref="Y4:Y31" si="9">(C4/100)*U4</f>
        <v>156.71040000000005</v>
      </c>
      <c r="Z4" s="61">
        <f t="shared" ref="Z4:Z31" si="10">(C4/100)*N4*12</f>
        <v>125.47200000000001</v>
      </c>
      <c r="AA4" s="61">
        <f t="shared" ref="AA4:AA31" si="11">(C4/100)*O4*12</f>
        <v>52.800000000000004</v>
      </c>
      <c r="AB4" s="50">
        <f t="shared" ref="AB4:AB31" si="12">(C4/100)*R4</f>
        <v>11017.511428</v>
      </c>
      <c r="AC4" s="50">
        <f t="shared" ref="AC4:AC31" si="13">X4+Y4+Z4+AA4+AB4</f>
        <v>18150.705028</v>
      </c>
      <c r="AD4" s="17">
        <f t="shared" ref="AD4:AD31" si="14">I4*(D4/100)</f>
        <v>43206.42816499999</v>
      </c>
      <c r="AE4" s="17">
        <f t="shared" ref="AE4:AE31" si="15">AD4*0.0765</f>
        <v>3305.2917546224994</v>
      </c>
      <c r="AF4" s="17">
        <f t="shared" ref="AF4:AF31" si="16">(D4/100)*T4</f>
        <v>7184.8594620000003</v>
      </c>
      <c r="AG4" s="17">
        <f t="shared" ref="AG4:AG31" si="17">(D4/100)*U4</f>
        <v>165.62330400000002</v>
      </c>
      <c r="AH4" s="17">
        <f t="shared" ref="AH4:AH31" si="18">(D4/100)*N4*12</f>
        <v>132.60821999999999</v>
      </c>
      <c r="AI4" s="17">
        <f t="shared" ref="AI4:AI31" si="19">(D4/100)*O4*12</f>
        <v>55.802999999999997</v>
      </c>
      <c r="AJ4" s="17">
        <f t="shared" ref="AJ4:AJ31" si="20">(D4/100)*R4</f>
        <v>11644.132390467499</v>
      </c>
      <c r="AK4" s="17">
        <f t="shared" ref="AK4:AK31" si="21">AF4+AG4+AH4+AI4+AJ4</f>
        <v>19183.0263764675</v>
      </c>
    </row>
    <row r="5" spans="1:37" x14ac:dyDescent="0.25">
      <c r="A5" s="53" t="s">
        <v>103</v>
      </c>
      <c r="B5" s="132">
        <v>21</v>
      </c>
      <c r="C5" s="53">
        <v>90</v>
      </c>
      <c r="D5" s="53">
        <v>90</v>
      </c>
      <c r="E5" s="7" t="s">
        <v>87</v>
      </c>
      <c r="F5" s="151"/>
      <c r="G5" t="s">
        <v>109</v>
      </c>
      <c r="H5" s="17">
        <v>58998.46</v>
      </c>
      <c r="I5" s="17">
        <v>63198.74</v>
      </c>
      <c r="J5" s="52" t="s">
        <v>121</v>
      </c>
      <c r="K5" s="56">
        <v>946.2</v>
      </c>
      <c r="L5" s="52">
        <v>1072.95</v>
      </c>
      <c r="M5" s="52">
        <v>40.81</v>
      </c>
      <c r="N5" s="52">
        <v>13.07</v>
      </c>
      <c r="O5" s="52">
        <v>5.5</v>
      </c>
      <c r="P5" s="60">
        <f t="shared" si="0"/>
        <v>13587.96</v>
      </c>
      <c r="Q5" s="50">
        <f t="shared" si="1"/>
        <v>14513.621159999999</v>
      </c>
      <c r="R5" s="17">
        <f t="shared" si="2"/>
        <v>17032.060430000001</v>
      </c>
      <c r="S5" s="50">
        <f t="shared" si="3"/>
        <v>4834.7036099999996</v>
      </c>
      <c r="T5" s="17">
        <f t="shared" si="4"/>
        <v>8497.764000000001</v>
      </c>
      <c r="U5" s="17">
        <f t="shared" si="5"/>
        <v>195.88800000000003</v>
      </c>
      <c r="V5" s="17">
        <f t="shared" si="6"/>
        <v>56878.866000000002</v>
      </c>
      <c r="W5" s="17">
        <f t="shared" si="7"/>
        <v>4351.2332489999999</v>
      </c>
      <c r="X5" s="50">
        <f t="shared" si="8"/>
        <v>7647.9876000000013</v>
      </c>
      <c r="Y5" s="61">
        <f t="shared" si="9"/>
        <v>176.29920000000004</v>
      </c>
      <c r="Z5" s="61">
        <f t="shared" si="10"/>
        <v>141.15600000000001</v>
      </c>
      <c r="AA5" s="61">
        <f t="shared" si="11"/>
        <v>59.400000000000006</v>
      </c>
      <c r="AB5" s="50">
        <f t="shared" si="12"/>
        <v>15328.854387000001</v>
      </c>
      <c r="AC5" s="50">
        <f t="shared" si="13"/>
        <v>23353.697187000002</v>
      </c>
      <c r="AD5" s="17">
        <f t="shared" si="14"/>
        <v>56878.866000000002</v>
      </c>
      <c r="AE5" s="17">
        <f t="shared" si="15"/>
        <v>4351.2332489999999</v>
      </c>
      <c r="AF5" s="17">
        <f t="shared" si="16"/>
        <v>7647.9876000000013</v>
      </c>
      <c r="AG5" s="17">
        <f t="shared" si="17"/>
        <v>176.29920000000004</v>
      </c>
      <c r="AH5" s="17">
        <f t="shared" si="18"/>
        <v>141.15600000000001</v>
      </c>
      <c r="AI5" s="17">
        <f t="shared" si="19"/>
        <v>59.400000000000006</v>
      </c>
      <c r="AJ5" s="17">
        <f t="shared" si="20"/>
        <v>15328.854387000001</v>
      </c>
      <c r="AK5" s="17">
        <f t="shared" si="21"/>
        <v>23353.697187000002</v>
      </c>
    </row>
    <row r="6" spans="1:37" x14ac:dyDescent="0.25">
      <c r="A6" s="53" t="s">
        <v>103</v>
      </c>
      <c r="B6" s="127">
        <v>22</v>
      </c>
      <c r="C6" s="53">
        <v>80</v>
      </c>
      <c r="D6" s="53">
        <v>84.55</v>
      </c>
      <c r="E6" s="7" t="s">
        <v>87</v>
      </c>
      <c r="F6" s="151"/>
      <c r="G6" t="s">
        <v>93</v>
      </c>
      <c r="H6" s="17">
        <v>63402.879999999997</v>
      </c>
      <c r="I6" s="87">
        <v>64649.120000000003</v>
      </c>
      <c r="J6" s="52" t="s">
        <v>108</v>
      </c>
      <c r="K6" s="56">
        <v>811.03</v>
      </c>
      <c r="L6" s="52">
        <v>510.93</v>
      </c>
      <c r="M6" s="52">
        <v>19.399999999999999</v>
      </c>
      <c r="N6" s="52">
        <v>6.88</v>
      </c>
      <c r="O6" s="52">
        <v>5.5</v>
      </c>
      <c r="P6" s="60">
        <f t="shared" si="0"/>
        <v>6512.52</v>
      </c>
      <c r="Q6" s="50">
        <f t="shared" si="1"/>
        <v>15597.108479999999</v>
      </c>
      <c r="R6" s="17">
        <f t="shared" si="2"/>
        <v>17422.937840000002</v>
      </c>
      <c r="S6" s="50">
        <f t="shared" si="3"/>
        <v>4945.6576800000003</v>
      </c>
      <c r="T6" s="17">
        <f>(L6*12)*0.78</f>
        <v>4782.3047999999999</v>
      </c>
      <c r="U6" s="17">
        <f t="shared" si="5"/>
        <v>93.12</v>
      </c>
      <c r="V6" s="17">
        <f t="shared" si="6"/>
        <v>51719.296000000002</v>
      </c>
      <c r="W6" s="17">
        <f t="shared" si="7"/>
        <v>3956.5261439999999</v>
      </c>
      <c r="X6" s="50">
        <f t="shared" si="8"/>
        <v>3825.84384</v>
      </c>
      <c r="Y6" s="61">
        <f t="shared" si="9"/>
        <v>74.496000000000009</v>
      </c>
      <c r="Z6" s="61">
        <f t="shared" si="10"/>
        <v>66.048000000000002</v>
      </c>
      <c r="AA6" s="61">
        <f t="shared" si="11"/>
        <v>52.800000000000004</v>
      </c>
      <c r="AB6" s="50">
        <f t="shared" si="12"/>
        <v>13938.350272000003</v>
      </c>
      <c r="AC6" s="50">
        <f t="shared" si="13"/>
        <v>17957.538112000002</v>
      </c>
      <c r="AD6" s="17">
        <f t="shared" si="14"/>
        <v>54660.830959999999</v>
      </c>
      <c r="AE6" s="17">
        <f t="shared" si="15"/>
        <v>4181.5535684400002</v>
      </c>
      <c r="AF6" s="17">
        <f t="shared" si="16"/>
        <v>4043.4387083999995</v>
      </c>
      <c r="AG6" s="17">
        <f t="shared" si="17"/>
        <v>78.732959999999991</v>
      </c>
      <c r="AH6" s="17">
        <f t="shared" si="18"/>
        <v>69.804479999999998</v>
      </c>
      <c r="AI6" s="17">
        <f t="shared" si="19"/>
        <v>55.802999999999997</v>
      </c>
      <c r="AJ6" s="17">
        <f t="shared" si="20"/>
        <v>14731.093943720001</v>
      </c>
      <c r="AK6" s="17">
        <f t="shared" si="21"/>
        <v>18978.87309212</v>
      </c>
    </row>
    <row r="7" spans="1:37" x14ac:dyDescent="0.25">
      <c r="A7" s="53" t="s">
        <v>103</v>
      </c>
      <c r="B7" s="127">
        <v>12</v>
      </c>
      <c r="C7" s="53">
        <v>90</v>
      </c>
      <c r="D7" s="53">
        <v>84.55</v>
      </c>
      <c r="E7" s="7" t="s">
        <v>87</v>
      </c>
      <c r="F7" s="151"/>
      <c r="G7" t="s">
        <v>110</v>
      </c>
      <c r="H7" s="17">
        <v>43647.48</v>
      </c>
      <c r="I7" s="17">
        <v>43621.21</v>
      </c>
      <c r="J7" s="52" t="s">
        <v>111</v>
      </c>
      <c r="K7" s="56">
        <v>0</v>
      </c>
      <c r="L7" s="52">
        <v>0</v>
      </c>
      <c r="M7" s="52">
        <v>19.399999999999999</v>
      </c>
      <c r="N7" s="52">
        <v>6.88</v>
      </c>
      <c r="O7" s="52">
        <v>5.5</v>
      </c>
      <c r="P7" s="60">
        <f t="shared" si="0"/>
        <v>381.35999999999996</v>
      </c>
      <c r="Q7" s="50">
        <f t="shared" si="1"/>
        <v>10737.28008</v>
      </c>
      <c r="R7" s="17">
        <f t="shared" si="2"/>
        <v>11755.916095</v>
      </c>
      <c r="S7" s="50">
        <f t="shared" si="3"/>
        <v>3337.0225649999998</v>
      </c>
      <c r="T7" s="17">
        <f t="shared" si="4"/>
        <v>0</v>
      </c>
      <c r="U7" s="17">
        <f t="shared" si="5"/>
        <v>93.12</v>
      </c>
      <c r="V7" s="17">
        <f t="shared" si="6"/>
        <v>39259.089</v>
      </c>
      <c r="W7" s="17">
        <f t="shared" si="7"/>
        <v>3003.3203085</v>
      </c>
      <c r="X7" s="50">
        <f t="shared" si="8"/>
        <v>0</v>
      </c>
      <c r="Y7" s="61">
        <f t="shared" si="9"/>
        <v>83.808000000000007</v>
      </c>
      <c r="Z7" s="61">
        <f t="shared" si="10"/>
        <v>74.304000000000002</v>
      </c>
      <c r="AA7" s="61">
        <f t="shared" si="11"/>
        <v>59.400000000000006</v>
      </c>
      <c r="AB7" s="50">
        <f t="shared" si="12"/>
        <v>10580.324485500001</v>
      </c>
      <c r="AC7" s="50">
        <f t="shared" si="13"/>
        <v>10797.836485500002</v>
      </c>
      <c r="AD7" s="17">
        <f t="shared" si="14"/>
        <v>36881.733054999997</v>
      </c>
      <c r="AE7" s="17">
        <f t="shared" si="15"/>
        <v>2821.4525787074999</v>
      </c>
      <c r="AF7" s="17">
        <f t="shared" si="16"/>
        <v>0</v>
      </c>
      <c r="AG7" s="17">
        <f t="shared" si="17"/>
        <v>78.732959999999991</v>
      </c>
      <c r="AH7" s="17">
        <f t="shared" si="18"/>
        <v>69.804479999999998</v>
      </c>
      <c r="AI7" s="17">
        <f t="shared" si="19"/>
        <v>55.802999999999997</v>
      </c>
      <c r="AJ7" s="17">
        <f t="shared" si="20"/>
        <v>9939.6270583224996</v>
      </c>
      <c r="AK7" s="17">
        <f t="shared" si="21"/>
        <v>10143.9674983225</v>
      </c>
    </row>
    <row r="8" spans="1:37" s="16" customFormat="1" x14ac:dyDescent="0.25">
      <c r="A8" s="53" t="s">
        <v>103</v>
      </c>
      <c r="B8" s="127">
        <v>18</v>
      </c>
      <c r="C8" s="53">
        <v>100</v>
      </c>
      <c r="D8" s="53">
        <v>84.55</v>
      </c>
      <c r="E8" s="7" t="s">
        <v>87</v>
      </c>
      <c r="F8" s="151"/>
      <c r="G8" s="16" t="s">
        <v>110</v>
      </c>
      <c r="H8" s="17">
        <v>27088.78</v>
      </c>
      <c r="I8" s="17">
        <v>27088.78</v>
      </c>
      <c r="J8" s="52" t="s">
        <v>106</v>
      </c>
      <c r="K8" s="57">
        <v>1306.6500000000001</v>
      </c>
      <c r="L8" s="52">
        <v>1481.7</v>
      </c>
      <c r="M8" s="52">
        <v>79.349999999999994</v>
      </c>
      <c r="N8" s="52">
        <v>20.22</v>
      </c>
      <c r="O8" s="52">
        <v>5.5</v>
      </c>
      <c r="P8" s="60">
        <f t="shared" si="0"/>
        <v>19041.239999999998</v>
      </c>
      <c r="Q8" s="50">
        <f t="shared" si="1"/>
        <v>6663.8398799999995</v>
      </c>
      <c r="R8" s="17">
        <f t="shared" si="2"/>
        <v>7300.4262100000005</v>
      </c>
      <c r="S8" s="50">
        <f t="shared" si="3"/>
        <v>2072.2916700000001</v>
      </c>
      <c r="T8" s="17">
        <f t="shared" si="4"/>
        <v>11735.064000000002</v>
      </c>
      <c r="U8" s="17">
        <f t="shared" si="5"/>
        <v>380.88</v>
      </c>
      <c r="V8" s="17">
        <f t="shared" si="6"/>
        <v>27088.78</v>
      </c>
      <c r="W8" s="17">
        <f t="shared" si="7"/>
        <v>2072.2916700000001</v>
      </c>
      <c r="X8" s="50">
        <f t="shared" si="8"/>
        <v>11735.064000000002</v>
      </c>
      <c r="Y8" s="61">
        <f t="shared" si="9"/>
        <v>380.88</v>
      </c>
      <c r="Z8" s="61">
        <f t="shared" si="10"/>
        <v>242.64</v>
      </c>
      <c r="AA8" s="61">
        <f t="shared" si="11"/>
        <v>66</v>
      </c>
      <c r="AB8" s="50">
        <f t="shared" si="12"/>
        <v>7300.4262100000005</v>
      </c>
      <c r="AC8" s="50">
        <f t="shared" si="13"/>
        <v>19725.01021</v>
      </c>
      <c r="AD8" s="17">
        <f t="shared" si="14"/>
        <v>22903.563489999997</v>
      </c>
      <c r="AE8" s="17">
        <f t="shared" si="15"/>
        <v>1752.1226069849997</v>
      </c>
      <c r="AF8" s="17">
        <f t="shared" si="16"/>
        <v>9921.9966120000008</v>
      </c>
      <c r="AG8" s="17">
        <f t="shared" si="17"/>
        <v>322.03403999999995</v>
      </c>
      <c r="AH8" s="17">
        <f t="shared" si="18"/>
        <v>205.15211999999997</v>
      </c>
      <c r="AI8" s="17">
        <f t="shared" si="19"/>
        <v>55.802999999999997</v>
      </c>
      <c r="AJ8" s="17">
        <f t="shared" si="20"/>
        <v>6172.5103605550003</v>
      </c>
      <c r="AK8" s="17">
        <f t="shared" si="21"/>
        <v>16677.496132555003</v>
      </c>
    </row>
    <row r="9" spans="1:37" x14ac:dyDescent="0.25">
      <c r="A9" s="53" t="s">
        <v>91</v>
      </c>
      <c r="B9" s="127">
        <v>14</v>
      </c>
      <c r="C9" s="53">
        <v>100</v>
      </c>
      <c r="D9" s="53">
        <v>100</v>
      </c>
      <c r="E9" s="7" t="s">
        <v>87</v>
      </c>
      <c r="F9" s="151"/>
      <c r="G9" t="s">
        <v>112</v>
      </c>
      <c r="H9" s="17">
        <v>59428.42</v>
      </c>
      <c r="I9" s="17">
        <v>63097.4</v>
      </c>
      <c r="J9" s="52" t="s">
        <v>106</v>
      </c>
      <c r="K9" s="56">
        <v>1306.6500000000001</v>
      </c>
      <c r="L9" s="52">
        <v>1481.7</v>
      </c>
      <c r="M9" s="52">
        <v>79.349999999999994</v>
      </c>
      <c r="N9" s="52">
        <v>20.22</v>
      </c>
      <c r="O9" s="52">
        <v>5.5</v>
      </c>
      <c r="P9" s="60">
        <f t="shared" si="0"/>
        <v>19041.239999999998</v>
      </c>
      <c r="Q9" s="50">
        <f t="shared" si="1"/>
        <v>14619.391319999999</v>
      </c>
      <c r="R9" s="17">
        <f t="shared" si="2"/>
        <v>17004.749300000003</v>
      </c>
      <c r="S9" s="50">
        <f t="shared" si="3"/>
        <v>4826.9511000000002</v>
      </c>
      <c r="T9" s="17">
        <f t="shared" si="4"/>
        <v>11735.064000000002</v>
      </c>
      <c r="U9" s="17">
        <f t="shared" si="5"/>
        <v>380.88</v>
      </c>
      <c r="V9" s="17">
        <f t="shared" si="6"/>
        <v>63097.4</v>
      </c>
      <c r="W9" s="17">
        <f t="shared" si="7"/>
        <v>4826.9511000000002</v>
      </c>
      <c r="X9" s="50">
        <f t="shared" si="8"/>
        <v>11735.064000000002</v>
      </c>
      <c r="Y9" s="61">
        <f t="shared" si="9"/>
        <v>380.88</v>
      </c>
      <c r="Z9" s="61">
        <f t="shared" si="10"/>
        <v>242.64</v>
      </c>
      <c r="AA9" s="61">
        <f t="shared" si="11"/>
        <v>66</v>
      </c>
      <c r="AB9" s="50">
        <f t="shared" si="12"/>
        <v>17004.749300000003</v>
      </c>
      <c r="AC9" s="50">
        <f t="shared" si="13"/>
        <v>29429.333300000006</v>
      </c>
      <c r="AD9" s="17">
        <f t="shared" si="14"/>
        <v>63097.4</v>
      </c>
      <c r="AE9" s="17">
        <f t="shared" si="15"/>
        <v>4826.9511000000002</v>
      </c>
      <c r="AF9" s="17">
        <f t="shared" si="16"/>
        <v>11735.064000000002</v>
      </c>
      <c r="AG9" s="17">
        <f t="shared" si="17"/>
        <v>380.88</v>
      </c>
      <c r="AH9" s="17">
        <f t="shared" si="18"/>
        <v>242.64</v>
      </c>
      <c r="AI9" s="17">
        <f t="shared" si="19"/>
        <v>66</v>
      </c>
      <c r="AJ9" s="17">
        <f t="shared" si="20"/>
        <v>17004.749300000003</v>
      </c>
      <c r="AK9" s="17">
        <f t="shared" si="21"/>
        <v>29429.333300000006</v>
      </c>
    </row>
    <row r="10" spans="1:37" x14ac:dyDescent="0.25">
      <c r="A10" s="62" t="s">
        <v>89</v>
      </c>
      <c r="B10" s="62">
        <v>30</v>
      </c>
      <c r="C10" s="62">
        <v>0</v>
      </c>
      <c r="D10" s="62">
        <v>0</v>
      </c>
      <c r="E10" s="63" t="s">
        <v>87</v>
      </c>
      <c r="F10" s="151"/>
      <c r="G10" s="64" t="s">
        <v>113</v>
      </c>
      <c r="H10" s="65">
        <v>48042.93</v>
      </c>
      <c r="I10" s="65">
        <v>49995.11</v>
      </c>
      <c r="J10" s="66" t="s">
        <v>106</v>
      </c>
      <c r="K10" s="67">
        <v>1306.6500000000001</v>
      </c>
      <c r="L10" s="66">
        <v>1481.7</v>
      </c>
      <c r="M10" s="66">
        <v>79.349999999999994</v>
      </c>
      <c r="N10" s="66">
        <v>20.22</v>
      </c>
      <c r="O10" s="66">
        <v>5.5</v>
      </c>
      <c r="P10" s="68">
        <f t="shared" si="0"/>
        <v>19041.239999999998</v>
      </c>
      <c r="Q10" s="69">
        <f t="shared" si="1"/>
        <v>11818.56078</v>
      </c>
      <c r="R10" s="65">
        <f t="shared" si="2"/>
        <v>13473.682145000001</v>
      </c>
      <c r="S10" s="69">
        <f t="shared" si="3"/>
        <v>3824.6259150000001</v>
      </c>
      <c r="T10" s="65">
        <f t="shared" si="4"/>
        <v>11735.064000000002</v>
      </c>
      <c r="U10" s="65">
        <f t="shared" si="5"/>
        <v>380.88</v>
      </c>
      <c r="V10" s="65">
        <f t="shared" si="6"/>
        <v>0</v>
      </c>
      <c r="W10" s="65">
        <f t="shared" si="7"/>
        <v>0</v>
      </c>
      <c r="X10" s="69">
        <f t="shared" si="8"/>
        <v>0</v>
      </c>
      <c r="Y10" s="70">
        <f t="shared" si="9"/>
        <v>0</v>
      </c>
      <c r="Z10" s="70">
        <f t="shared" si="10"/>
        <v>0</v>
      </c>
      <c r="AA10" s="70">
        <f t="shared" si="11"/>
        <v>0</v>
      </c>
      <c r="AB10" s="69">
        <f t="shared" si="12"/>
        <v>0</v>
      </c>
      <c r="AC10" s="69">
        <f t="shared" si="13"/>
        <v>0</v>
      </c>
      <c r="AD10" s="65">
        <f t="shared" si="14"/>
        <v>0</v>
      </c>
      <c r="AE10" s="65">
        <f t="shared" si="15"/>
        <v>0</v>
      </c>
      <c r="AF10" s="65">
        <f t="shared" si="16"/>
        <v>0</v>
      </c>
      <c r="AG10" s="65">
        <f t="shared" si="17"/>
        <v>0</v>
      </c>
      <c r="AH10" s="65">
        <f t="shared" si="18"/>
        <v>0</v>
      </c>
      <c r="AI10" s="65">
        <f t="shared" si="19"/>
        <v>0</v>
      </c>
      <c r="AJ10" s="65">
        <f t="shared" si="20"/>
        <v>0</v>
      </c>
      <c r="AK10" s="65">
        <f t="shared" si="21"/>
        <v>0</v>
      </c>
    </row>
    <row r="11" spans="1:37" x14ac:dyDescent="0.25">
      <c r="A11" s="62" t="s">
        <v>89</v>
      </c>
      <c r="B11" s="62">
        <v>29</v>
      </c>
      <c r="C11" s="62">
        <v>0</v>
      </c>
      <c r="D11" s="62">
        <v>0</v>
      </c>
      <c r="E11" s="63" t="s">
        <v>87</v>
      </c>
      <c r="F11" s="151"/>
      <c r="G11" s="64" t="s">
        <v>114</v>
      </c>
      <c r="H11" s="65">
        <v>52414.05</v>
      </c>
      <c r="I11" s="65">
        <v>54040.87</v>
      </c>
      <c r="J11" s="66" t="s">
        <v>108</v>
      </c>
      <c r="K11" s="67">
        <v>450.57</v>
      </c>
      <c r="L11" s="66">
        <v>510.93</v>
      </c>
      <c r="M11" s="66">
        <v>19.399999999999999</v>
      </c>
      <c r="N11" s="66">
        <v>6.88</v>
      </c>
      <c r="O11" s="66">
        <v>5.5</v>
      </c>
      <c r="P11" s="68">
        <f t="shared" si="0"/>
        <v>6512.52</v>
      </c>
      <c r="Q11" s="69">
        <f t="shared" si="1"/>
        <v>12893.856300000001</v>
      </c>
      <c r="R11" s="65">
        <f t="shared" si="2"/>
        <v>14564.014465000002</v>
      </c>
      <c r="S11" s="69">
        <f t="shared" si="3"/>
        <v>4134.1265549999998</v>
      </c>
      <c r="T11" s="65">
        <f>(L11*12)*0.78</f>
        <v>4782.3047999999999</v>
      </c>
      <c r="U11" s="65">
        <f t="shared" si="5"/>
        <v>93.12</v>
      </c>
      <c r="V11" s="65">
        <f t="shared" si="6"/>
        <v>0</v>
      </c>
      <c r="W11" s="65">
        <f t="shared" si="7"/>
        <v>0</v>
      </c>
      <c r="X11" s="69">
        <f t="shared" si="8"/>
        <v>0</v>
      </c>
      <c r="Y11" s="70">
        <f t="shared" si="9"/>
        <v>0</v>
      </c>
      <c r="Z11" s="70">
        <f t="shared" si="10"/>
        <v>0</v>
      </c>
      <c r="AA11" s="70">
        <f t="shared" si="11"/>
        <v>0</v>
      </c>
      <c r="AB11" s="69">
        <f t="shared" si="12"/>
        <v>0</v>
      </c>
      <c r="AC11" s="69">
        <f t="shared" si="13"/>
        <v>0</v>
      </c>
      <c r="AD11" s="65">
        <f t="shared" si="14"/>
        <v>0</v>
      </c>
      <c r="AE11" s="65">
        <f t="shared" si="15"/>
        <v>0</v>
      </c>
      <c r="AF11" s="65">
        <f t="shared" si="16"/>
        <v>0</v>
      </c>
      <c r="AG11" s="65">
        <f t="shared" si="17"/>
        <v>0</v>
      </c>
      <c r="AH11" s="65">
        <f t="shared" si="18"/>
        <v>0</v>
      </c>
      <c r="AI11" s="65">
        <f t="shared" si="19"/>
        <v>0</v>
      </c>
      <c r="AJ11" s="65">
        <f t="shared" si="20"/>
        <v>0</v>
      </c>
      <c r="AK11" s="65">
        <f t="shared" si="21"/>
        <v>0</v>
      </c>
    </row>
    <row r="12" spans="1:37" x14ac:dyDescent="0.25">
      <c r="A12" s="53" t="s">
        <v>91</v>
      </c>
      <c r="B12" s="127">
        <v>27</v>
      </c>
      <c r="C12" s="53">
        <v>100</v>
      </c>
      <c r="D12" s="53">
        <v>100</v>
      </c>
      <c r="E12" s="7" t="s">
        <v>87</v>
      </c>
      <c r="F12" s="151"/>
      <c r="G12" t="s">
        <v>115</v>
      </c>
      <c r="H12" s="17">
        <v>47026.96</v>
      </c>
      <c r="I12" s="17">
        <v>48750.59</v>
      </c>
      <c r="J12" s="52" t="s">
        <v>106</v>
      </c>
      <c r="K12" s="56">
        <v>1306.6500000000001</v>
      </c>
      <c r="L12" s="52">
        <v>1481.7</v>
      </c>
      <c r="M12" s="52">
        <v>79.349999999999994</v>
      </c>
      <c r="N12" s="52">
        <v>20.22</v>
      </c>
      <c r="O12" s="52">
        <v>5.5</v>
      </c>
      <c r="P12" s="60">
        <f t="shared" si="0"/>
        <v>19041.239999999998</v>
      </c>
      <c r="Q12" s="50">
        <f t="shared" si="1"/>
        <v>11568.632159999999</v>
      </c>
      <c r="R12" s="17">
        <f t="shared" si="2"/>
        <v>13138.284005</v>
      </c>
      <c r="S12" s="50">
        <f t="shared" si="3"/>
        <v>3729.4201349999998</v>
      </c>
      <c r="T12" s="17">
        <f t="shared" si="4"/>
        <v>11735.064000000002</v>
      </c>
      <c r="U12" s="17">
        <f t="shared" si="5"/>
        <v>380.88</v>
      </c>
      <c r="V12" s="17">
        <f t="shared" si="6"/>
        <v>48750.59</v>
      </c>
      <c r="W12" s="17">
        <f t="shared" si="7"/>
        <v>3729.4201349999998</v>
      </c>
      <c r="X12" s="50">
        <f t="shared" si="8"/>
        <v>11735.064000000002</v>
      </c>
      <c r="Y12" s="61">
        <f t="shared" si="9"/>
        <v>380.88</v>
      </c>
      <c r="Z12" s="61">
        <f t="shared" si="10"/>
        <v>242.64</v>
      </c>
      <c r="AA12" s="61">
        <f t="shared" si="11"/>
        <v>66</v>
      </c>
      <c r="AB12" s="50">
        <f t="shared" si="12"/>
        <v>13138.284005</v>
      </c>
      <c r="AC12" s="50">
        <f t="shared" si="13"/>
        <v>25562.868005</v>
      </c>
      <c r="AD12" s="17">
        <f t="shared" si="14"/>
        <v>48750.59</v>
      </c>
      <c r="AE12" s="17">
        <f t="shared" si="15"/>
        <v>3729.4201349999998</v>
      </c>
      <c r="AF12" s="17">
        <f t="shared" si="16"/>
        <v>11735.064000000002</v>
      </c>
      <c r="AG12" s="17">
        <f t="shared" si="17"/>
        <v>380.88</v>
      </c>
      <c r="AH12" s="17">
        <f t="shared" si="18"/>
        <v>242.64</v>
      </c>
      <c r="AI12" s="17">
        <f t="shared" si="19"/>
        <v>66</v>
      </c>
      <c r="AJ12" s="17">
        <f t="shared" si="20"/>
        <v>13138.284005</v>
      </c>
      <c r="AK12" s="17">
        <f t="shared" si="21"/>
        <v>25562.868005</v>
      </c>
    </row>
    <row r="13" spans="1:37" x14ac:dyDescent="0.25">
      <c r="A13" s="53" t="s">
        <v>91</v>
      </c>
      <c r="B13" s="127">
        <v>6</v>
      </c>
      <c r="C13" s="53">
        <v>100</v>
      </c>
      <c r="D13" s="53">
        <v>98.1</v>
      </c>
      <c r="E13" s="7" t="s">
        <v>87</v>
      </c>
      <c r="F13" s="151"/>
      <c r="G13" t="s">
        <v>109</v>
      </c>
      <c r="H13" s="17">
        <v>36192.31</v>
      </c>
      <c r="I13" s="17">
        <v>38092.239999999998</v>
      </c>
      <c r="J13" s="52" t="s">
        <v>108</v>
      </c>
      <c r="K13" s="56">
        <v>450.57</v>
      </c>
      <c r="L13" s="52">
        <v>510.93</v>
      </c>
      <c r="M13" s="52">
        <v>19.399999999999999</v>
      </c>
      <c r="N13" s="52">
        <v>6.88</v>
      </c>
      <c r="O13" s="52">
        <v>5.5</v>
      </c>
      <c r="P13" s="60">
        <f t="shared" si="0"/>
        <v>6512.52</v>
      </c>
      <c r="Q13" s="50">
        <f t="shared" si="1"/>
        <v>8903.3082599999998</v>
      </c>
      <c r="R13" s="17">
        <f t="shared" si="2"/>
        <v>10265.858679999999</v>
      </c>
      <c r="S13" s="50">
        <f t="shared" si="3"/>
        <v>2914.0563599999996</v>
      </c>
      <c r="T13" s="17">
        <f>(L13*12)*0.78</f>
        <v>4782.3047999999999</v>
      </c>
      <c r="U13" s="17">
        <f t="shared" si="5"/>
        <v>93.12</v>
      </c>
      <c r="V13" s="17">
        <f t="shared" si="6"/>
        <v>38092.239999999998</v>
      </c>
      <c r="W13" s="17">
        <f t="shared" si="7"/>
        <v>2914.0563599999996</v>
      </c>
      <c r="X13" s="50">
        <f t="shared" si="8"/>
        <v>4782.3047999999999</v>
      </c>
      <c r="Y13" s="61">
        <f t="shared" si="9"/>
        <v>93.12</v>
      </c>
      <c r="Z13" s="61">
        <f t="shared" si="10"/>
        <v>82.56</v>
      </c>
      <c r="AA13" s="61">
        <f t="shared" si="11"/>
        <v>66</v>
      </c>
      <c r="AB13" s="50">
        <f t="shared" si="12"/>
        <v>10265.858679999999</v>
      </c>
      <c r="AC13" s="50">
        <f t="shared" si="13"/>
        <v>15289.84348</v>
      </c>
      <c r="AD13" s="17">
        <f t="shared" si="14"/>
        <v>37368.487439999997</v>
      </c>
      <c r="AE13" s="17">
        <f t="shared" si="15"/>
        <v>2858.6892891599996</v>
      </c>
      <c r="AF13" s="17">
        <f t="shared" si="16"/>
        <v>4691.4410087999995</v>
      </c>
      <c r="AG13" s="17">
        <f t="shared" si="17"/>
        <v>91.35072000000001</v>
      </c>
      <c r="AH13" s="17">
        <f t="shared" si="18"/>
        <v>80.99136</v>
      </c>
      <c r="AI13" s="17">
        <f t="shared" si="19"/>
        <v>64.746000000000009</v>
      </c>
      <c r="AJ13" s="17">
        <f t="shared" si="20"/>
        <v>10070.80736508</v>
      </c>
      <c r="AK13" s="17">
        <f t="shared" si="21"/>
        <v>14999.33645388</v>
      </c>
    </row>
    <row r="14" spans="1:37" x14ac:dyDescent="0.25">
      <c r="A14" s="53" t="s">
        <v>91</v>
      </c>
      <c r="B14" s="127">
        <v>11</v>
      </c>
      <c r="C14" s="53">
        <v>100</v>
      </c>
      <c r="D14" s="53">
        <v>100</v>
      </c>
      <c r="E14" s="7" t="s">
        <v>87</v>
      </c>
      <c r="F14" s="151"/>
      <c r="G14" t="s">
        <v>109</v>
      </c>
      <c r="H14" s="17">
        <v>35116.339999999997</v>
      </c>
      <c r="I14" s="17">
        <v>36914.28</v>
      </c>
      <c r="J14" s="52" t="s">
        <v>116</v>
      </c>
      <c r="K14" s="56">
        <v>811.03</v>
      </c>
      <c r="L14" s="52">
        <v>919.67</v>
      </c>
      <c r="M14" s="52">
        <v>39.6</v>
      </c>
      <c r="N14" s="52">
        <v>13.75</v>
      </c>
      <c r="O14" s="52">
        <v>5.5</v>
      </c>
      <c r="P14" s="60">
        <f t="shared" si="0"/>
        <v>11742.24</v>
      </c>
      <c r="Q14" s="50">
        <f t="shared" si="1"/>
        <v>8638.619639999999</v>
      </c>
      <c r="R14" s="17">
        <f t="shared" si="2"/>
        <v>9948.3984600000003</v>
      </c>
      <c r="S14" s="50">
        <f t="shared" si="3"/>
        <v>2823.9424199999999</v>
      </c>
      <c r="T14" s="17">
        <f t="shared" si="4"/>
        <v>7283.7864</v>
      </c>
      <c r="U14" s="17">
        <f t="shared" si="5"/>
        <v>190.08000000000004</v>
      </c>
      <c r="V14" s="17">
        <f t="shared" si="6"/>
        <v>36914.28</v>
      </c>
      <c r="W14" s="17">
        <f t="shared" si="7"/>
        <v>2823.9424199999999</v>
      </c>
      <c r="X14" s="50">
        <f t="shared" si="8"/>
        <v>7283.7864</v>
      </c>
      <c r="Y14" s="61">
        <f t="shared" si="9"/>
        <v>190.08000000000004</v>
      </c>
      <c r="Z14" s="61">
        <f t="shared" si="10"/>
        <v>165</v>
      </c>
      <c r="AA14" s="61">
        <f t="shared" si="11"/>
        <v>66</v>
      </c>
      <c r="AB14" s="50">
        <f t="shared" si="12"/>
        <v>9948.3984600000003</v>
      </c>
      <c r="AC14" s="50">
        <f t="shared" si="13"/>
        <v>17653.264859999999</v>
      </c>
      <c r="AD14" s="17">
        <f t="shared" si="14"/>
        <v>36914.28</v>
      </c>
      <c r="AE14" s="17">
        <f t="shared" si="15"/>
        <v>2823.9424199999999</v>
      </c>
      <c r="AF14" s="17">
        <f t="shared" si="16"/>
        <v>7283.7864</v>
      </c>
      <c r="AG14" s="17">
        <f t="shared" si="17"/>
        <v>190.08000000000004</v>
      </c>
      <c r="AH14" s="17">
        <f t="shared" si="18"/>
        <v>165</v>
      </c>
      <c r="AI14" s="17">
        <f t="shared" si="19"/>
        <v>66</v>
      </c>
      <c r="AJ14" s="17">
        <f t="shared" si="20"/>
        <v>9948.3984600000003</v>
      </c>
      <c r="AK14" s="17">
        <f t="shared" si="21"/>
        <v>17653.264859999999</v>
      </c>
    </row>
    <row r="15" spans="1:37" x14ac:dyDescent="0.25">
      <c r="A15" s="53" t="s">
        <v>91</v>
      </c>
      <c r="B15" s="127">
        <v>4</v>
      </c>
      <c r="C15" s="53">
        <v>100</v>
      </c>
      <c r="D15" s="53">
        <v>100</v>
      </c>
      <c r="E15" s="7" t="s">
        <v>87</v>
      </c>
      <c r="F15" s="151"/>
      <c r="G15" t="s">
        <v>117</v>
      </c>
      <c r="H15" s="17">
        <v>45201.31</v>
      </c>
      <c r="I15" s="17">
        <v>49302</v>
      </c>
      <c r="J15" s="52" t="s">
        <v>116</v>
      </c>
      <c r="K15" s="56">
        <v>450.57</v>
      </c>
      <c r="L15" s="52">
        <v>919.67</v>
      </c>
      <c r="M15" s="52">
        <v>39.6</v>
      </c>
      <c r="N15" s="52">
        <v>13.75</v>
      </c>
      <c r="O15" s="52">
        <v>5.5</v>
      </c>
      <c r="P15" s="60">
        <f t="shared" si="0"/>
        <v>11742.24</v>
      </c>
      <c r="Q15" s="50">
        <f t="shared" si="1"/>
        <v>11119.52226</v>
      </c>
      <c r="R15" s="17">
        <f t="shared" si="2"/>
        <v>13286.889000000001</v>
      </c>
      <c r="S15" s="50">
        <f t="shared" si="3"/>
        <v>3771.6030000000001</v>
      </c>
      <c r="T15" s="17">
        <f t="shared" si="4"/>
        <v>7283.7864</v>
      </c>
      <c r="U15" s="17">
        <f t="shared" si="5"/>
        <v>190.08000000000004</v>
      </c>
      <c r="V15" s="17">
        <f t="shared" si="6"/>
        <v>49302</v>
      </c>
      <c r="W15" s="17">
        <f t="shared" si="7"/>
        <v>3771.6030000000001</v>
      </c>
      <c r="X15" s="50">
        <f t="shared" si="8"/>
        <v>7283.7864</v>
      </c>
      <c r="Y15" s="61">
        <f t="shared" si="9"/>
        <v>190.08000000000004</v>
      </c>
      <c r="Z15" s="61">
        <f t="shared" si="10"/>
        <v>165</v>
      </c>
      <c r="AA15" s="61">
        <f t="shared" si="11"/>
        <v>66</v>
      </c>
      <c r="AB15" s="50">
        <f t="shared" si="12"/>
        <v>13286.889000000001</v>
      </c>
      <c r="AC15" s="50">
        <f t="shared" si="13"/>
        <v>20991.755400000002</v>
      </c>
      <c r="AD15" s="17">
        <f t="shared" si="14"/>
        <v>49302</v>
      </c>
      <c r="AE15" s="17">
        <f t="shared" si="15"/>
        <v>3771.6030000000001</v>
      </c>
      <c r="AF15" s="17">
        <f t="shared" si="16"/>
        <v>7283.7864</v>
      </c>
      <c r="AG15" s="17">
        <f t="shared" si="17"/>
        <v>190.08000000000004</v>
      </c>
      <c r="AH15" s="17">
        <f t="shared" si="18"/>
        <v>165</v>
      </c>
      <c r="AI15" s="17">
        <f t="shared" si="19"/>
        <v>66</v>
      </c>
      <c r="AJ15" s="17">
        <f t="shared" si="20"/>
        <v>13286.889000000001</v>
      </c>
      <c r="AK15" s="17">
        <f t="shared" si="21"/>
        <v>20991.755400000002</v>
      </c>
    </row>
    <row r="16" spans="1:37" s="71" customFormat="1" x14ac:dyDescent="0.25">
      <c r="A16" s="62" t="s">
        <v>89</v>
      </c>
      <c r="B16" s="62">
        <v>28</v>
      </c>
      <c r="C16" s="62">
        <v>0</v>
      </c>
      <c r="D16" s="62">
        <v>0</v>
      </c>
      <c r="E16" s="63" t="s">
        <v>87</v>
      </c>
      <c r="F16" s="151"/>
      <c r="G16" s="64" t="s">
        <v>118</v>
      </c>
      <c r="H16" s="65">
        <v>30946.560000000001</v>
      </c>
      <c r="I16" s="65">
        <v>32798.9</v>
      </c>
      <c r="J16" s="66" t="s">
        <v>108</v>
      </c>
      <c r="K16" s="67">
        <v>450.57</v>
      </c>
      <c r="L16" s="66">
        <v>510.93</v>
      </c>
      <c r="M16" s="66">
        <v>19.399999999999999</v>
      </c>
      <c r="N16" s="66">
        <v>6.88</v>
      </c>
      <c r="O16" s="66">
        <v>5.5</v>
      </c>
      <c r="P16" s="68">
        <f t="shared" si="0"/>
        <v>6512.52</v>
      </c>
      <c r="Q16" s="69">
        <f t="shared" si="1"/>
        <v>7612.85376</v>
      </c>
      <c r="R16" s="65">
        <f t="shared" si="2"/>
        <v>8839.3035500000005</v>
      </c>
      <c r="S16" s="69">
        <f t="shared" si="3"/>
        <v>2509.1158500000001</v>
      </c>
      <c r="T16" s="65">
        <f>(L16*12)*0.78</f>
        <v>4782.3047999999999</v>
      </c>
      <c r="U16" s="65">
        <f t="shared" si="5"/>
        <v>93.12</v>
      </c>
      <c r="V16" s="65">
        <f t="shared" si="6"/>
        <v>0</v>
      </c>
      <c r="W16" s="65">
        <f t="shared" si="7"/>
        <v>0</v>
      </c>
      <c r="X16" s="69">
        <f t="shared" si="8"/>
        <v>0</v>
      </c>
      <c r="Y16" s="70">
        <f t="shared" si="9"/>
        <v>0</v>
      </c>
      <c r="Z16" s="70">
        <f t="shared" si="10"/>
        <v>0</v>
      </c>
      <c r="AA16" s="70">
        <f t="shared" si="11"/>
        <v>0</v>
      </c>
      <c r="AB16" s="69">
        <f t="shared" si="12"/>
        <v>0</v>
      </c>
      <c r="AC16" s="69">
        <f t="shared" si="13"/>
        <v>0</v>
      </c>
      <c r="AD16" s="65">
        <f t="shared" si="14"/>
        <v>0</v>
      </c>
      <c r="AE16" s="65">
        <f t="shared" si="15"/>
        <v>0</v>
      </c>
      <c r="AF16" s="65">
        <f t="shared" si="16"/>
        <v>0</v>
      </c>
      <c r="AG16" s="65">
        <f t="shared" si="17"/>
        <v>0</v>
      </c>
      <c r="AH16" s="65">
        <f t="shared" si="18"/>
        <v>0</v>
      </c>
      <c r="AI16" s="65">
        <f t="shared" si="19"/>
        <v>0</v>
      </c>
      <c r="AJ16" s="65">
        <f t="shared" si="20"/>
        <v>0</v>
      </c>
      <c r="AK16" s="65">
        <f t="shared" si="21"/>
        <v>0</v>
      </c>
    </row>
    <row r="17" spans="1:37" x14ac:dyDescent="0.25">
      <c r="A17" s="53" t="s">
        <v>91</v>
      </c>
      <c r="B17" s="127">
        <v>32</v>
      </c>
      <c r="C17" s="53">
        <v>100</v>
      </c>
      <c r="D17" s="53">
        <v>100</v>
      </c>
      <c r="E17" s="7" t="s">
        <v>87</v>
      </c>
      <c r="F17" s="151"/>
      <c r="G17" t="s">
        <v>109</v>
      </c>
      <c r="H17" s="17">
        <v>24224.16</v>
      </c>
      <c r="I17" s="17">
        <v>37827.65</v>
      </c>
      <c r="J17" s="52" t="s">
        <v>108</v>
      </c>
      <c r="K17" s="56">
        <v>450.57</v>
      </c>
      <c r="L17" s="52">
        <v>510.93</v>
      </c>
      <c r="M17" s="52">
        <v>19.399999999999999</v>
      </c>
      <c r="N17" s="52">
        <v>6.88</v>
      </c>
      <c r="O17" s="52">
        <v>5.5</v>
      </c>
      <c r="P17" s="60">
        <f t="shared" si="0"/>
        <v>6512.52</v>
      </c>
      <c r="Q17" s="50">
        <f t="shared" si="1"/>
        <v>5959.14336</v>
      </c>
      <c r="R17" s="17">
        <f t="shared" si="2"/>
        <v>10194.551675000001</v>
      </c>
      <c r="S17" s="50">
        <f t="shared" si="3"/>
        <v>2893.8152250000003</v>
      </c>
      <c r="T17" s="17">
        <f>(L17*12)*0.78</f>
        <v>4782.3047999999999</v>
      </c>
      <c r="U17" s="17">
        <f t="shared" si="5"/>
        <v>93.12</v>
      </c>
      <c r="V17" s="17">
        <f t="shared" si="6"/>
        <v>37827.65</v>
      </c>
      <c r="W17" s="17">
        <f t="shared" si="7"/>
        <v>2893.8152250000003</v>
      </c>
      <c r="X17" s="50">
        <f t="shared" si="8"/>
        <v>4782.3047999999999</v>
      </c>
      <c r="Y17" s="61">
        <f t="shared" si="9"/>
        <v>93.12</v>
      </c>
      <c r="Z17" s="61">
        <f t="shared" si="10"/>
        <v>82.56</v>
      </c>
      <c r="AA17" s="61">
        <f t="shared" si="11"/>
        <v>66</v>
      </c>
      <c r="AB17" s="50">
        <f t="shared" si="12"/>
        <v>10194.551675000001</v>
      </c>
      <c r="AC17" s="50">
        <f t="shared" si="13"/>
        <v>15218.536475000001</v>
      </c>
      <c r="AD17" s="17">
        <f t="shared" si="14"/>
        <v>37827.65</v>
      </c>
      <c r="AE17" s="17">
        <f t="shared" si="15"/>
        <v>2893.8152250000003</v>
      </c>
      <c r="AF17" s="17">
        <f t="shared" si="16"/>
        <v>4782.3047999999999</v>
      </c>
      <c r="AG17" s="17">
        <f t="shared" si="17"/>
        <v>93.12</v>
      </c>
      <c r="AH17" s="17">
        <f t="shared" si="18"/>
        <v>82.56</v>
      </c>
      <c r="AI17" s="17">
        <f t="shared" si="19"/>
        <v>66</v>
      </c>
      <c r="AJ17" s="17">
        <f t="shared" si="20"/>
        <v>10194.551675000001</v>
      </c>
      <c r="AK17" s="17">
        <f t="shared" si="21"/>
        <v>15218.536475000001</v>
      </c>
    </row>
    <row r="18" spans="1:37" x14ac:dyDescent="0.25">
      <c r="A18" s="53" t="s">
        <v>91</v>
      </c>
      <c r="B18" s="127">
        <v>2</v>
      </c>
      <c r="C18" s="53">
        <v>100</v>
      </c>
      <c r="D18" s="53">
        <v>100</v>
      </c>
      <c r="E18" s="7" t="s">
        <v>87</v>
      </c>
      <c r="F18" s="151"/>
      <c r="G18" t="s">
        <v>109</v>
      </c>
      <c r="H18" s="17">
        <v>30580.74</v>
      </c>
      <c r="I18" s="17">
        <v>37338.58</v>
      </c>
      <c r="J18" s="52" t="s">
        <v>106</v>
      </c>
      <c r="K18" s="56">
        <v>1306.6500000000001</v>
      </c>
      <c r="L18" s="52">
        <v>1481.7</v>
      </c>
      <c r="M18" s="52">
        <v>79.349999999999994</v>
      </c>
      <c r="N18" s="52">
        <v>20.22</v>
      </c>
      <c r="O18" s="52">
        <v>5.5</v>
      </c>
      <c r="P18" s="60">
        <f t="shared" si="0"/>
        <v>19041.239999999998</v>
      </c>
      <c r="Q18" s="50">
        <f t="shared" si="1"/>
        <v>7522.86204</v>
      </c>
      <c r="R18" s="17">
        <f t="shared" si="2"/>
        <v>10062.747310000001</v>
      </c>
      <c r="S18" s="50">
        <f t="shared" si="3"/>
        <v>2856.40137</v>
      </c>
      <c r="T18" s="17">
        <f t="shared" si="4"/>
        <v>11735.064000000002</v>
      </c>
      <c r="U18" s="17">
        <f t="shared" si="5"/>
        <v>380.88</v>
      </c>
      <c r="V18" s="17">
        <f t="shared" si="6"/>
        <v>37338.58</v>
      </c>
      <c r="W18" s="17">
        <f t="shared" si="7"/>
        <v>2856.40137</v>
      </c>
      <c r="X18" s="50">
        <f t="shared" si="8"/>
        <v>11735.064000000002</v>
      </c>
      <c r="Y18" s="61">
        <f t="shared" si="9"/>
        <v>380.88</v>
      </c>
      <c r="Z18" s="61">
        <f t="shared" si="10"/>
        <v>242.64</v>
      </c>
      <c r="AA18" s="61">
        <f t="shared" si="11"/>
        <v>66</v>
      </c>
      <c r="AB18" s="50">
        <f t="shared" si="12"/>
        <v>10062.747310000001</v>
      </c>
      <c r="AC18" s="50">
        <f t="shared" si="13"/>
        <v>22487.331310000001</v>
      </c>
      <c r="AD18" s="17">
        <f t="shared" si="14"/>
        <v>37338.58</v>
      </c>
      <c r="AE18" s="17">
        <f t="shared" si="15"/>
        <v>2856.40137</v>
      </c>
      <c r="AF18" s="17">
        <f t="shared" si="16"/>
        <v>11735.064000000002</v>
      </c>
      <c r="AG18" s="17">
        <f t="shared" si="17"/>
        <v>380.88</v>
      </c>
      <c r="AH18" s="17">
        <f t="shared" si="18"/>
        <v>242.64</v>
      </c>
      <c r="AI18" s="17">
        <f t="shared" si="19"/>
        <v>66</v>
      </c>
      <c r="AJ18" s="17">
        <f t="shared" si="20"/>
        <v>10062.747310000001</v>
      </c>
      <c r="AK18" s="17">
        <f t="shared" si="21"/>
        <v>22487.331310000001</v>
      </c>
    </row>
    <row r="19" spans="1:37" x14ac:dyDescent="0.25">
      <c r="A19" s="53" t="s">
        <v>91</v>
      </c>
      <c r="B19" s="132">
        <v>15</v>
      </c>
      <c r="C19" s="53">
        <v>100</v>
      </c>
      <c r="D19" s="53">
        <v>100</v>
      </c>
      <c r="E19" s="7" t="s">
        <v>87</v>
      </c>
      <c r="F19" s="151"/>
      <c r="G19" t="s">
        <v>109</v>
      </c>
      <c r="H19" s="17">
        <v>32758.98</v>
      </c>
      <c r="I19" s="17">
        <v>34651.550000000003</v>
      </c>
      <c r="J19" s="52" t="s">
        <v>108</v>
      </c>
      <c r="K19" s="56">
        <v>450.57</v>
      </c>
      <c r="L19" s="52">
        <v>510.93</v>
      </c>
      <c r="M19" s="52">
        <v>19.399999999999999</v>
      </c>
      <c r="N19" s="52">
        <v>6.88</v>
      </c>
      <c r="O19" s="52">
        <v>5.5</v>
      </c>
      <c r="P19" s="60">
        <f t="shared" si="0"/>
        <v>6512.52</v>
      </c>
      <c r="Q19" s="50">
        <f t="shared" si="1"/>
        <v>8058.7090799999996</v>
      </c>
      <c r="R19" s="17">
        <f t="shared" si="2"/>
        <v>9338.5927250000022</v>
      </c>
      <c r="S19" s="50">
        <f t="shared" si="3"/>
        <v>2650.8435750000003</v>
      </c>
      <c r="T19" s="17">
        <f>(L19*12)*0.78</f>
        <v>4782.3047999999999</v>
      </c>
      <c r="U19" s="17">
        <f t="shared" si="5"/>
        <v>93.12</v>
      </c>
      <c r="V19" s="17">
        <f t="shared" si="6"/>
        <v>34651.550000000003</v>
      </c>
      <c r="W19" s="17">
        <f t="shared" si="7"/>
        <v>2650.8435750000003</v>
      </c>
      <c r="X19" s="50">
        <f t="shared" si="8"/>
        <v>4782.3047999999999</v>
      </c>
      <c r="Y19" s="61">
        <f t="shared" si="9"/>
        <v>93.12</v>
      </c>
      <c r="Z19" s="61">
        <f t="shared" si="10"/>
        <v>82.56</v>
      </c>
      <c r="AA19" s="61">
        <f t="shared" si="11"/>
        <v>66</v>
      </c>
      <c r="AB19" s="50">
        <f t="shared" si="12"/>
        <v>9338.5927250000022</v>
      </c>
      <c r="AC19" s="50">
        <f t="shared" si="13"/>
        <v>14362.577525000002</v>
      </c>
      <c r="AD19" s="17">
        <f t="shared" si="14"/>
        <v>34651.550000000003</v>
      </c>
      <c r="AE19" s="17">
        <f t="shared" si="15"/>
        <v>2650.8435750000003</v>
      </c>
      <c r="AF19" s="17">
        <f t="shared" si="16"/>
        <v>4782.3047999999999</v>
      </c>
      <c r="AG19" s="17">
        <f t="shared" si="17"/>
        <v>93.12</v>
      </c>
      <c r="AH19" s="17">
        <f t="shared" si="18"/>
        <v>82.56</v>
      </c>
      <c r="AI19" s="17">
        <f t="shared" si="19"/>
        <v>66</v>
      </c>
      <c r="AJ19" s="17">
        <f t="shared" si="20"/>
        <v>9338.5927250000022</v>
      </c>
      <c r="AK19" s="17">
        <f t="shared" si="21"/>
        <v>14362.577525000002</v>
      </c>
    </row>
    <row r="20" spans="1:37" x14ac:dyDescent="0.25">
      <c r="A20" s="53" t="s">
        <v>91</v>
      </c>
      <c r="B20" s="127">
        <v>10</v>
      </c>
      <c r="C20" s="53">
        <v>100</v>
      </c>
      <c r="D20" s="53">
        <v>100</v>
      </c>
      <c r="E20" s="7" t="s">
        <v>87</v>
      </c>
      <c r="F20" s="151"/>
      <c r="G20" t="s">
        <v>119</v>
      </c>
      <c r="H20" s="17">
        <v>50817.02</v>
      </c>
      <c r="I20" s="17">
        <v>52661.91</v>
      </c>
      <c r="J20" s="52" t="s">
        <v>106</v>
      </c>
      <c r="K20" s="56">
        <v>1306.6500000000001</v>
      </c>
      <c r="L20" s="52">
        <v>1481.7</v>
      </c>
      <c r="M20" s="52">
        <v>79.349999999999994</v>
      </c>
      <c r="N20" s="52">
        <v>20.22</v>
      </c>
      <c r="O20" s="52">
        <v>5.5</v>
      </c>
      <c r="P20" s="60">
        <f t="shared" si="0"/>
        <v>19041.239999999998</v>
      </c>
      <c r="Q20" s="50">
        <f t="shared" si="1"/>
        <v>12500.986919999999</v>
      </c>
      <c r="R20" s="17">
        <f t="shared" si="2"/>
        <v>14192.384745000001</v>
      </c>
      <c r="S20" s="50">
        <f t="shared" si="3"/>
        <v>4028.6361150000002</v>
      </c>
      <c r="T20" s="17">
        <f t="shared" si="4"/>
        <v>11735.064000000002</v>
      </c>
      <c r="U20" s="17">
        <f t="shared" si="5"/>
        <v>380.88</v>
      </c>
      <c r="V20" s="17">
        <f t="shared" si="6"/>
        <v>52661.91</v>
      </c>
      <c r="W20" s="17">
        <f t="shared" si="7"/>
        <v>4028.6361150000002</v>
      </c>
      <c r="X20" s="50">
        <f t="shared" si="8"/>
        <v>11735.064000000002</v>
      </c>
      <c r="Y20" s="61">
        <f t="shared" si="9"/>
        <v>380.88</v>
      </c>
      <c r="Z20" s="61">
        <f t="shared" si="10"/>
        <v>242.64</v>
      </c>
      <c r="AA20" s="61">
        <f t="shared" si="11"/>
        <v>66</v>
      </c>
      <c r="AB20" s="50">
        <f t="shared" si="12"/>
        <v>14192.384745000001</v>
      </c>
      <c r="AC20" s="50">
        <f t="shared" si="13"/>
        <v>26616.968745000002</v>
      </c>
      <c r="AD20" s="17">
        <f t="shared" si="14"/>
        <v>52661.91</v>
      </c>
      <c r="AE20" s="17">
        <f t="shared" si="15"/>
        <v>4028.6361150000002</v>
      </c>
      <c r="AF20" s="17">
        <f t="shared" si="16"/>
        <v>11735.064000000002</v>
      </c>
      <c r="AG20" s="17">
        <f t="shared" si="17"/>
        <v>380.88</v>
      </c>
      <c r="AH20" s="17">
        <f t="shared" si="18"/>
        <v>242.64</v>
      </c>
      <c r="AI20" s="17">
        <f t="shared" si="19"/>
        <v>66</v>
      </c>
      <c r="AJ20" s="17">
        <f t="shared" si="20"/>
        <v>14192.384745000001</v>
      </c>
      <c r="AK20" s="17">
        <f t="shared" si="21"/>
        <v>26616.968745000002</v>
      </c>
    </row>
    <row r="21" spans="1:37" s="71" customFormat="1" x14ac:dyDescent="0.25">
      <c r="A21" s="62" t="s">
        <v>89</v>
      </c>
      <c r="B21" s="62">
        <v>31</v>
      </c>
      <c r="C21" s="62">
        <v>50</v>
      </c>
      <c r="D21" s="62">
        <v>50</v>
      </c>
      <c r="E21" s="63" t="s">
        <v>87</v>
      </c>
      <c r="F21" s="151"/>
      <c r="G21" s="64" t="s">
        <v>120</v>
      </c>
      <c r="H21" s="65">
        <v>51575.45</v>
      </c>
      <c r="I21" s="65">
        <v>55692.78</v>
      </c>
      <c r="J21" s="66" t="s">
        <v>116</v>
      </c>
      <c r="K21" s="67">
        <v>811.03</v>
      </c>
      <c r="L21" s="66">
        <v>919.67</v>
      </c>
      <c r="M21" s="66">
        <v>39.6</v>
      </c>
      <c r="N21" s="66">
        <v>13.75</v>
      </c>
      <c r="O21" s="66">
        <v>5.5</v>
      </c>
      <c r="P21" s="68">
        <f t="shared" si="0"/>
        <v>11742.24</v>
      </c>
      <c r="Q21" s="69">
        <f t="shared" si="1"/>
        <v>12687.5607</v>
      </c>
      <c r="R21" s="65">
        <f t="shared" si="2"/>
        <v>15009.20421</v>
      </c>
      <c r="S21" s="69">
        <f t="shared" si="3"/>
        <v>4260.4976699999997</v>
      </c>
      <c r="T21" s="65">
        <f t="shared" si="4"/>
        <v>7283.7864</v>
      </c>
      <c r="U21" s="65">
        <f t="shared" si="5"/>
        <v>190.08000000000004</v>
      </c>
      <c r="V21" s="65">
        <f t="shared" si="6"/>
        <v>27846.39</v>
      </c>
      <c r="W21" s="65">
        <f t="shared" si="7"/>
        <v>2130.2488349999999</v>
      </c>
      <c r="X21" s="69">
        <f t="shared" si="8"/>
        <v>3641.8932</v>
      </c>
      <c r="Y21" s="70">
        <f t="shared" si="9"/>
        <v>95.04000000000002</v>
      </c>
      <c r="Z21" s="70">
        <f t="shared" si="10"/>
        <v>82.5</v>
      </c>
      <c r="AA21" s="70">
        <f t="shared" si="11"/>
        <v>33</v>
      </c>
      <c r="AB21" s="69">
        <f t="shared" si="12"/>
        <v>7504.6021049999999</v>
      </c>
      <c r="AC21" s="69">
        <f t="shared" si="13"/>
        <v>11357.035304999999</v>
      </c>
      <c r="AD21" s="65">
        <f t="shared" si="14"/>
        <v>27846.39</v>
      </c>
      <c r="AE21" s="65">
        <f t="shared" si="15"/>
        <v>2130.2488349999999</v>
      </c>
      <c r="AF21" s="65">
        <f t="shared" si="16"/>
        <v>3641.8932</v>
      </c>
      <c r="AG21" s="65">
        <f t="shared" si="17"/>
        <v>95.04000000000002</v>
      </c>
      <c r="AH21" s="65">
        <f t="shared" si="18"/>
        <v>82.5</v>
      </c>
      <c r="AI21" s="65">
        <f t="shared" si="19"/>
        <v>33</v>
      </c>
      <c r="AJ21" s="65">
        <f t="shared" si="20"/>
        <v>7504.6021049999999</v>
      </c>
      <c r="AK21" s="65">
        <f t="shared" si="21"/>
        <v>11357.035304999999</v>
      </c>
    </row>
    <row r="22" spans="1:37" s="71" customFormat="1" x14ac:dyDescent="0.25">
      <c r="A22" s="62" t="s">
        <v>89</v>
      </c>
      <c r="B22" s="62">
        <v>33</v>
      </c>
      <c r="C22" s="62">
        <v>0</v>
      </c>
      <c r="D22" s="62">
        <v>0</v>
      </c>
      <c r="E22" s="63" t="s">
        <v>87</v>
      </c>
      <c r="F22" s="151"/>
      <c r="G22" s="64" t="s">
        <v>118</v>
      </c>
      <c r="H22" s="65">
        <v>28347.9</v>
      </c>
      <c r="I22" s="65">
        <v>43393.13</v>
      </c>
      <c r="J22" s="66" t="s">
        <v>121</v>
      </c>
      <c r="K22" s="67">
        <v>946.2</v>
      </c>
      <c r="L22" s="66">
        <v>1072.95</v>
      </c>
      <c r="M22" s="66">
        <v>40.81</v>
      </c>
      <c r="N22" s="66">
        <v>13.07</v>
      </c>
      <c r="O22" s="66">
        <v>5.5</v>
      </c>
      <c r="P22" s="68">
        <f t="shared" si="0"/>
        <v>13587.96</v>
      </c>
      <c r="Q22" s="69">
        <f t="shared" si="1"/>
        <v>6973.5834000000004</v>
      </c>
      <c r="R22" s="65">
        <f t="shared" si="2"/>
        <v>11694.448535</v>
      </c>
      <c r="S22" s="69">
        <f t="shared" si="3"/>
        <v>3319.5744449999997</v>
      </c>
      <c r="T22" s="65">
        <f t="shared" si="4"/>
        <v>8497.764000000001</v>
      </c>
      <c r="U22" s="65">
        <f t="shared" si="5"/>
        <v>195.88800000000003</v>
      </c>
      <c r="V22" s="65">
        <f t="shared" si="6"/>
        <v>0</v>
      </c>
      <c r="W22" s="65">
        <f t="shared" si="7"/>
        <v>0</v>
      </c>
      <c r="X22" s="69">
        <f t="shared" si="8"/>
        <v>0</v>
      </c>
      <c r="Y22" s="70">
        <f t="shared" si="9"/>
        <v>0</v>
      </c>
      <c r="Z22" s="70">
        <f t="shared" si="10"/>
        <v>0</v>
      </c>
      <c r="AA22" s="70">
        <f t="shared" si="11"/>
        <v>0</v>
      </c>
      <c r="AB22" s="69">
        <f t="shared" si="12"/>
        <v>0</v>
      </c>
      <c r="AC22" s="69">
        <f t="shared" si="13"/>
        <v>0</v>
      </c>
      <c r="AD22" s="65">
        <f t="shared" si="14"/>
        <v>0</v>
      </c>
      <c r="AE22" s="65">
        <f t="shared" si="15"/>
        <v>0</v>
      </c>
      <c r="AF22" s="65">
        <f t="shared" si="16"/>
        <v>0</v>
      </c>
      <c r="AG22" s="65">
        <f t="shared" si="17"/>
        <v>0</v>
      </c>
      <c r="AH22" s="65">
        <f t="shared" si="18"/>
        <v>0</v>
      </c>
      <c r="AI22" s="65">
        <f t="shared" si="19"/>
        <v>0</v>
      </c>
      <c r="AJ22" s="65">
        <f t="shared" si="20"/>
        <v>0</v>
      </c>
      <c r="AK22" s="65">
        <f t="shared" si="21"/>
        <v>0</v>
      </c>
    </row>
    <row r="23" spans="1:37" x14ac:dyDescent="0.25">
      <c r="A23" s="53" t="s">
        <v>91</v>
      </c>
      <c r="B23" s="127">
        <v>24</v>
      </c>
      <c r="C23" s="53">
        <v>100</v>
      </c>
      <c r="D23" s="53">
        <v>100</v>
      </c>
      <c r="E23" s="7" t="s">
        <v>87</v>
      </c>
      <c r="F23" s="151"/>
      <c r="G23" t="s">
        <v>109</v>
      </c>
      <c r="H23" s="17">
        <v>22646.63</v>
      </c>
      <c r="I23" s="87">
        <v>37435.800000000003</v>
      </c>
      <c r="J23" s="52" t="s">
        <v>108</v>
      </c>
      <c r="K23" s="56">
        <v>450.57</v>
      </c>
      <c r="L23" s="52">
        <v>510.93</v>
      </c>
      <c r="M23" s="52">
        <v>19.399999999999999</v>
      </c>
      <c r="N23" s="52">
        <v>6.88</v>
      </c>
      <c r="O23" s="52">
        <v>5.5</v>
      </c>
      <c r="P23" s="60">
        <f t="shared" si="0"/>
        <v>6512.52</v>
      </c>
      <c r="Q23" s="50">
        <f t="shared" si="1"/>
        <v>5571.0709800000004</v>
      </c>
      <c r="R23" s="17">
        <f t="shared" si="2"/>
        <v>10088.948100000001</v>
      </c>
      <c r="S23" s="50">
        <f t="shared" si="3"/>
        <v>2863.8387000000002</v>
      </c>
      <c r="T23" s="17">
        <f>(L23*12)*0.78</f>
        <v>4782.3047999999999</v>
      </c>
      <c r="U23" s="17">
        <f t="shared" si="5"/>
        <v>93.12</v>
      </c>
      <c r="V23" s="17">
        <f t="shared" si="6"/>
        <v>37435.800000000003</v>
      </c>
      <c r="W23" s="17">
        <f t="shared" si="7"/>
        <v>2863.8387000000002</v>
      </c>
      <c r="X23" s="50">
        <f t="shared" si="8"/>
        <v>4782.3047999999999</v>
      </c>
      <c r="Y23" s="61">
        <f t="shared" si="9"/>
        <v>93.12</v>
      </c>
      <c r="Z23" s="61">
        <f t="shared" si="10"/>
        <v>82.56</v>
      </c>
      <c r="AA23" s="61">
        <f t="shared" si="11"/>
        <v>66</v>
      </c>
      <c r="AB23" s="50">
        <f t="shared" si="12"/>
        <v>10088.948100000001</v>
      </c>
      <c r="AC23" s="50">
        <f t="shared" si="13"/>
        <v>15112.932900000002</v>
      </c>
      <c r="AD23" s="17">
        <f t="shared" si="14"/>
        <v>37435.800000000003</v>
      </c>
      <c r="AE23" s="17">
        <f t="shared" si="15"/>
        <v>2863.8387000000002</v>
      </c>
      <c r="AF23" s="17">
        <f t="shared" si="16"/>
        <v>4782.3047999999999</v>
      </c>
      <c r="AG23" s="17">
        <f t="shared" si="17"/>
        <v>93.12</v>
      </c>
      <c r="AH23" s="17">
        <f t="shared" si="18"/>
        <v>82.56</v>
      </c>
      <c r="AI23" s="17">
        <f t="shared" si="19"/>
        <v>66</v>
      </c>
      <c r="AJ23" s="17">
        <f t="shared" si="20"/>
        <v>10088.948100000001</v>
      </c>
      <c r="AK23" s="17">
        <f t="shared" si="21"/>
        <v>15112.932900000002</v>
      </c>
    </row>
    <row r="24" spans="1:37" x14ac:dyDescent="0.25">
      <c r="A24" s="53" t="s">
        <v>91</v>
      </c>
      <c r="B24" s="127">
        <v>1</v>
      </c>
      <c r="C24" s="53">
        <v>100</v>
      </c>
      <c r="D24" s="53">
        <v>100</v>
      </c>
      <c r="E24" s="7" t="s">
        <v>87</v>
      </c>
      <c r="F24" s="151"/>
      <c r="G24" t="s">
        <v>109</v>
      </c>
      <c r="H24" s="17">
        <v>26397.89</v>
      </c>
      <c r="I24" s="17">
        <v>28466</v>
      </c>
      <c r="J24" s="52" t="s">
        <v>121</v>
      </c>
      <c r="K24" s="56">
        <v>946.2</v>
      </c>
      <c r="L24" s="52">
        <v>1072.95</v>
      </c>
      <c r="M24" s="52">
        <v>40.81</v>
      </c>
      <c r="N24" s="52">
        <v>13.07</v>
      </c>
      <c r="O24" s="52">
        <v>5.5</v>
      </c>
      <c r="P24" s="60">
        <f t="shared" si="0"/>
        <v>13587.96</v>
      </c>
      <c r="Q24" s="50">
        <f t="shared" si="1"/>
        <v>6493.88094</v>
      </c>
      <c r="R24" s="17">
        <f t="shared" si="2"/>
        <v>7671.5870000000004</v>
      </c>
      <c r="S24" s="50">
        <f t="shared" si="3"/>
        <v>2177.6489999999999</v>
      </c>
      <c r="T24" s="17">
        <f t="shared" si="4"/>
        <v>8497.764000000001</v>
      </c>
      <c r="U24" s="17">
        <f t="shared" si="5"/>
        <v>195.88800000000003</v>
      </c>
      <c r="V24" s="17">
        <f t="shared" si="6"/>
        <v>28466</v>
      </c>
      <c r="W24" s="17">
        <f t="shared" si="7"/>
        <v>2177.6489999999999</v>
      </c>
      <c r="X24" s="50">
        <f t="shared" si="8"/>
        <v>8497.764000000001</v>
      </c>
      <c r="Y24" s="61">
        <f t="shared" si="9"/>
        <v>195.88800000000003</v>
      </c>
      <c r="Z24" s="61">
        <f t="shared" si="10"/>
        <v>156.84</v>
      </c>
      <c r="AA24" s="61">
        <f t="shared" si="11"/>
        <v>66</v>
      </c>
      <c r="AB24" s="50">
        <f t="shared" si="12"/>
        <v>7671.5870000000004</v>
      </c>
      <c r="AC24" s="50">
        <f t="shared" si="13"/>
        <v>16588.079000000002</v>
      </c>
      <c r="AD24" s="17">
        <f t="shared" si="14"/>
        <v>28466</v>
      </c>
      <c r="AE24" s="17">
        <f t="shared" si="15"/>
        <v>2177.6489999999999</v>
      </c>
      <c r="AF24" s="17">
        <f t="shared" si="16"/>
        <v>8497.764000000001</v>
      </c>
      <c r="AG24" s="17">
        <f t="shared" si="17"/>
        <v>195.88800000000003</v>
      </c>
      <c r="AH24" s="17">
        <f t="shared" si="18"/>
        <v>156.84</v>
      </c>
      <c r="AI24" s="17">
        <f t="shared" si="19"/>
        <v>66</v>
      </c>
      <c r="AJ24" s="17">
        <f t="shared" si="20"/>
        <v>7671.5870000000004</v>
      </c>
      <c r="AK24" s="17">
        <f t="shared" si="21"/>
        <v>16588.079000000002</v>
      </c>
    </row>
    <row r="25" spans="1:37" x14ac:dyDescent="0.25">
      <c r="A25" s="53" t="s">
        <v>91</v>
      </c>
      <c r="B25" s="127">
        <v>13</v>
      </c>
      <c r="C25" s="53">
        <v>100</v>
      </c>
      <c r="D25" s="53">
        <v>100</v>
      </c>
      <c r="E25" s="7" t="s">
        <v>87</v>
      </c>
      <c r="F25" s="151"/>
      <c r="G25" t="s">
        <v>115</v>
      </c>
      <c r="H25" s="17">
        <v>26443.68</v>
      </c>
      <c r="I25" s="17">
        <v>29082.55</v>
      </c>
      <c r="J25" s="52" t="s">
        <v>108</v>
      </c>
      <c r="K25" s="56">
        <v>450.57</v>
      </c>
      <c r="L25" s="52">
        <v>510.93</v>
      </c>
      <c r="M25" s="52">
        <v>19.399999999999999</v>
      </c>
      <c r="N25" s="52">
        <v>6.88</v>
      </c>
      <c r="O25" s="52">
        <v>5.5</v>
      </c>
      <c r="P25" s="60">
        <f t="shared" si="0"/>
        <v>6512.52</v>
      </c>
      <c r="Q25" s="50">
        <f t="shared" si="1"/>
        <v>6505.1452799999997</v>
      </c>
      <c r="R25" s="17">
        <f t="shared" si="2"/>
        <v>7837.7472250000001</v>
      </c>
      <c r="S25" s="50">
        <f t="shared" si="3"/>
        <v>2224.815075</v>
      </c>
      <c r="T25" s="17">
        <f t="shared" ref="T25:T31" si="22">(L25*12)*0.78</f>
        <v>4782.3047999999999</v>
      </c>
      <c r="U25" s="17">
        <f t="shared" si="5"/>
        <v>93.12</v>
      </c>
      <c r="V25" s="17">
        <f t="shared" si="6"/>
        <v>29082.55</v>
      </c>
      <c r="W25" s="17">
        <f t="shared" si="7"/>
        <v>2224.815075</v>
      </c>
      <c r="X25" s="50">
        <f t="shared" si="8"/>
        <v>4782.3047999999999</v>
      </c>
      <c r="Y25" s="61">
        <f t="shared" si="9"/>
        <v>93.12</v>
      </c>
      <c r="Z25" s="61">
        <f t="shared" si="10"/>
        <v>82.56</v>
      </c>
      <c r="AA25" s="61">
        <f t="shared" si="11"/>
        <v>66</v>
      </c>
      <c r="AB25" s="50">
        <f t="shared" si="12"/>
        <v>7837.7472250000001</v>
      </c>
      <c r="AC25" s="50">
        <f t="shared" si="13"/>
        <v>12861.732025000001</v>
      </c>
      <c r="AD25" s="17">
        <f t="shared" si="14"/>
        <v>29082.55</v>
      </c>
      <c r="AE25" s="17">
        <f t="shared" si="15"/>
        <v>2224.815075</v>
      </c>
      <c r="AF25" s="17">
        <f t="shared" si="16"/>
        <v>4782.3047999999999</v>
      </c>
      <c r="AG25" s="17">
        <f t="shared" si="17"/>
        <v>93.12</v>
      </c>
      <c r="AH25" s="17">
        <f t="shared" si="18"/>
        <v>82.56</v>
      </c>
      <c r="AI25" s="17">
        <f t="shared" si="19"/>
        <v>66</v>
      </c>
      <c r="AJ25" s="17">
        <f t="shared" si="20"/>
        <v>7837.7472250000001</v>
      </c>
      <c r="AK25" s="17">
        <f t="shared" si="21"/>
        <v>12861.732025000001</v>
      </c>
    </row>
    <row r="26" spans="1:37" x14ac:dyDescent="0.25">
      <c r="A26" s="53" t="s">
        <v>91</v>
      </c>
      <c r="B26" s="127">
        <v>7</v>
      </c>
      <c r="C26" s="53">
        <v>100</v>
      </c>
      <c r="D26" s="53">
        <v>98.2</v>
      </c>
      <c r="E26" s="7" t="s">
        <v>87</v>
      </c>
      <c r="F26" s="151"/>
      <c r="G26" t="s">
        <v>109</v>
      </c>
      <c r="H26" s="17">
        <v>18346.46</v>
      </c>
      <c r="I26" s="87">
        <v>29837</v>
      </c>
      <c r="J26" s="52" t="s">
        <v>108</v>
      </c>
      <c r="K26" s="56">
        <v>450.57</v>
      </c>
      <c r="L26" s="52">
        <v>510.93</v>
      </c>
      <c r="M26" s="52">
        <v>19.399999999999999</v>
      </c>
      <c r="N26" s="52">
        <v>6.88</v>
      </c>
      <c r="O26" s="52">
        <v>5.5</v>
      </c>
      <c r="P26" s="60">
        <f t="shared" si="0"/>
        <v>6512.52</v>
      </c>
      <c r="Q26" s="50">
        <f t="shared" si="1"/>
        <v>4513.2291599999999</v>
      </c>
      <c r="R26" s="17">
        <f t="shared" si="2"/>
        <v>8041.0715000000009</v>
      </c>
      <c r="S26" s="50">
        <f t="shared" si="3"/>
        <v>2282.5304999999998</v>
      </c>
      <c r="T26" s="17">
        <f t="shared" si="22"/>
        <v>4782.3047999999999</v>
      </c>
      <c r="U26" s="17">
        <f t="shared" si="5"/>
        <v>93.12</v>
      </c>
      <c r="V26" s="17">
        <f t="shared" si="6"/>
        <v>29837</v>
      </c>
      <c r="W26" s="17">
        <f t="shared" si="7"/>
        <v>2282.5304999999998</v>
      </c>
      <c r="X26" s="50">
        <f t="shared" si="8"/>
        <v>4782.3047999999999</v>
      </c>
      <c r="Y26" s="61">
        <f t="shared" si="9"/>
        <v>93.12</v>
      </c>
      <c r="Z26" s="61">
        <f t="shared" si="10"/>
        <v>82.56</v>
      </c>
      <c r="AA26" s="61">
        <f t="shared" si="11"/>
        <v>66</v>
      </c>
      <c r="AB26" s="50">
        <f t="shared" si="12"/>
        <v>8041.0715000000009</v>
      </c>
      <c r="AC26" s="50">
        <f t="shared" si="13"/>
        <v>13065.0563</v>
      </c>
      <c r="AD26" s="17">
        <f t="shared" si="14"/>
        <v>29299.934000000001</v>
      </c>
      <c r="AE26" s="17">
        <f t="shared" si="15"/>
        <v>2241.4449509999999</v>
      </c>
      <c r="AF26" s="17">
        <f t="shared" si="16"/>
        <v>4696.2233135999995</v>
      </c>
      <c r="AG26" s="17">
        <f t="shared" si="17"/>
        <v>91.443840000000009</v>
      </c>
      <c r="AH26" s="17">
        <f t="shared" si="18"/>
        <v>81.073919999999987</v>
      </c>
      <c r="AI26" s="17">
        <f t="shared" si="19"/>
        <v>64.811999999999998</v>
      </c>
      <c r="AJ26" s="17">
        <f t="shared" si="20"/>
        <v>7896.3322130000006</v>
      </c>
      <c r="AK26" s="17">
        <f t="shared" si="21"/>
        <v>12829.8852866</v>
      </c>
    </row>
    <row r="27" spans="1:37" x14ac:dyDescent="0.25">
      <c r="A27" s="53" t="s">
        <v>103</v>
      </c>
      <c r="B27" s="132">
        <v>8</v>
      </c>
      <c r="C27" s="53">
        <v>100</v>
      </c>
      <c r="D27" s="53">
        <v>84.55</v>
      </c>
      <c r="E27" s="7" t="s">
        <v>88</v>
      </c>
      <c r="F27" s="151"/>
      <c r="G27" t="s">
        <v>110</v>
      </c>
      <c r="H27" s="17">
        <v>17875.21</v>
      </c>
      <c r="I27" s="17">
        <v>20659.7</v>
      </c>
      <c r="J27" s="52" t="s">
        <v>111</v>
      </c>
      <c r="K27" s="56">
        <v>0</v>
      </c>
      <c r="L27" s="52">
        <v>0</v>
      </c>
      <c r="M27" s="52">
        <v>0</v>
      </c>
      <c r="N27" s="52">
        <v>0</v>
      </c>
      <c r="O27" s="52">
        <v>0</v>
      </c>
      <c r="P27" s="60">
        <f t="shared" si="0"/>
        <v>0</v>
      </c>
      <c r="Q27" s="52">
        <v>0</v>
      </c>
      <c r="R27" s="52">
        <v>0</v>
      </c>
      <c r="S27" s="50">
        <f t="shared" si="3"/>
        <v>1580.46705</v>
      </c>
      <c r="T27" s="17">
        <f t="shared" si="22"/>
        <v>0</v>
      </c>
      <c r="U27" s="17">
        <f>M27*12*0.4</f>
        <v>0</v>
      </c>
      <c r="V27" s="17">
        <f t="shared" si="6"/>
        <v>20659.7</v>
      </c>
      <c r="W27" s="17">
        <f t="shared" si="7"/>
        <v>1580.46705</v>
      </c>
      <c r="X27" s="50">
        <f t="shared" si="8"/>
        <v>0</v>
      </c>
      <c r="Y27" s="61">
        <f t="shared" si="9"/>
        <v>0</v>
      </c>
      <c r="Z27" s="61">
        <f t="shared" si="10"/>
        <v>0</v>
      </c>
      <c r="AA27" s="61">
        <f t="shared" si="11"/>
        <v>0</v>
      </c>
      <c r="AB27" s="50">
        <f t="shared" si="12"/>
        <v>0</v>
      </c>
      <c r="AC27" s="50">
        <f t="shared" si="13"/>
        <v>0</v>
      </c>
      <c r="AD27" s="17">
        <f t="shared" si="14"/>
        <v>17467.77635</v>
      </c>
      <c r="AE27" s="17">
        <f t="shared" si="15"/>
        <v>1336.2848907749999</v>
      </c>
      <c r="AF27" s="17">
        <f t="shared" si="16"/>
        <v>0</v>
      </c>
      <c r="AG27" s="17">
        <f t="shared" si="17"/>
        <v>0</v>
      </c>
      <c r="AH27" s="17">
        <f t="shared" si="18"/>
        <v>0</v>
      </c>
      <c r="AI27" s="17">
        <f t="shared" si="19"/>
        <v>0</v>
      </c>
      <c r="AJ27" s="17">
        <f t="shared" si="20"/>
        <v>0</v>
      </c>
      <c r="AK27" s="17">
        <f t="shared" si="21"/>
        <v>0</v>
      </c>
    </row>
    <row r="28" spans="1:37" x14ac:dyDescent="0.25">
      <c r="A28" s="53" t="s">
        <v>103</v>
      </c>
      <c r="B28" s="127">
        <v>9</v>
      </c>
      <c r="C28" s="53">
        <v>100</v>
      </c>
      <c r="D28" s="53">
        <v>84.55</v>
      </c>
      <c r="E28" s="7" t="s">
        <v>88</v>
      </c>
      <c r="F28" s="151"/>
      <c r="G28" t="s">
        <v>110</v>
      </c>
      <c r="H28" s="17">
        <v>3757.23</v>
      </c>
      <c r="I28" s="17">
        <v>3668.25</v>
      </c>
      <c r="J28" s="52" t="s">
        <v>111</v>
      </c>
      <c r="K28" s="56">
        <v>0</v>
      </c>
      <c r="L28" s="52">
        <v>0</v>
      </c>
      <c r="M28" s="52">
        <v>0</v>
      </c>
      <c r="N28" s="52">
        <v>0</v>
      </c>
      <c r="O28" s="52">
        <v>0</v>
      </c>
      <c r="P28" s="60">
        <f t="shared" si="0"/>
        <v>0</v>
      </c>
      <c r="Q28" s="52">
        <v>0</v>
      </c>
      <c r="R28" s="52">
        <v>0</v>
      </c>
      <c r="S28" s="50">
        <f t="shared" si="3"/>
        <v>280.62112500000001</v>
      </c>
      <c r="T28" s="17">
        <f t="shared" si="22"/>
        <v>0</v>
      </c>
      <c r="U28" s="17">
        <f t="shared" si="5"/>
        <v>0</v>
      </c>
      <c r="V28" s="17">
        <f t="shared" si="6"/>
        <v>3668.25</v>
      </c>
      <c r="W28" s="17">
        <f t="shared" si="7"/>
        <v>280.62112500000001</v>
      </c>
      <c r="X28" s="50">
        <f t="shared" si="8"/>
        <v>0</v>
      </c>
      <c r="Y28" s="61">
        <f t="shared" si="9"/>
        <v>0</v>
      </c>
      <c r="Z28" s="61">
        <f t="shared" si="10"/>
        <v>0</v>
      </c>
      <c r="AA28" s="61">
        <f t="shared" si="11"/>
        <v>0</v>
      </c>
      <c r="AB28" s="50">
        <f t="shared" si="12"/>
        <v>0</v>
      </c>
      <c r="AC28" s="50">
        <f t="shared" si="13"/>
        <v>0</v>
      </c>
      <c r="AD28" s="17">
        <f t="shared" si="14"/>
        <v>3101.5053749999997</v>
      </c>
      <c r="AE28" s="17">
        <f t="shared" si="15"/>
        <v>237.26516118749998</v>
      </c>
      <c r="AF28" s="17">
        <f t="shared" si="16"/>
        <v>0</v>
      </c>
      <c r="AG28" s="17">
        <f t="shared" si="17"/>
        <v>0</v>
      </c>
      <c r="AH28" s="17">
        <f t="shared" si="18"/>
        <v>0</v>
      </c>
      <c r="AI28" s="17">
        <f t="shared" si="19"/>
        <v>0</v>
      </c>
      <c r="AJ28" s="17">
        <f t="shared" si="20"/>
        <v>0</v>
      </c>
      <c r="AK28" s="17">
        <f t="shared" si="21"/>
        <v>0</v>
      </c>
    </row>
    <row r="29" spans="1:37" x14ac:dyDescent="0.25">
      <c r="A29" s="53" t="s">
        <v>91</v>
      </c>
      <c r="B29" s="127">
        <v>16</v>
      </c>
      <c r="C29" s="53">
        <v>100</v>
      </c>
      <c r="D29" s="53">
        <v>100</v>
      </c>
      <c r="E29" s="7" t="s">
        <v>88</v>
      </c>
      <c r="F29" s="151"/>
      <c r="G29" t="s">
        <v>119</v>
      </c>
      <c r="H29" s="17">
        <v>8284.52</v>
      </c>
      <c r="I29" s="17">
        <v>8739.65</v>
      </c>
      <c r="J29" s="52" t="s">
        <v>111</v>
      </c>
      <c r="K29" s="56">
        <v>0</v>
      </c>
      <c r="L29" s="52">
        <v>0</v>
      </c>
      <c r="M29" s="52">
        <v>0</v>
      </c>
      <c r="N29" s="52">
        <v>0</v>
      </c>
      <c r="O29" s="52">
        <v>0</v>
      </c>
      <c r="P29" s="60">
        <f t="shared" si="0"/>
        <v>0</v>
      </c>
      <c r="Q29" s="52">
        <v>0</v>
      </c>
      <c r="R29" s="52">
        <v>0</v>
      </c>
      <c r="S29" s="50">
        <f t="shared" si="3"/>
        <v>668.58322499999997</v>
      </c>
      <c r="T29" s="17">
        <f t="shared" si="22"/>
        <v>0</v>
      </c>
      <c r="U29" s="17">
        <f t="shared" si="5"/>
        <v>0</v>
      </c>
      <c r="V29" s="17">
        <f t="shared" si="6"/>
        <v>8739.65</v>
      </c>
      <c r="W29" s="17">
        <f t="shared" si="7"/>
        <v>668.58322499999997</v>
      </c>
      <c r="X29" s="50">
        <f t="shared" si="8"/>
        <v>0</v>
      </c>
      <c r="Y29" s="61">
        <f t="shared" si="9"/>
        <v>0</v>
      </c>
      <c r="Z29" s="61">
        <f t="shared" si="10"/>
        <v>0</v>
      </c>
      <c r="AA29" s="61">
        <f t="shared" si="11"/>
        <v>0</v>
      </c>
      <c r="AB29" s="50">
        <f t="shared" si="12"/>
        <v>0</v>
      </c>
      <c r="AC29" s="50">
        <f t="shared" si="13"/>
        <v>0</v>
      </c>
      <c r="AD29" s="17">
        <f t="shared" si="14"/>
        <v>8739.65</v>
      </c>
      <c r="AE29" s="17">
        <f t="shared" si="15"/>
        <v>668.58322499999997</v>
      </c>
      <c r="AF29" s="17">
        <f t="shared" si="16"/>
        <v>0</v>
      </c>
      <c r="AG29" s="17">
        <f t="shared" si="17"/>
        <v>0</v>
      </c>
      <c r="AH29" s="17">
        <f t="shared" si="18"/>
        <v>0</v>
      </c>
      <c r="AI29" s="17">
        <f t="shared" si="19"/>
        <v>0</v>
      </c>
      <c r="AJ29" s="17">
        <f t="shared" si="20"/>
        <v>0</v>
      </c>
      <c r="AK29" s="17">
        <f t="shared" si="21"/>
        <v>0</v>
      </c>
    </row>
    <row r="30" spans="1:37" x14ac:dyDescent="0.25">
      <c r="A30" s="53" t="s">
        <v>91</v>
      </c>
      <c r="B30" s="127">
        <v>26</v>
      </c>
      <c r="C30" s="53">
        <v>100</v>
      </c>
      <c r="D30" s="53">
        <v>100</v>
      </c>
      <c r="E30" s="7" t="s">
        <v>88</v>
      </c>
      <c r="F30" s="151"/>
      <c r="G30" t="s">
        <v>109</v>
      </c>
      <c r="H30" s="17">
        <v>10137.86</v>
      </c>
      <c r="I30" s="17">
        <v>10566.88</v>
      </c>
      <c r="J30" s="52" t="s">
        <v>111</v>
      </c>
      <c r="K30" s="56">
        <v>0</v>
      </c>
      <c r="L30" s="52">
        <v>0</v>
      </c>
      <c r="M30" s="52">
        <v>0</v>
      </c>
      <c r="N30" s="52">
        <v>0</v>
      </c>
      <c r="O30" s="52">
        <v>0</v>
      </c>
      <c r="P30" s="60">
        <f t="shared" si="0"/>
        <v>0</v>
      </c>
      <c r="Q30" s="52">
        <v>0</v>
      </c>
      <c r="R30" s="52">
        <v>0</v>
      </c>
      <c r="S30" s="50">
        <f t="shared" si="3"/>
        <v>808.36631999999997</v>
      </c>
      <c r="T30" s="17">
        <f t="shared" si="22"/>
        <v>0</v>
      </c>
      <c r="U30" s="17">
        <f t="shared" si="5"/>
        <v>0</v>
      </c>
      <c r="V30" s="17">
        <f t="shared" si="6"/>
        <v>10566.88</v>
      </c>
      <c r="W30" s="17">
        <f t="shared" si="7"/>
        <v>808.36631999999997</v>
      </c>
      <c r="X30" s="50">
        <f t="shared" si="8"/>
        <v>0</v>
      </c>
      <c r="Y30" s="61">
        <f t="shared" si="9"/>
        <v>0</v>
      </c>
      <c r="Z30" s="61">
        <f t="shared" si="10"/>
        <v>0</v>
      </c>
      <c r="AA30" s="61">
        <f t="shared" si="11"/>
        <v>0</v>
      </c>
      <c r="AB30" s="50">
        <f t="shared" si="12"/>
        <v>0</v>
      </c>
      <c r="AC30" s="50">
        <f t="shared" si="13"/>
        <v>0</v>
      </c>
      <c r="AD30" s="17">
        <f t="shared" si="14"/>
        <v>10566.88</v>
      </c>
      <c r="AE30" s="17">
        <f t="shared" si="15"/>
        <v>808.36631999999997</v>
      </c>
      <c r="AF30" s="17">
        <f t="shared" si="16"/>
        <v>0</v>
      </c>
      <c r="AG30" s="17">
        <f t="shared" si="17"/>
        <v>0</v>
      </c>
      <c r="AH30" s="17">
        <f t="shared" si="18"/>
        <v>0</v>
      </c>
      <c r="AI30" s="17">
        <f t="shared" si="19"/>
        <v>0</v>
      </c>
      <c r="AJ30" s="17">
        <f t="shared" si="20"/>
        <v>0</v>
      </c>
      <c r="AK30" s="17">
        <f t="shared" si="21"/>
        <v>0</v>
      </c>
    </row>
    <row r="31" spans="1:37" x14ac:dyDescent="0.25">
      <c r="A31" s="53" t="s">
        <v>91</v>
      </c>
      <c r="B31" s="127">
        <v>5</v>
      </c>
      <c r="C31" s="53">
        <v>100</v>
      </c>
      <c r="D31" s="53">
        <v>100</v>
      </c>
      <c r="E31" s="7" t="s">
        <v>88</v>
      </c>
      <c r="F31" s="151"/>
      <c r="G31" s="58" t="s">
        <v>109</v>
      </c>
      <c r="H31" s="17">
        <v>400</v>
      </c>
      <c r="I31" s="17">
        <v>25140</v>
      </c>
      <c r="J31" s="52" t="s">
        <v>111</v>
      </c>
      <c r="K31" s="52">
        <v>0</v>
      </c>
      <c r="L31" s="52">
        <v>0</v>
      </c>
      <c r="M31" s="52">
        <v>0</v>
      </c>
      <c r="N31" s="52">
        <v>0</v>
      </c>
      <c r="O31" s="52">
        <v>0</v>
      </c>
      <c r="P31" s="60">
        <f t="shared" si="0"/>
        <v>0</v>
      </c>
      <c r="Q31" s="52">
        <v>0</v>
      </c>
      <c r="R31" s="52">
        <v>0</v>
      </c>
      <c r="S31" s="50">
        <f t="shared" si="3"/>
        <v>1923.21</v>
      </c>
      <c r="T31" s="17">
        <f t="shared" si="22"/>
        <v>0</v>
      </c>
      <c r="U31" s="17">
        <f t="shared" si="5"/>
        <v>0</v>
      </c>
      <c r="V31" s="17">
        <f t="shared" si="6"/>
        <v>25140</v>
      </c>
      <c r="W31" s="17">
        <f t="shared" si="7"/>
        <v>1923.21</v>
      </c>
      <c r="X31" s="50">
        <f t="shared" si="8"/>
        <v>0</v>
      </c>
      <c r="Y31" s="61">
        <f t="shared" si="9"/>
        <v>0</v>
      </c>
      <c r="Z31" s="61">
        <f t="shared" si="10"/>
        <v>0</v>
      </c>
      <c r="AA31" s="61">
        <f t="shared" si="11"/>
        <v>0</v>
      </c>
      <c r="AB31" s="50">
        <f t="shared" si="12"/>
        <v>0</v>
      </c>
      <c r="AC31" s="50">
        <f t="shared" si="13"/>
        <v>0</v>
      </c>
      <c r="AD31" s="17">
        <f t="shared" si="14"/>
        <v>25140</v>
      </c>
      <c r="AE31" s="17">
        <f t="shared" si="15"/>
        <v>1923.21</v>
      </c>
      <c r="AF31" s="17">
        <f t="shared" si="16"/>
        <v>0</v>
      </c>
      <c r="AG31" s="17">
        <f t="shared" si="17"/>
        <v>0</v>
      </c>
      <c r="AH31" s="17">
        <f t="shared" si="18"/>
        <v>0</v>
      </c>
      <c r="AI31" s="17">
        <f t="shared" si="19"/>
        <v>0</v>
      </c>
      <c r="AJ31" s="17">
        <f t="shared" si="20"/>
        <v>0</v>
      </c>
      <c r="AK31" s="17">
        <f t="shared" si="21"/>
        <v>0</v>
      </c>
    </row>
    <row r="32" spans="1:37" x14ac:dyDescent="0.25">
      <c r="H32" s="50">
        <f>SUM(H3:H31)</f>
        <v>1054733.73</v>
      </c>
      <c r="I32" s="50">
        <f>SUM(I3:I31)</f>
        <v>1194070.6099999999</v>
      </c>
      <c r="J32" s="52"/>
      <c r="K32" s="52"/>
      <c r="L32" s="52"/>
      <c r="M32" s="52">
        <f>SUM(M3:M31)</f>
        <v>991.74</v>
      </c>
      <c r="N32" s="52"/>
      <c r="O32" s="52"/>
      <c r="P32" s="72">
        <f>SUM(P3:P31)</f>
        <v>281306.6399999999</v>
      </c>
      <c r="Q32" s="17">
        <f>SUM(Q2:Q31)</f>
        <v>251532.61185999995</v>
      </c>
      <c r="R32" s="50">
        <f>SUM(R3:R31)</f>
        <v>303267.30703500001</v>
      </c>
      <c r="S32" s="50">
        <f>SUM(S3:S31)</f>
        <v>91346.401665000027</v>
      </c>
      <c r="V32" s="17">
        <f>SUM(V3:V31)</f>
        <v>940538.23400000017</v>
      </c>
      <c r="W32" s="17">
        <f t="shared" si="7"/>
        <v>71951.174901000006</v>
      </c>
      <c r="X32" s="50">
        <f t="shared" ref="X32:AE32" si="23">SUM(X3:X31)</f>
        <v>142909.97904000003</v>
      </c>
      <c r="Y32" s="61">
        <f t="shared" si="23"/>
        <v>3796.5935999999997</v>
      </c>
      <c r="Z32" s="61">
        <f>SUM(Z3:Z31)</f>
        <v>2833.3799999999997</v>
      </c>
      <c r="AA32" s="61">
        <f t="shared" si="23"/>
        <v>1240.8000000000002</v>
      </c>
      <c r="AB32" s="50">
        <f t="shared" si="23"/>
        <v>234940.33170299997</v>
      </c>
      <c r="AC32" s="50">
        <f t="shared" si="23"/>
        <v>385721.08434300008</v>
      </c>
      <c r="AD32" s="17">
        <f t="shared" si="23"/>
        <v>919074.18485384225</v>
      </c>
      <c r="AE32" s="17">
        <f t="shared" si="23"/>
        <v>70309.175141318919</v>
      </c>
      <c r="AF32" s="17">
        <f t="shared" ref="AF32:AK32" si="24">SUM(AF3:AF31)</f>
        <v>139995.11136714928</v>
      </c>
      <c r="AG32" s="17">
        <f t="shared" si="24"/>
        <v>3717.6092874112046</v>
      </c>
      <c r="AH32" s="17">
        <f t="shared" si="24"/>
        <v>2777.7308086555595</v>
      </c>
      <c r="AI32" s="17">
        <f t="shared" si="24"/>
        <v>1221.970091462224</v>
      </c>
      <c r="AJ32" s="17">
        <f t="shared" si="24"/>
        <v>230168.73155822293</v>
      </c>
      <c r="AK32" s="17">
        <f t="shared" si="24"/>
        <v>377881.15311290132</v>
      </c>
    </row>
    <row r="33" spans="4:30" x14ac:dyDescent="0.25">
      <c r="D33" s="53">
        <f>I33</f>
        <v>0</v>
      </c>
      <c r="J33" s="52"/>
      <c r="K33" s="52"/>
      <c r="L33" s="52"/>
      <c r="M33" s="52"/>
      <c r="N33" s="52"/>
      <c r="O33" s="52"/>
    </row>
    <row r="36" spans="4:30" x14ac:dyDescent="0.25">
      <c r="H36" s="122" t="s">
        <v>426</v>
      </c>
      <c r="I36" s="50">
        <f>SUM(I4:I31)</f>
        <v>1077812.3</v>
      </c>
      <c r="AC36" s="86" t="s">
        <v>426</v>
      </c>
      <c r="AD36" s="50">
        <f>SUM(AD4:AD31)</f>
        <v>829590.35483500012</v>
      </c>
    </row>
    <row r="38" spans="4:30" x14ac:dyDescent="0.25">
      <c r="H38" s="16" t="s">
        <v>427</v>
      </c>
      <c r="I38" s="16">
        <f>AD32/I32</f>
        <v>0.76969835548824228</v>
      </c>
    </row>
  </sheetData>
  <mergeCells count="35">
    <mergeCell ref="AJ1:AJ2"/>
    <mergeCell ref="AK1:AK2"/>
    <mergeCell ref="AF1:AF2"/>
    <mergeCell ref="AG1:AG2"/>
    <mergeCell ref="AH1:AH2"/>
    <mergeCell ref="AI1:AI2"/>
    <mergeCell ref="S1:S2"/>
    <mergeCell ref="T1:T2"/>
    <mergeCell ref="Q1:R1"/>
    <mergeCell ref="O1:O2"/>
    <mergeCell ref="J1:J2"/>
    <mergeCell ref="A1:A2"/>
    <mergeCell ref="E1:E2"/>
    <mergeCell ref="C1:C2"/>
    <mergeCell ref="D1:D2"/>
    <mergeCell ref="P1:P2"/>
    <mergeCell ref="F1:F2"/>
    <mergeCell ref="G1:G2"/>
    <mergeCell ref="K1:L1"/>
    <mergeCell ref="M1:M2"/>
    <mergeCell ref="N1:N2"/>
    <mergeCell ref="H1:H2"/>
    <mergeCell ref="I1:I2"/>
    <mergeCell ref="B1:B2"/>
    <mergeCell ref="AD1:AD2"/>
    <mergeCell ref="AE1:AE2"/>
    <mergeCell ref="AA1:AA2"/>
    <mergeCell ref="U1:U2"/>
    <mergeCell ref="V1:V2"/>
    <mergeCell ref="X1:X2"/>
    <mergeCell ref="AC1:AC2"/>
    <mergeCell ref="Y1:Y2"/>
    <mergeCell ref="AB1:AB2"/>
    <mergeCell ref="W1:W2"/>
    <mergeCell ref="Z1:Z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AB0E1-5510-4854-8F18-6523AA98A9CB}">
  <dimension ref="A1:N117"/>
  <sheetViews>
    <sheetView topLeftCell="A64" workbookViewId="0">
      <selection activeCell="A94" sqref="A94:F117"/>
    </sheetView>
  </sheetViews>
  <sheetFormatPr defaultRowHeight="15" x14ac:dyDescent="0.25"/>
  <cols>
    <col min="1" max="2" width="22.5703125" customWidth="1"/>
    <col min="3" max="3" width="14.28515625" bestFit="1" customWidth="1"/>
    <col min="4" max="4" width="15" customWidth="1"/>
    <col min="5" max="6" width="14.28515625" bestFit="1" customWidth="1"/>
    <col min="7" max="9" width="13.28515625" bestFit="1" customWidth="1"/>
    <col min="10" max="11" width="12.85546875" customWidth="1"/>
    <col min="12" max="12" width="11.28515625" customWidth="1"/>
    <col min="13" max="13" width="11.7109375" customWidth="1"/>
    <col min="14" max="14" width="27.140625" customWidth="1"/>
  </cols>
  <sheetData>
    <row r="1" spans="1:13" x14ac:dyDescent="0.25">
      <c r="A1" s="73" t="s">
        <v>157</v>
      </c>
      <c r="B1" s="73" t="s">
        <v>158</v>
      </c>
      <c r="C1" s="73" t="s">
        <v>171</v>
      </c>
    </row>
    <row r="2" spans="1:13" x14ac:dyDescent="0.25">
      <c r="A2" t="s">
        <v>159</v>
      </c>
      <c r="B2" s="74">
        <v>30268400</v>
      </c>
      <c r="C2" s="74">
        <v>6159</v>
      </c>
    </row>
    <row r="3" spans="1:13" x14ac:dyDescent="0.25">
      <c r="A3" t="s">
        <v>160</v>
      </c>
      <c r="B3" s="74">
        <v>27925900</v>
      </c>
      <c r="C3" s="74">
        <v>6153</v>
      </c>
    </row>
    <row r="4" spans="1:13" x14ac:dyDescent="0.25">
      <c r="A4" t="s">
        <v>161</v>
      </c>
      <c r="B4" s="74">
        <v>30236000</v>
      </c>
      <c r="C4" s="74">
        <v>6139</v>
      </c>
    </row>
    <row r="5" spans="1:13" x14ac:dyDescent="0.25">
      <c r="A5" t="s">
        <v>162</v>
      </c>
      <c r="B5" s="74">
        <v>26744700</v>
      </c>
      <c r="C5" s="74">
        <v>6138</v>
      </c>
    </row>
    <row r="6" spans="1:13" x14ac:dyDescent="0.25">
      <c r="A6" t="s">
        <v>163</v>
      </c>
      <c r="B6" s="74">
        <v>29854500</v>
      </c>
      <c r="C6" s="74">
        <v>6155</v>
      </c>
    </row>
    <row r="7" spans="1:13" x14ac:dyDescent="0.25">
      <c r="A7" t="s">
        <v>164</v>
      </c>
      <c r="B7" s="74">
        <v>35014000</v>
      </c>
      <c r="C7" s="74">
        <v>6181</v>
      </c>
    </row>
    <row r="8" spans="1:13" x14ac:dyDescent="0.25">
      <c r="A8" t="s">
        <v>165</v>
      </c>
      <c r="B8" s="74">
        <v>39010700</v>
      </c>
      <c r="C8" s="74">
        <v>6214</v>
      </c>
    </row>
    <row r="9" spans="1:13" x14ac:dyDescent="0.25">
      <c r="A9" t="s">
        <v>166</v>
      </c>
      <c r="B9" s="74">
        <v>38854000</v>
      </c>
      <c r="C9" s="74">
        <v>6224</v>
      </c>
    </row>
    <row r="10" spans="1:13" x14ac:dyDescent="0.25">
      <c r="A10" t="s">
        <v>167</v>
      </c>
      <c r="B10" s="74">
        <v>35712800</v>
      </c>
      <c r="C10" s="74">
        <v>6235</v>
      </c>
    </row>
    <row r="11" spans="1:13" x14ac:dyDescent="0.25">
      <c r="A11" t="s">
        <v>168</v>
      </c>
      <c r="B11" s="74">
        <v>34623100</v>
      </c>
      <c r="C11" s="74">
        <v>6237</v>
      </c>
    </row>
    <row r="12" spans="1:13" x14ac:dyDescent="0.25">
      <c r="A12" t="s">
        <v>169</v>
      </c>
      <c r="B12" s="74">
        <v>32336000</v>
      </c>
      <c r="C12" s="74">
        <v>6234</v>
      </c>
    </row>
    <row r="13" spans="1:13" x14ac:dyDescent="0.25">
      <c r="A13" t="s">
        <v>170</v>
      </c>
      <c r="B13" s="74">
        <v>37179600</v>
      </c>
      <c r="C13" s="74">
        <v>6239</v>
      </c>
    </row>
    <row r="14" spans="1:13" x14ac:dyDescent="0.25">
      <c r="B14" s="75">
        <f>SUM(B2:B13)</f>
        <v>397759700</v>
      </c>
      <c r="C14" s="74">
        <f>SUM(C2:C13)</f>
        <v>74308</v>
      </c>
    </row>
    <row r="15" spans="1:13" s="16" customFormat="1" x14ac:dyDescent="0.25">
      <c r="B15" s="75"/>
      <c r="C15" s="74"/>
    </row>
    <row r="16" spans="1:13" x14ac:dyDescent="0.25">
      <c r="B16" s="155" t="s">
        <v>181</v>
      </c>
      <c r="C16" s="155"/>
      <c r="D16" s="155"/>
      <c r="E16" s="155"/>
      <c r="F16" s="155"/>
      <c r="G16" s="155"/>
      <c r="H16" s="155"/>
      <c r="I16" s="155"/>
      <c r="J16" s="155"/>
      <c r="K16" s="155"/>
      <c r="L16" s="155"/>
      <c r="M16" s="155"/>
    </row>
    <row r="17" spans="1:14" s="16" customFormat="1" x14ac:dyDescent="0.25">
      <c r="B17" s="73" t="s">
        <v>159</v>
      </c>
      <c r="C17" s="73" t="s">
        <v>160</v>
      </c>
      <c r="D17" s="73" t="s">
        <v>161</v>
      </c>
      <c r="E17" s="73" t="s">
        <v>162</v>
      </c>
      <c r="F17" s="73" t="s">
        <v>163</v>
      </c>
      <c r="G17" s="73" t="s">
        <v>164</v>
      </c>
      <c r="H17" s="73" t="s">
        <v>165</v>
      </c>
      <c r="I17" s="73" t="s">
        <v>166</v>
      </c>
      <c r="J17" s="73" t="s">
        <v>167</v>
      </c>
      <c r="K17" s="73" t="s">
        <v>168</v>
      </c>
      <c r="L17" s="73" t="s">
        <v>169</v>
      </c>
      <c r="M17" s="73" t="s">
        <v>170</v>
      </c>
    </row>
    <row r="18" spans="1:14" x14ac:dyDescent="0.25">
      <c r="A18" t="s">
        <v>172</v>
      </c>
      <c r="B18" s="74">
        <v>2062900</v>
      </c>
      <c r="C18" s="74">
        <v>2382700</v>
      </c>
      <c r="D18" s="74">
        <v>2159000</v>
      </c>
      <c r="E18" s="74">
        <v>2529200</v>
      </c>
      <c r="F18" s="74">
        <v>2016100</v>
      </c>
      <c r="G18" s="74">
        <v>2071000</v>
      </c>
      <c r="H18" s="74">
        <v>1901000</v>
      </c>
      <c r="I18" s="74">
        <v>1934300</v>
      </c>
      <c r="J18" s="74">
        <v>2162100</v>
      </c>
      <c r="K18" s="74">
        <v>2085000</v>
      </c>
      <c r="L18" s="74">
        <v>2389500</v>
      </c>
      <c r="M18" s="74">
        <v>1792600</v>
      </c>
      <c r="N18" s="75">
        <f>SUM(B18:M18)</f>
        <v>25485400</v>
      </c>
    </row>
    <row r="19" spans="1:14" x14ac:dyDescent="0.25">
      <c r="A19" t="s">
        <v>173</v>
      </c>
      <c r="B19" s="75">
        <f>B2-B18</f>
        <v>28205500</v>
      </c>
      <c r="C19" s="75">
        <f>B3-C18</f>
        <v>25543200</v>
      </c>
      <c r="D19" s="75">
        <f>B4-D18</f>
        <v>28077000</v>
      </c>
      <c r="E19" s="75">
        <f>B5-E18</f>
        <v>24215500</v>
      </c>
      <c r="F19" s="75">
        <f>B6-F18</f>
        <v>27838400</v>
      </c>
      <c r="G19" s="75">
        <f>B7-G18</f>
        <v>32943000</v>
      </c>
      <c r="H19" s="75">
        <f>B8-H18</f>
        <v>37109700</v>
      </c>
      <c r="I19" s="75">
        <f>B9-I18</f>
        <v>36919700</v>
      </c>
      <c r="J19" s="75">
        <f>B10-J18</f>
        <v>33550700</v>
      </c>
      <c r="K19" s="75">
        <f>B11-K18</f>
        <v>32538100</v>
      </c>
      <c r="L19" s="75">
        <f>B12-L18</f>
        <v>29946500</v>
      </c>
      <c r="M19" s="75">
        <f>B13-M18</f>
        <v>35387000</v>
      </c>
      <c r="N19" s="75">
        <f>SUM(B19:M19)</f>
        <v>372274300</v>
      </c>
    </row>
    <row r="21" spans="1:14" x14ac:dyDescent="0.25">
      <c r="A21" t="s">
        <v>174</v>
      </c>
      <c r="B21" s="74">
        <v>5250200</v>
      </c>
      <c r="C21" s="74">
        <v>4996300</v>
      </c>
      <c r="D21" s="74">
        <v>5312700</v>
      </c>
      <c r="E21" s="74">
        <v>4858300</v>
      </c>
      <c r="F21" s="74">
        <v>4615500</v>
      </c>
      <c r="G21" s="74">
        <v>5739000</v>
      </c>
      <c r="H21" s="74">
        <v>6426200</v>
      </c>
      <c r="I21" s="74">
        <v>6762200</v>
      </c>
      <c r="J21" s="74">
        <v>5799500</v>
      </c>
      <c r="K21" s="74">
        <v>5807700</v>
      </c>
      <c r="L21" s="74">
        <v>7139200</v>
      </c>
      <c r="M21" s="74">
        <v>7534800</v>
      </c>
      <c r="N21" s="75">
        <f t="shared" ref="N21:N26" si="0">SUM(B21:M21)</f>
        <v>70241600</v>
      </c>
    </row>
    <row r="22" spans="1:14" x14ac:dyDescent="0.25">
      <c r="A22" t="s">
        <v>175</v>
      </c>
      <c r="B22" s="74">
        <v>709500</v>
      </c>
      <c r="C22" s="74">
        <v>504400</v>
      </c>
      <c r="D22" s="74">
        <v>574400</v>
      </c>
      <c r="E22" s="74">
        <v>591300</v>
      </c>
      <c r="F22" s="74">
        <v>506500</v>
      </c>
      <c r="G22" s="74">
        <v>659800</v>
      </c>
      <c r="H22" s="74">
        <v>1091800</v>
      </c>
      <c r="I22" s="74">
        <v>1268500</v>
      </c>
      <c r="J22" s="74">
        <v>1243500</v>
      </c>
      <c r="K22" s="74">
        <v>828900</v>
      </c>
      <c r="L22" s="74">
        <v>679600</v>
      </c>
      <c r="M22" s="74">
        <v>818300</v>
      </c>
      <c r="N22" s="75">
        <f t="shared" si="0"/>
        <v>9476500</v>
      </c>
    </row>
    <row r="23" spans="1:14" x14ac:dyDescent="0.25">
      <c r="A23" t="s">
        <v>176</v>
      </c>
      <c r="B23" s="74">
        <v>777400</v>
      </c>
      <c r="C23" s="74">
        <v>833400</v>
      </c>
      <c r="D23" s="74">
        <v>956600</v>
      </c>
      <c r="E23" s="74">
        <v>632600</v>
      </c>
      <c r="F23" s="74">
        <v>647400</v>
      </c>
      <c r="G23" s="74">
        <v>784100</v>
      </c>
      <c r="H23" s="74">
        <v>752700</v>
      </c>
      <c r="I23" s="74">
        <v>669500</v>
      </c>
      <c r="J23" s="74">
        <v>831200</v>
      </c>
      <c r="K23" s="74">
        <v>839400</v>
      </c>
      <c r="L23" s="74">
        <v>1156000</v>
      </c>
      <c r="M23" s="74">
        <v>1249600</v>
      </c>
      <c r="N23" s="75">
        <f t="shared" si="0"/>
        <v>10129900</v>
      </c>
    </row>
    <row r="24" spans="1:14" x14ac:dyDescent="0.25">
      <c r="A24" t="s">
        <v>177</v>
      </c>
      <c r="B24" s="74">
        <v>209900</v>
      </c>
      <c r="C24" s="74">
        <v>178400</v>
      </c>
      <c r="D24" s="74">
        <v>177800</v>
      </c>
      <c r="E24" s="74">
        <v>187000</v>
      </c>
      <c r="F24" s="74">
        <v>178900</v>
      </c>
      <c r="G24" s="74">
        <v>208100</v>
      </c>
      <c r="H24" s="74">
        <v>224900</v>
      </c>
      <c r="I24" s="74">
        <v>355500</v>
      </c>
      <c r="J24" s="74">
        <v>384300</v>
      </c>
      <c r="K24" s="74">
        <v>286300</v>
      </c>
      <c r="L24" s="74">
        <v>196800</v>
      </c>
      <c r="M24" s="74">
        <v>261900</v>
      </c>
      <c r="N24" s="75">
        <f t="shared" si="0"/>
        <v>2849800</v>
      </c>
    </row>
    <row r="25" spans="1:14" x14ac:dyDescent="0.25">
      <c r="A25" t="s">
        <v>178</v>
      </c>
      <c r="B25" s="29">
        <v>49400</v>
      </c>
      <c r="C25" s="74">
        <v>271500</v>
      </c>
      <c r="D25" s="74">
        <v>422700</v>
      </c>
      <c r="E25" s="74">
        <v>397500</v>
      </c>
      <c r="F25" s="74">
        <v>400300</v>
      </c>
      <c r="G25" s="74">
        <v>505800</v>
      </c>
      <c r="H25" s="74">
        <v>696200</v>
      </c>
      <c r="I25" s="74">
        <v>570700</v>
      </c>
      <c r="J25" s="74">
        <v>521600</v>
      </c>
      <c r="K25" s="74">
        <v>930700</v>
      </c>
      <c r="L25" s="74">
        <v>501900</v>
      </c>
      <c r="M25" s="74">
        <v>429800</v>
      </c>
      <c r="N25" s="75">
        <f t="shared" si="0"/>
        <v>5698100</v>
      </c>
    </row>
    <row r="26" spans="1:14" x14ac:dyDescent="0.25">
      <c r="A26" t="s">
        <v>179</v>
      </c>
      <c r="B26" s="74">
        <v>443900</v>
      </c>
      <c r="C26" s="74">
        <v>642100</v>
      </c>
      <c r="D26" s="74">
        <v>584500</v>
      </c>
      <c r="E26" s="74">
        <v>373800</v>
      </c>
      <c r="F26" s="74">
        <v>361200</v>
      </c>
      <c r="G26" s="74">
        <v>359300</v>
      </c>
      <c r="H26" s="74">
        <v>297200</v>
      </c>
      <c r="I26" s="74">
        <v>257300</v>
      </c>
      <c r="J26" s="74">
        <v>208900</v>
      </c>
      <c r="K26" s="74">
        <v>155900</v>
      </c>
      <c r="L26" s="74">
        <v>290900</v>
      </c>
      <c r="M26" s="74">
        <v>353500</v>
      </c>
      <c r="N26" s="75">
        <f t="shared" si="0"/>
        <v>4328500</v>
      </c>
    </row>
    <row r="27" spans="1:14" x14ac:dyDescent="0.25">
      <c r="A27" t="s">
        <v>66</v>
      </c>
      <c r="B27" s="75">
        <f>SUM(B21:B26)</f>
        <v>7440300</v>
      </c>
      <c r="C27" s="75">
        <f t="shared" ref="C27:N27" si="1">SUM(C21:C26)</f>
        <v>7426100</v>
      </c>
      <c r="D27" s="75">
        <f t="shared" si="1"/>
        <v>8028700</v>
      </c>
      <c r="E27" s="75">
        <f t="shared" si="1"/>
        <v>7040500</v>
      </c>
      <c r="F27" s="75">
        <f t="shared" si="1"/>
        <v>6709800</v>
      </c>
      <c r="G27" s="75">
        <f t="shared" si="1"/>
        <v>8256100</v>
      </c>
      <c r="H27" s="75">
        <f t="shared" si="1"/>
        <v>9489000</v>
      </c>
      <c r="I27" s="75">
        <f t="shared" si="1"/>
        <v>9883700</v>
      </c>
      <c r="J27" s="75">
        <f t="shared" si="1"/>
        <v>8989000</v>
      </c>
      <c r="K27" s="75">
        <f t="shared" si="1"/>
        <v>8848900</v>
      </c>
      <c r="L27" s="75">
        <f t="shared" si="1"/>
        <v>9964400</v>
      </c>
      <c r="M27" s="75">
        <f t="shared" si="1"/>
        <v>10647900</v>
      </c>
      <c r="N27" s="75">
        <f t="shared" si="1"/>
        <v>102724400</v>
      </c>
    </row>
    <row r="28" spans="1:14" s="16" customFormat="1" x14ac:dyDescent="0.25">
      <c r="B28" s="75"/>
      <c r="C28" s="75"/>
      <c r="D28" s="75"/>
      <c r="E28" s="75"/>
      <c r="F28" s="75"/>
      <c r="G28" s="75"/>
      <c r="H28" s="75"/>
      <c r="I28" s="75"/>
      <c r="J28" s="75"/>
      <c r="K28" s="75"/>
      <c r="L28" s="75"/>
      <c r="M28" s="75"/>
      <c r="N28" s="75"/>
    </row>
    <row r="29" spans="1:14" x14ac:dyDescent="0.25">
      <c r="B29" s="155" t="s">
        <v>180</v>
      </c>
      <c r="C29" s="155"/>
      <c r="D29" s="155"/>
      <c r="E29" s="155"/>
      <c r="F29" s="155"/>
      <c r="G29" s="155"/>
      <c r="H29" s="155"/>
      <c r="I29" s="155"/>
      <c r="J29" s="155"/>
      <c r="K29" s="155"/>
      <c r="L29" s="155"/>
      <c r="M29" s="155"/>
    </row>
    <row r="30" spans="1:14" x14ac:dyDescent="0.25">
      <c r="A30" s="16"/>
      <c r="B30" s="73" t="s">
        <v>159</v>
      </c>
      <c r="C30" s="73" t="s">
        <v>160</v>
      </c>
      <c r="D30" s="73" t="s">
        <v>161</v>
      </c>
      <c r="E30" s="73" t="s">
        <v>162</v>
      </c>
      <c r="F30" s="73" t="s">
        <v>163</v>
      </c>
      <c r="G30" s="73" t="s">
        <v>164</v>
      </c>
      <c r="H30" s="73" t="s">
        <v>165</v>
      </c>
      <c r="I30" s="73" t="s">
        <v>166</v>
      </c>
      <c r="J30" s="73" t="s">
        <v>167</v>
      </c>
      <c r="K30" s="73" t="s">
        <v>168</v>
      </c>
      <c r="L30" s="73" t="s">
        <v>169</v>
      </c>
      <c r="M30" s="73" t="s">
        <v>170</v>
      </c>
    </row>
    <row r="31" spans="1:14" x14ac:dyDescent="0.25">
      <c r="A31" s="16" t="s">
        <v>172</v>
      </c>
      <c r="B31" s="74">
        <v>2167</v>
      </c>
      <c r="C31" s="74">
        <v>2478</v>
      </c>
      <c r="D31" s="74">
        <v>2242</v>
      </c>
      <c r="E31" s="74">
        <v>2557</v>
      </c>
      <c r="F31" s="74">
        <v>2281</v>
      </c>
      <c r="G31" s="74">
        <v>2136</v>
      </c>
      <c r="H31" s="74">
        <v>1962</v>
      </c>
      <c r="I31" s="74">
        <v>1943</v>
      </c>
      <c r="J31" s="74">
        <v>2160</v>
      </c>
      <c r="K31" s="74">
        <v>2118</v>
      </c>
      <c r="L31" s="74">
        <v>2399</v>
      </c>
      <c r="M31" s="74">
        <v>1909</v>
      </c>
      <c r="N31" s="75">
        <f>SUM(B31:M31)</f>
        <v>26352</v>
      </c>
    </row>
    <row r="32" spans="1:14" x14ac:dyDescent="0.25">
      <c r="A32" s="16" t="s">
        <v>173</v>
      </c>
      <c r="B32" s="75">
        <f>C2-B31</f>
        <v>3992</v>
      </c>
      <c r="C32" s="75">
        <f>C3-C31</f>
        <v>3675</v>
      </c>
      <c r="D32" s="75">
        <f>C4-D31</f>
        <v>3897</v>
      </c>
      <c r="E32" s="75">
        <f>C5-E31</f>
        <v>3581</v>
      </c>
      <c r="F32" s="75">
        <f>C6-F31</f>
        <v>3874</v>
      </c>
      <c r="G32" s="75">
        <f>C7-G31</f>
        <v>4045</v>
      </c>
      <c r="H32" s="75">
        <f>C8-H31</f>
        <v>4252</v>
      </c>
      <c r="I32" s="75">
        <f>C9-I31</f>
        <v>4281</v>
      </c>
      <c r="J32" s="75">
        <f>C10-J31</f>
        <v>4075</v>
      </c>
      <c r="K32" s="75">
        <f>C11-K31</f>
        <v>4119</v>
      </c>
      <c r="L32" s="75">
        <f>C12-L31</f>
        <v>3835</v>
      </c>
      <c r="M32" s="75">
        <f>C13-M31</f>
        <v>4330</v>
      </c>
      <c r="N32" s="75">
        <f>SUM(B32:M32)</f>
        <v>47956</v>
      </c>
    </row>
    <row r="35" spans="1:6" s="16" customFormat="1" x14ac:dyDescent="0.25">
      <c r="A35" s="161" t="s">
        <v>185</v>
      </c>
      <c r="B35" s="161"/>
      <c r="C35" s="161"/>
      <c r="D35" s="161"/>
      <c r="E35" s="161"/>
      <c r="F35" s="161"/>
    </row>
    <row r="36" spans="1:6" x14ac:dyDescent="0.25">
      <c r="B36" s="73" t="s">
        <v>171</v>
      </c>
      <c r="C36" s="73" t="s">
        <v>182</v>
      </c>
      <c r="D36" s="73" t="s">
        <v>183</v>
      </c>
      <c r="E36" s="73" t="s">
        <v>66</v>
      </c>
    </row>
    <row r="37" spans="1:6" x14ac:dyDescent="0.25">
      <c r="A37" s="16" t="s">
        <v>172</v>
      </c>
      <c r="B37" s="75">
        <f>N31</f>
        <v>26352</v>
      </c>
      <c r="C37" s="75">
        <f>N18</f>
        <v>25485400</v>
      </c>
      <c r="D37" s="75"/>
      <c r="E37" s="75">
        <f>C37</f>
        <v>25485400</v>
      </c>
    </row>
    <row r="38" spans="1:6" x14ac:dyDescent="0.25">
      <c r="A38" s="16" t="s">
        <v>173</v>
      </c>
      <c r="B38" s="74">
        <f>N32-(3*12)</f>
        <v>47920</v>
      </c>
      <c r="C38" s="74">
        <f>B38*2000</f>
        <v>95840000</v>
      </c>
      <c r="D38" s="75">
        <f>N19-(N21+N22+N23+C38)</f>
        <v>186586300</v>
      </c>
      <c r="E38" s="75">
        <f>C38+D38</f>
        <v>282426300</v>
      </c>
    </row>
    <row r="39" spans="1:6" s="16" customFormat="1" x14ac:dyDescent="0.25">
      <c r="B39" s="74">
        <f>SUM(B37:B38)</f>
        <v>74272</v>
      </c>
      <c r="C39" s="74">
        <f>SUM(C37:C38)</f>
        <v>121325400</v>
      </c>
      <c r="D39" s="75"/>
      <c r="E39" s="75">
        <f>SUM(E37:E38)</f>
        <v>307911700</v>
      </c>
    </row>
    <row r="40" spans="1:6" s="16" customFormat="1" x14ac:dyDescent="0.25">
      <c r="D40" s="75"/>
      <c r="F40" s="75"/>
    </row>
    <row r="41" spans="1:6" s="16" customFormat="1" x14ac:dyDescent="0.25">
      <c r="A41" s="161" t="s">
        <v>208</v>
      </c>
      <c r="B41" s="161"/>
      <c r="C41" s="161"/>
      <c r="D41" s="161"/>
      <c r="E41" s="161"/>
      <c r="F41" s="73"/>
    </row>
    <row r="42" spans="1:6" s="16" customFormat="1" x14ac:dyDescent="0.25">
      <c r="B42" s="73" t="s">
        <v>171</v>
      </c>
      <c r="C42" s="73" t="s">
        <v>182</v>
      </c>
      <c r="D42" s="73"/>
      <c r="E42" s="73" t="s">
        <v>66</v>
      </c>
      <c r="F42" s="7"/>
    </row>
    <row r="43" spans="1:6" s="16" customFormat="1" x14ac:dyDescent="0.25">
      <c r="A43" s="16" t="s">
        <v>176</v>
      </c>
      <c r="B43" s="7">
        <v>12</v>
      </c>
      <c r="C43" s="75">
        <f>N23</f>
        <v>10129900</v>
      </c>
      <c r="D43" s="75"/>
      <c r="E43" s="75">
        <f>SUM(C43:D43)</f>
        <v>10129900</v>
      </c>
      <c r="F43" s="75"/>
    </row>
    <row r="44" spans="1:6" x14ac:dyDescent="0.25">
      <c r="A44" s="16"/>
      <c r="B44" s="7"/>
      <c r="C44" s="75"/>
      <c r="E44" s="75"/>
      <c r="F44" s="75"/>
    </row>
    <row r="45" spans="1:6" x14ac:dyDescent="0.25">
      <c r="A45" s="16"/>
      <c r="B45" s="7"/>
      <c r="C45" s="75"/>
      <c r="F45" s="75"/>
    </row>
    <row r="46" spans="1:6" x14ac:dyDescent="0.25">
      <c r="A46" s="16"/>
      <c r="B46" s="7"/>
      <c r="C46" s="75"/>
    </row>
    <row r="47" spans="1:6" x14ac:dyDescent="0.25">
      <c r="A47" t="s">
        <v>66</v>
      </c>
      <c r="B47" s="7">
        <f>SUM(B43:B46)</f>
        <v>12</v>
      </c>
      <c r="C47" s="75">
        <f>SUM(C43:C46)</f>
        <v>10129900</v>
      </c>
      <c r="E47" s="75">
        <f>SUM(C43:C46)</f>
        <v>10129900</v>
      </c>
    </row>
    <row r="48" spans="1:6" s="16" customFormat="1" x14ac:dyDescent="0.25">
      <c r="E48" s="75"/>
    </row>
    <row r="49" spans="1:6" s="16" customFormat="1" x14ac:dyDescent="0.25">
      <c r="A49" s="161" t="s">
        <v>187</v>
      </c>
      <c r="B49" s="163"/>
      <c r="C49" s="163"/>
      <c r="D49" s="163"/>
      <c r="E49" s="163"/>
      <c r="F49" s="163"/>
    </row>
    <row r="50" spans="1:6" x14ac:dyDescent="0.25">
      <c r="B50" s="73" t="s">
        <v>171</v>
      </c>
      <c r="C50" s="73" t="s">
        <v>189</v>
      </c>
      <c r="D50" s="73" t="s">
        <v>190</v>
      </c>
      <c r="E50" s="73" t="s">
        <v>66</v>
      </c>
    </row>
    <row r="51" spans="1:6" x14ac:dyDescent="0.25">
      <c r="A51" t="s">
        <v>188</v>
      </c>
      <c r="B51" s="7">
        <v>4</v>
      </c>
      <c r="C51" s="74">
        <f>(4*600000)+D69</f>
        <v>2176600</v>
      </c>
      <c r="D51" s="74"/>
      <c r="E51" s="74">
        <f>C51</f>
        <v>2176600</v>
      </c>
    </row>
    <row r="52" spans="1:6" x14ac:dyDescent="0.25">
      <c r="A52" t="s">
        <v>206</v>
      </c>
      <c r="B52" s="7">
        <v>8</v>
      </c>
      <c r="C52" s="74">
        <f>8*600000</f>
        <v>4800000</v>
      </c>
      <c r="D52" s="74">
        <f>C69</f>
        <v>2499900</v>
      </c>
      <c r="E52" s="74">
        <f>C52+D52</f>
        <v>7299900</v>
      </c>
    </row>
    <row r="53" spans="1:6" x14ac:dyDescent="0.25">
      <c r="A53" t="s">
        <v>66</v>
      </c>
      <c r="B53" s="7">
        <f>SUM(B51:B52)</f>
        <v>12</v>
      </c>
      <c r="C53" s="74">
        <f>SUM(C51:C52)</f>
        <v>6976600</v>
      </c>
      <c r="D53" s="74">
        <f>SUM(D52)</f>
        <v>2499900</v>
      </c>
      <c r="E53" s="74">
        <f>SUM(E51:E52)</f>
        <v>9476500</v>
      </c>
    </row>
    <row r="56" spans="1:6" x14ac:dyDescent="0.25">
      <c r="A56" s="73" t="s">
        <v>197</v>
      </c>
      <c r="B56" s="73" t="s">
        <v>193</v>
      </c>
      <c r="C56" s="73" t="s">
        <v>191</v>
      </c>
      <c r="D56" s="73" t="s">
        <v>192</v>
      </c>
    </row>
    <row r="57" spans="1:6" x14ac:dyDescent="0.25">
      <c r="A57" t="s">
        <v>159</v>
      </c>
      <c r="B57" s="74">
        <v>709500</v>
      </c>
      <c r="C57">
        <f>IF((B57-600000)&lt;0,0,(B57-600000))</f>
        <v>109500</v>
      </c>
      <c r="D57">
        <f>IF((B57-600000)&gt;0,0,(B57-600000))</f>
        <v>0</v>
      </c>
    </row>
    <row r="58" spans="1:6" x14ac:dyDescent="0.25">
      <c r="A58" t="s">
        <v>160</v>
      </c>
      <c r="B58" s="74">
        <v>504400</v>
      </c>
      <c r="C58" s="16">
        <f t="shared" ref="C58:C68" si="2">IF((B58-600000)&lt;0,0,(B58-600000))</f>
        <v>0</v>
      </c>
      <c r="D58" s="16">
        <f t="shared" ref="D58:D68" si="3">IF((B58-600000)&gt;0,0,(B58-600000))</f>
        <v>-95600</v>
      </c>
    </row>
    <row r="59" spans="1:6" x14ac:dyDescent="0.25">
      <c r="A59" t="s">
        <v>161</v>
      </c>
      <c r="B59" s="74">
        <v>574400</v>
      </c>
      <c r="C59" s="16">
        <f t="shared" si="2"/>
        <v>0</v>
      </c>
      <c r="D59" s="16">
        <f t="shared" si="3"/>
        <v>-25600</v>
      </c>
    </row>
    <row r="60" spans="1:6" x14ac:dyDescent="0.25">
      <c r="A60" t="s">
        <v>162</v>
      </c>
      <c r="B60" s="74">
        <v>591300</v>
      </c>
      <c r="C60" s="16">
        <f t="shared" si="2"/>
        <v>0</v>
      </c>
      <c r="D60" s="16">
        <f t="shared" si="3"/>
        <v>-8700</v>
      </c>
    </row>
    <row r="61" spans="1:6" x14ac:dyDescent="0.25">
      <c r="A61" t="s">
        <v>163</v>
      </c>
      <c r="B61" s="74">
        <v>506500</v>
      </c>
      <c r="C61" s="16">
        <f t="shared" si="2"/>
        <v>0</v>
      </c>
      <c r="D61" s="16">
        <f t="shared" si="3"/>
        <v>-93500</v>
      </c>
    </row>
    <row r="62" spans="1:6" x14ac:dyDescent="0.25">
      <c r="A62" t="s">
        <v>164</v>
      </c>
      <c r="B62" s="74">
        <v>659800</v>
      </c>
      <c r="C62" s="16">
        <f t="shared" si="2"/>
        <v>59800</v>
      </c>
      <c r="D62" s="16">
        <f t="shared" si="3"/>
        <v>0</v>
      </c>
    </row>
    <row r="63" spans="1:6" x14ac:dyDescent="0.25">
      <c r="A63" t="s">
        <v>165</v>
      </c>
      <c r="B63" s="74">
        <v>1091800</v>
      </c>
      <c r="C63" s="16">
        <f t="shared" si="2"/>
        <v>491800</v>
      </c>
      <c r="D63" s="16">
        <f t="shared" si="3"/>
        <v>0</v>
      </c>
    </row>
    <row r="64" spans="1:6" x14ac:dyDescent="0.25">
      <c r="A64" t="s">
        <v>166</v>
      </c>
      <c r="B64" s="74">
        <v>1268500</v>
      </c>
      <c r="C64" s="16">
        <f t="shared" si="2"/>
        <v>668500</v>
      </c>
      <c r="D64" s="16">
        <f t="shared" si="3"/>
        <v>0</v>
      </c>
    </row>
    <row r="65" spans="1:6" x14ac:dyDescent="0.25">
      <c r="A65" t="s">
        <v>167</v>
      </c>
      <c r="B65" s="74">
        <v>1243500</v>
      </c>
      <c r="C65" s="16">
        <f t="shared" si="2"/>
        <v>643500</v>
      </c>
      <c r="D65" s="16">
        <f t="shared" si="3"/>
        <v>0</v>
      </c>
    </row>
    <row r="66" spans="1:6" x14ac:dyDescent="0.25">
      <c r="A66" t="s">
        <v>168</v>
      </c>
      <c r="B66" s="74">
        <v>828900</v>
      </c>
      <c r="C66" s="16">
        <f t="shared" si="2"/>
        <v>228900</v>
      </c>
      <c r="D66" s="16">
        <f t="shared" si="3"/>
        <v>0</v>
      </c>
    </row>
    <row r="67" spans="1:6" x14ac:dyDescent="0.25">
      <c r="A67" t="s">
        <v>169</v>
      </c>
      <c r="B67" s="74">
        <v>679600</v>
      </c>
      <c r="C67" s="16">
        <f t="shared" si="2"/>
        <v>79600</v>
      </c>
      <c r="D67" s="16">
        <f t="shared" si="3"/>
        <v>0</v>
      </c>
    </row>
    <row r="68" spans="1:6" x14ac:dyDescent="0.25">
      <c r="A68" t="s">
        <v>170</v>
      </c>
      <c r="B68" s="74">
        <v>818300</v>
      </c>
      <c r="C68" s="16">
        <f t="shared" si="2"/>
        <v>218300</v>
      </c>
      <c r="D68" s="16">
        <f t="shared" si="3"/>
        <v>0</v>
      </c>
    </row>
    <row r="69" spans="1:6" x14ac:dyDescent="0.25">
      <c r="B69" s="75">
        <f>SUM(B57:B68)</f>
        <v>9476500</v>
      </c>
      <c r="C69">
        <f>SUM(C57:C68)</f>
        <v>2499900</v>
      </c>
      <c r="D69">
        <f>SUM(D57:D68)</f>
        <v>-223400</v>
      </c>
    </row>
    <row r="72" spans="1:6" x14ac:dyDescent="0.25">
      <c r="A72" s="161" t="s">
        <v>451</v>
      </c>
      <c r="B72" s="161"/>
      <c r="C72" s="161"/>
      <c r="D72" s="161"/>
      <c r="E72" s="161"/>
      <c r="F72" s="161"/>
    </row>
    <row r="73" spans="1:6" x14ac:dyDescent="0.25">
      <c r="A73" s="16"/>
      <c r="B73" s="73" t="s">
        <v>171</v>
      </c>
      <c r="C73" s="73" t="s">
        <v>198</v>
      </c>
      <c r="D73" s="73" t="s">
        <v>199</v>
      </c>
      <c r="E73" s="73" t="s">
        <v>66</v>
      </c>
      <c r="F73" s="16"/>
    </row>
    <row r="74" spans="1:6" x14ac:dyDescent="0.25">
      <c r="A74" s="16" t="s">
        <v>196</v>
      </c>
      <c r="B74" s="16">
        <v>12</v>
      </c>
      <c r="C74" s="74">
        <f>12*1950000</f>
        <v>23400000</v>
      </c>
      <c r="D74" s="75">
        <f>C90</f>
        <v>46841600</v>
      </c>
      <c r="E74" s="74">
        <f>C74+D74</f>
        <v>70241600</v>
      </c>
      <c r="F74" s="16"/>
    </row>
    <row r="75" spans="1:6" x14ac:dyDescent="0.25">
      <c r="A75" s="16" t="s">
        <v>66</v>
      </c>
      <c r="B75" s="16">
        <f>SUM(B74:B74)</f>
        <v>12</v>
      </c>
      <c r="C75" s="74">
        <f>SUM(C74:C74)</f>
        <v>23400000</v>
      </c>
      <c r="D75" s="74">
        <f>SUM(D74)</f>
        <v>46841600</v>
      </c>
      <c r="E75" s="74">
        <f>SUM(E74:E74)</f>
        <v>70241600</v>
      </c>
      <c r="F75" s="16"/>
    </row>
    <row r="77" spans="1:6" x14ac:dyDescent="0.25">
      <c r="A77" s="73" t="s">
        <v>197</v>
      </c>
      <c r="B77" s="73" t="s">
        <v>193</v>
      </c>
      <c r="C77" s="73" t="s">
        <v>191</v>
      </c>
      <c r="D77" s="73" t="s">
        <v>192</v>
      </c>
    </row>
    <row r="78" spans="1:6" x14ac:dyDescent="0.25">
      <c r="A78" s="16" t="s">
        <v>159</v>
      </c>
      <c r="B78" s="74">
        <v>5250200</v>
      </c>
      <c r="C78" s="74">
        <f>IF((B78-1950000)&lt;0,0,(B78-1950000))</f>
        <v>3300200</v>
      </c>
      <c r="D78">
        <v>0</v>
      </c>
    </row>
    <row r="79" spans="1:6" x14ac:dyDescent="0.25">
      <c r="A79" s="16" t="s">
        <v>160</v>
      </c>
      <c r="B79" s="74">
        <v>4996300</v>
      </c>
      <c r="C79" s="74">
        <f t="shared" ref="C79:C89" si="4">IF((B79-1950000)&lt;0,0,(B79-1950000))</f>
        <v>3046300</v>
      </c>
      <c r="D79" s="16">
        <v>0</v>
      </c>
    </row>
    <row r="80" spans="1:6" x14ac:dyDescent="0.25">
      <c r="A80" s="16" t="s">
        <v>161</v>
      </c>
      <c r="B80" s="74">
        <v>5312700</v>
      </c>
      <c r="C80" s="74">
        <f t="shared" si="4"/>
        <v>3362700</v>
      </c>
      <c r="D80" s="16">
        <v>0</v>
      </c>
    </row>
    <row r="81" spans="1:6" x14ac:dyDescent="0.25">
      <c r="A81" s="16" t="s">
        <v>162</v>
      </c>
      <c r="B81" s="74">
        <v>4858300</v>
      </c>
      <c r="C81" s="74">
        <f t="shared" si="4"/>
        <v>2908300</v>
      </c>
      <c r="D81" s="16">
        <v>0</v>
      </c>
    </row>
    <row r="82" spans="1:6" x14ac:dyDescent="0.25">
      <c r="A82" s="16" t="s">
        <v>163</v>
      </c>
      <c r="B82" s="74">
        <v>4615500</v>
      </c>
      <c r="C82" s="74">
        <f t="shared" si="4"/>
        <v>2665500</v>
      </c>
      <c r="D82" s="16">
        <v>0</v>
      </c>
    </row>
    <row r="83" spans="1:6" x14ac:dyDescent="0.25">
      <c r="A83" s="16" t="s">
        <v>164</v>
      </c>
      <c r="B83" s="74">
        <v>5739000</v>
      </c>
      <c r="C83" s="74">
        <f t="shared" si="4"/>
        <v>3789000</v>
      </c>
      <c r="D83" s="16">
        <v>0</v>
      </c>
    </row>
    <row r="84" spans="1:6" x14ac:dyDescent="0.25">
      <c r="A84" s="16" t="s">
        <v>165</v>
      </c>
      <c r="B84" s="74">
        <v>6426200</v>
      </c>
      <c r="C84" s="74">
        <f t="shared" si="4"/>
        <v>4476200</v>
      </c>
      <c r="D84" s="16">
        <v>0</v>
      </c>
    </row>
    <row r="85" spans="1:6" x14ac:dyDescent="0.25">
      <c r="A85" s="16" t="s">
        <v>166</v>
      </c>
      <c r="B85" s="74">
        <v>6762200</v>
      </c>
      <c r="C85" s="74">
        <f t="shared" si="4"/>
        <v>4812200</v>
      </c>
      <c r="D85" s="16">
        <v>0</v>
      </c>
    </row>
    <row r="86" spans="1:6" x14ac:dyDescent="0.25">
      <c r="A86" s="16" t="s">
        <v>167</v>
      </c>
      <c r="B86" s="74">
        <v>5799500</v>
      </c>
      <c r="C86" s="74">
        <f t="shared" si="4"/>
        <v>3849500</v>
      </c>
      <c r="D86" s="16">
        <v>0</v>
      </c>
    </row>
    <row r="87" spans="1:6" x14ac:dyDescent="0.25">
      <c r="A87" s="16" t="s">
        <v>168</v>
      </c>
      <c r="B87" s="74">
        <v>5807700</v>
      </c>
      <c r="C87" s="74">
        <f t="shared" si="4"/>
        <v>3857700</v>
      </c>
      <c r="D87" s="16">
        <v>0</v>
      </c>
    </row>
    <row r="88" spans="1:6" x14ac:dyDescent="0.25">
      <c r="A88" s="16" t="s">
        <v>169</v>
      </c>
      <c r="B88" s="74">
        <v>7139200</v>
      </c>
      <c r="C88" s="74">
        <f t="shared" si="4"/>
        <v>5189200</v>
      </c>
      <c r="D88" s="16">
        <v>0</v>
      </c>
    </row>
    <row r="89" spans="1:6" x14ac:dyDescent="0.25">
      <c r="A89" s="16" t="s">
        <v>170</v>
      </c>
      <c r="B89" s="74">
        <v>7534800</v>
      </c>
      <c r="C89" s="74">
        <f t="shared" si="4"/>
        <v>5584800</v>
      </c>
      <c r="D89" s="16">
        <v>0</v>
      </c>
    </row>
    <row r="90" spans="1:6" x14ac:dyDescent="0.25">
      <c r="B90" s="75">
        <f>SUM(B78:B89)</f>
        <v>70241600</v>
      </c>
      <c r="C90" s="74">
        <f>SUM(C78:C89)</f>
        <v>46841600</v>
      </c>
    </row>
    <row r="94" spans="1:6" x14ac:dyDescent="0.25">
      <c r="A94" s="161" t="s">
        <v>185</v>
      </c>
      <c r="B94" s="163"/>
      <c r="C94" s="163"/>
      <c r="D94" s="163"/>
      <c r="E94" s="163"/>
      <c r="F94" s="163"/>
    </row>
    <row r="95" spans="1:6" x14ac:dyDescent="0.25">
      <c r="A95" s="73"/>
      <c r="B95" s="73" t="s">
        <v>171</v>
      </c>
      <c r="C95" s="73" t="s">
        <v>182</v>
      </c>
      <c r="D95" s="161" t="s">
        <v>184</v>
      </c>
      <c r="E95" s="161"/>
      <c r="F95" s="73" t="s">
        <v>200</v>
      </c>
    </row>
    <row r="96" spans="1:6" x14ac:dyDescent="0.25">
      <c r="A96" t="s">
        <v>172</v>
      </c>
      <c r="B96" s="147">
        <f>B39</f>
        <v>74272</v>
      </c>
      <c r="C96" s="75">
        <f>C39</f>
        <v>121325400</v>
      </c>
      <c r="D96" s="77">
        <v>21.98</v>
      </c>
      <c r="E96" s="16" t="s">
        <v>201</v>
      </c>
      <c r="F96" s="17">
        <f>B96*D96</f>
        <v>1632498.56</v>
      </c>
    </row>
    <row r="97" spans="1:6" x14ac:dyDescent="0.25">
      <c r="A97" t="s">
        <v>173</v>
      </c>
      <c r="B97" s="74"/>
      <c r="C97" s="74">
        <f>D38</f>
        <v>186586300</v>
      </c>
      <c r="D97" s="78">
        <v>7.2899999999999996E-3</v>
      </c>
      <c r="E97" s="16" t="s">
        <v>204</v>
      </c>
      <c r="F97" s="17">
        <f>C97*D97</f>
        <v>1360214.1269999999</v>
      </c>
    </row>
    <row r="98" spans="1:6" x14ac:dyDescent="0.25">
      <c r="A98" t="s">
        <v>66</v>
      </c>
      <c r="C98" s="75">
        <f>SUM(C96:C97)</f>
        <v>307911700</v>
      </c>
      <c r="F98" s="50">
        <f>SUM(F96:F97)</f>
        <v>2992712.6869999999</v>
      </c>
    </row>
    <row r="100" spans="1:6" x14ac:dyDescent="0.25">
      <c r="A100" s="161" t="s">
        <v>208</v>
      </c>
      <c r="B100" s="163"/>
      <c r="C100" s="163"/>
      <c r="D100" s="163"/>
      <c r="E100" s="163"/>
      <c r="F100" s="163"/>
    </row>
    <row r="101" spans="1:6" x14ac:dyDescent="0.25">
      <c r="A101" s="73"/>
      <c r="B101" s="73" t="s">
        <v>171</v>
      </c>
      <c r="C101" s="73" t="s">
        <v>182</v>
      </c>
      <c r="D101" s="161" t="s">
        <v>184</v>
      </c>
      <c r="E101" s="161"/>
      <c r="F101" s="73" t="s">
        <v>200</v>
      </c>
    </row>
    <row r="102" spans="1:6" x14ac:dyDescent="0.25">
      <c r="A102" s="16" t="s">
        <v>203</v>
      </c>
      <c r="B102" s="75">
        <f>B47</f>
        <v>12</v>
      </c>
      <c r="C102" s="75">
        <f>C47</f>
        <v>10129900</v>
      </c>
      <c r="D102" s="79">
        <v>3.7599999999999999E-3</v>
      </c>
      <c r="E102" s="16" t="s">
        <v>204</v>
      </c>
      <c r="F102" s="17">
        <f>C102*D102</f>
        <v>38088.423999999999</v>
      </c>
    </row>
    <row r="103" spans="1:6" x14ac:dyDescent="0.25">
      <c r="A103" s="16"/>
      <c r="B103" s="16"/>
      <c r="C103" s="16"/>
      <c r="D103" s="16"/>
      <c r="E103" s="16"/>
      <c r="F103" s="16"/>
    </row>
    <row r="105" spans="1:6" x14ac:dyDescent="0.25">
      <c r="A105" s="154" t="s">
        <v>205</v>
      </c>
      <c r="B105" s="154"/>
      <c r="C105" s="154"/>
      <c r="D105" s="154"/>
      <c r="E105" s="154"/>
      <c r="F105" s="154"/>
    </row>
    <row r="106" spans="1:6" x14ac:dyDescent="0.25">
      <c r="B106" t="s">
        <v>171</v>
      </c>
      <c r="C106" t="s">
        <v>182</v>
      </c>
      <c r="D106" t="s">
        <v>184</v>
      </c>
      <c r="F106" t="s">
        <v>200</v>
      </c>
    </row>
    <row r="107" spans="1:6" x14ac:dyDescent="0.25">
      <c r="A107" t="s">
        <v>188</v>
      </c>
      <c r="B107">
        <v>12</v>
      </c>
      <c r="C107" s="74">
        <f>C53</f>
        <v>6976600</v>
      </c>
      <c r="D107" s="17">
        <v>2808</v>
      </c>
      <c r="E107" t="s">
        <v>201</v>
      </c>
      <c r="F107" s="50">
        <f>12*D107</f>
        <v>33696</v>
      </c>
    </row>
    <row r="108" spans="1:6" x14ac:dyDescent="0.25">
      <c r="A108" t="s">
        <v>206</v>
      </c>
      <c r="C108" s="75">
        <f>D53</f>
        <v>2499900</v>
      </c>
      <c r="D108">
        <v>4.5900000000000003E-3</v>
      </c>
      <c r="E108" t="s">
        <v>204</v>
      </c>
      <c r="F108" s="15">
        <f>C108*D108</f>
        <v>11474.541000000001</v>
      </c>
    </row>
    <row r="109" spans="1:6" x14ac:dyDescent="0.25">
      <c r="A109" t="s">
        <v>66</v>
      </c>
      <c r="C109" s="75">
        <f>SUM(C107:C108)</f>
        <v>9476500</v>
      </c>
      <c r="F109" s="50">
        <f>SUM(F107:F108)</f>
        <v>45170.540999999997</v>
      </c>
    </row>
    <row r="111" spans="1:6" x14ac:dyDescent="0.25">
      <c r="A111" s="154" t="s">
        <v>194</v>
      </c>
      <c r="B111" s="154"/>
      <c r="C111" s="154"/>
      <c r="D111" s="154"/>
      <c r="E111" s="154"/>
      <c r="F111" s="154"/>
    </row>
    <row r="112" spans="1:6" x14ac:dyDescent="0.25">
      <c r="A112" s="16"/>
      <c r="B112" s="73" t="s">
        <v>171</v>
      </c>
      <c r="C112" s="73" t="s">
        <v>182</v>
      </c>
      <c r="D112" s="73" t="s">
        <v>184</v>
      </c>
      <c r="E112" s="73"/>
      <c r="F112" s="73" t="s">
        <v>200</v>
      </c>
    </row>
    <row r="113" spans="1:6" x14ac:dyDescent="0.25">
      <c r="A113" s="16" t="s">
        <v>195</v>
      </c>
      <c r="B113" s="7">
        <v>12</v>
      </c>
      <c r="C113" s="75">
        <f>C74</f>
        <v>23400000</v>
      </c>
      <c r="D113" s="17">
        <v>14215.5</v>
      </c>
      <c r="E113" s="16" t="s">
        <v>201</v>
      </c>
      <c r="F113" s="50">
        <f>12*D113</f>
        <v>170586</v>
      </c>
    </row>
    <row r="114" spans="1:6" x14ac:dyDescent="0.25">
      <c r="A114" s="16" t="s">
        <v>207</v>
      </c>
      <c r="B114" s="16"/>
      <c r="C114" s="75">
        <f>D74</f>
        <v>46841600</v>
      </c>
      <c r="D114" s="16">
        <v>7.2899999999999996E-3</v>
      </c>
      <c r="E114" s="16" t="s">
        <v>204</v>
      </c>
      <c r="F114" s="17">
        <f>C114*D114</f>
        <v>341475.26399999997</v>
      </c>
    </row>
    <row r="115" spans="1:6" x14ac:dyDescent="0.25">
      <c r="A115" t="s">
        <v>66</v>
      </c>
      <c r="C115" s="75">
        <f>SUM(C113:C114)</f>
        <v>70241600</v>
      </c>
      <c r="F115" s="50">
        <f>SUM(F113:F114)</f>
        <v>512061.26399999997</v>
      </c>
    </row>
    <row r="117" spans="1:6" x14ac:dyDescent="0.25">
      <c r="A117" t="s">
        <v>66</v>
      </c>
      <c r="B117" s="75">
        <f>B96+B102+B107+B113</f>
        <v>74308</v>
      </c>
      <c r="C117" s="75">
        <f>C98+C102+C109+C115</f>
        <v>397759700</v>
      </c>
      <c r="F117" s="50">
        <f>F98+F102+F109+F115</f>
        <v>3588032.9160000002</v>
      </c>
    </row>
  </sheetData>
  <mergeCells count="12">
    <mergeCell ref="B29:M29"/>
    <mergeCell ref="B16:M16"/>
    <mergeCell ref="A35:F35"/>
    <mergeCell ref="A72:F72"/>
    <mergeCell ref="A41:E41"/>
    <mergeCell ref="A111:F111"/>
    <mergeCell ref="A49:F49"/>
    <mergeCell ref="D95:E95"/>
    <mergeCell ref="A94:F94"/>
    <mergeCell ref="A100:F100"/>
    <mergeCell ref="D101:E101"/>
    <mergeCell ref="A105:F10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18404-9E47-4387-8336-C08B18085312}">
  <dimension ref="A1:N118"/>
  <sheetViews>
    <sheetView topLeftCell="A88" workbookViewId="0">
      <selection activeCell="G109" sqref="G109"/>
    </sheetView>
  </sheetViews>
  <sheetFormatPr defaultRowHeight="15" x14ac:dyDescent="0.25"/>
  <cols>
    <col min="1" max="2" width="22.5703125" style="16" customWidth="1"/>
    <col min="3" max="3" width="14.28515625" style="16" bestFit="1" customWidth="1"/>
    <col min="4" max="4" width="15" style="16" customWidth="1"/>
    <col min="5" max="6" width="14.28515625" style="16" bestFit="1" customWidth="1"/>
    <col min="7" max="9" width="13.28515625" style="16" bestFit="1" customWidth="1"/>
    <col min="10" max="11" width="12.85546875" style="16" customWidth="1"/>
    <col min="12" max="12" width="11.28515625" style="16" customWidth="1"/>
    <col min="13" max="13" width="11.7109375" style="16" customWidth="1"/>
    <col min="14" max="14" width="27.140625" style="16" customWidth="1"/>
    <col min="15" max="16384" width="9.140625" style="16"/>
  </cols>
  <sheetData>
    <row r="1" spans="1:13" x14ac:dyDescent="0.25">
      <c r="A1" s="73" t="s">
        <v>157</v>
      </c>
      <c r="B1" s="73" t="s">
        <v>158</v>
      </c>
      <c r="C1" s="73" t="s">
        <v>171</v>
      </c>
    </row>
    <row r="2" spans="1:13" x14ac:dyDescent="0.25">
      <c r="A2" s="16" t="s">
        <v>159</v>
      </c>
      <c r="B2" s="74">
        <v>30268400</v>
      </c>
      <c r="C2" s="74">
        <v>6159</v>
      </c>
    </row>
    <row r="3" spans="1:13" x14ac:dyDescent="0.25">
      <c r="A3" s="16" t="s">
        <v>160</v>
      </c>
      <c r="B3" s="74">
        <v>27925900</v>
      </c>
      <c r="C3" s="74">
        <v>6153</v>
      </c>
    </row>
    <row r="4" spans="1:13" x14ac:dyDescent="0.25">
      <c r="A4" s="16" t="s">
        <v>161</v>
      </c>
      <c r="B4" s="74">
        <v>30236000</v>
      </c>
      <c r="C4" s="74">
        <v>6139</v>
      </c>
    </row>
    <row r="5" spans="1:13" x14ac:dyDescent="0.25">
      <c r="A5" s="16" t="s">
        <v>162</v>
      </c>
      <c r="B5" s="74">
        <v>26744700</v>
      </c>
      <c r="C5" s="74">
        <v>6138</v>
      </c>
    </row>
    <row r="6" spans="1:13" x14ac:dyDescent="0.25">
      <c r="A6" s="16" t="s">
        <v>163</v>
      </c>
      <c r="B6" s="74">
        <v>29854500</v>
      </c>
      <c r="C6" s="74">
        <v>6155</v>
      </c>
    </row>
    <row r="7" spans="1:13" x14ac:dyDescent="0.25">
      <c r="A7" s="16" t="s">
        <v>164</v>
      </c>
      <c r="B7" s="74">
        <v>35014000</v>
      </c>
      <c r="C7" s="74">
        <v>6181</v>
      </c>
    </row>
    <row r="8" spans="1:13" x14ac:dyDescent="0.25">
      <c r="A8" s="16" t="s">
        <v>165</v>
      </c>
      <c r="B8" s="74">
        <v>39010700</v>
      </c>
      <c r="C8" s="74">
        <v>6214</v>
      </c>
    </row>
    <row r="9" spans="1:13" x14ac:dyDescent="0.25">
      <c r="A9" s="16" t="s">
        <v>166</v>
      </c>
      <c r="B9" s="74">
        <v>38854000</v>
      </c>
      <c r="C9" s="74">
        <v>6224</v>
      </c>
    </row>
    <row r="10" spans="1:13" x14ac:dyDescent="0.25">
      <c r="A10" s="16" t="s">
        <v>167</v>
      </c>
      <c r="B10" s="74">
        <v>35712800</v>
      </c>
      <c r="C10" s="74">
        <v>6235</v>
      </c>
    </row>
    <row r="11" spans="1:13" x14ac:dyDescent="0.25">
      <c r="A11" s="16" t="s">
        <v>168</v>
      </c>
      <c r="B11" s="74">
        <v>34623100</v>
      </c>
      <c r="C11" s="74">
        <v>6237</v>
      </c>
    </row>
    <row r="12" spans="1:13" x14ac:dyDescent="0.25">
      <c r="A12" s="16" t="s">
        <v>169</v>
      </c>
      <c r="B12" s="74">
        <v>32336000</v>
      </c>
      <c r="C12" s="74">
        <v>6234</v>
      </c>
    </row>
    <row r="13" spans="1:13" x14ac:dyDescent="0.25">
      <c r="A13" s="16" t="s">
        <v>170</v>
      </c>
      <c r="B13" s="74">
        <v>37179600</v>
      </c>
      <c r="C13" s="74">
        <v>6239</v>
      </c>
    </row>
    <row r="14" spans="1:13" x14ac:dyDescent="0.25">
      <c r="B14" s="75">
        <f>SUM(B2:B13)</f>
        <v>397759700</v>
      </c>
      <c r="C14" s="74">
        <f>SUM(C2:C13)</f>
        <v>74308</v>
      </c>
    </row>
    <row r="15" spans="1:13" x14ac:dyDescent="0.25">
      <c r="B15" s="75"/>
      <c r="C15" s="74"/>
    </row>
    <row r="16" spans="1:13" x14ac:dyDescent="0.25">
      <c r="B16" s="155" t="s">
        <v>181</v>
      </c>
      <c r="C16" s="155"/>
      <c r="D16" s="155"/>
      <c r="E16" s="155"/>
      <c r="F16" s="155"/>
      <c r="G16" s="155"/>
      <c r="H16" s="155"/>
      <c r="I16" s="155"/>
      <c r="J16" s="155"/>
      <c r="K16" s="155"/>
      <c r="L16" s="155"/>
      <c r="M16" s="155"/>
    </row>
    <row r="17" spans="1:14" x14ac:dyDescent="0.25">
      <c r="B17" s="73" t="s">
        <v>159</v>
      </c>
      <c r="C17" s="73" t="s">
        <v>160</v>
      </c>
      <c r="D17" s="73" t="s">
        <v>161</v>
      </c>
      <c r="E17" s="73" t="s">
        <v>162</v>
      </c>
      <c r="F17" s="73" t="s">
        <v>163</v>
      </c>
      <c r="G17" s="73" t="s">
        <v>164</v>
      </c>
      <c r="H17" s="73" t="s">
        <v>165</v>
      </c>
      <c r="I17" s="73" t="s">
        <v>166</v>
      </c>
      <c r="J17" s="73" t="s">
        <v>167</v>
      </c>
      <c r="K17" s="73" t="s">
        <v>168</v>
      </c>
      <c r="L17" s="73" t="s">
        <v>169</v>
      </c>
      <c r="M17" s="73" t="s">
        <v>170</v>
      </c>
    </row>
    <row r="18" spans="1:14" x14ac:dyDescent="0.25">
      <c r="A18" s="16" t="s">
        <v>172</v>
      </c>
      <c r="B18" s="74">
        <v>2062900</v>
      </c>
      <c r="C18" s="74">
        <v>2382700</v>
      </c>
      <c r="D18" s="74">
        <v>2159000</v>
      </c>
      <c r="E18" s="74">
        <v>2529200</v>
      </c>
      <c r="F18" s="74">
        <v>2016100</v>
      </c>
      <c r="G18" s="74">
        <v>2071000</v>
      </c>
      <c r="H18" s="74">
        <v>1901000</v>
      </c>
      <c r="I18" s="74">
        <v>1934300</v>
      </c>
      <c r="J18" s="74">
        <v>2162100</v>
      </c>
      <c r="K18" s="74">
        <v>2085000</v>
      </c>
      <c r="L18" s="74">
        <v>2389500</v>
      </c>
      <c r="M18" s="74">
        <v>1792600</v>
      </c>
      <c r="N18" s="75">
        <f>SUM(B18:M18)</f>
        <v>25485400</v>
      </c>
    </row>
    <row r="19" spans="1:14" x14ac:dyDescent="0.25">
      <c r="A19" s="16" t="s">
        <v>173</v>
      </c>
      <c r="B19" s="75">
        <f>B2-B18</f>
        <v>28205500</v>
      </c>
      <c r="C19" s="75">
        <f>B3-C18</f>
        <v>25543200</v>
      </c>
      <c r="D19" s="75">
        <f>B4-D18</f>
        <v>28077000</v>
      </c>
      <c r="E19" s="75">
        <f>B5-E18</f>
        <v>24215500</v>
      </c>
      <c r="F19" s="75">
        <f>B6-F18</f>
        <v>27838400</v>
      </c>
      <c r="G19" s="75">
        <f>B7-G18</f>
        <v>32943000</v>
      </c>
      <c r="H19" s="75">
        <f>B8-H18</f>
        <v>37109700</v>
      </c>
      <c r="I19" s="75">
        <f>B9-I18</f>
        <v>36919700</v>
      </c>
      <c r="J19" s="75">
        <f>B10-J18</f>
        <v>33550700</v>
      </c>
      <c r="K19" s="75">
        <f>B11-K18</f>
        <v>32538100</v>
      </c>
      <c r="L19" s="75">
        <f>B12-L18</f>
        <v>29946500</v>
      </c>
      <c r="M19" s="75">
        <f>B13-M18</f>
        <v>35387000</v>
      </c>
      <c r="N19" s="75">
        <f>SUM(B19:M19)</f>
        <v>372274300</v>
      </c>
    </row>
    <row r="21" spans="1:14" x14ac:dyDescent="0.25">
      <c r="A21" s="16" t="s">
        <v>174</v>
      </c>
      <c r="B21" s="74">
        <v>5250200</v>
      </c>
      <c r="C21" s="74">
        <v>4996300</v>
      </c>
      <c r="D21" s="74">
        <v>5312700</v>
      </c>
      <c r="E21" s="74">
        <v>4858300</v>
      </c>
      <c r="F21" s="74">
        <v>4615500</v>
      </c>
      <c r="G21" s="74">
        <v>5739000</v>
      </c>
      <c r="H21" s="74">
        <v>6426200</v>
      </c>
      <c r="I21" s="74">
        <v>6762200</v>
      </c>
      <c r="J21" s="74">
        <v>5799500</v>
      </c>
      <c r="K21" s="74">
        <v>5807700</v>
      </c>
      <c r="L21" s="74">
        <v>7139200</v>
      </c>
      <c r="M21" s="74">
        <v>7534800</v>
      </c>
      <c r="N21" s="75">
        <f t="shared" ref="N21:N26" si="0">SUM(B21:M21)</f>
        <v>70241600</v>
      </c>
    </row>
    <row r="22" spans="1:14" x14ac:dyDescent="0.25">
      <c r="A22" s="16" t="s">
        <v>175</v>
      </c>
      <c r="B22" s="74">
        <v>709500</v>
      </c>
      <c r="C22" s="74">
        <v>504400</v>
      </c>
      <c r="D22" s="74">
        <v>574400</v>
      </c>
      <c r="E22" s="74">
        <v>591300</v>
      </c>
      <c r="F22" s="74">
        <v>506500</v>
      </c>
      <c r="G22" s="74">
        <v>659800</v>
      </c>
      <c r="H22" s="74">
        <v>1091800</v>
      </c>
      <c r="I22" s="74">
        <v>1268500</v>
      </c>
      <c r="J22" s="74">
        <v>1243500</v>
      </c>
      <c r="K22" s="74">
        <v>828900</v>
      </c>
      <c r="L22" s="74">
        <v>679600</v>
      </c>
      <c r="M22" s="74">
        <v>818300</v>
      </c>
      <c r="N22" s="75">
        <f t="shared" si="0"/>
        <v>9476500</v>
      </c>
    </row>
    <row r="23" spans="1:14" x14ac:dyDescent="0.25">
      <c r="A23" s="16" t="s">
        <v>176</v>
      </c>
      <c r="B23" s="74">
        <v>777400</v>
      </c>
      <c r="C23" s="74">
        <v>833400</v>
      </c>
      <c r="D23" s="74">
        <v>956600</v>
      </c>
      <c r="E23" s="74">
        <v>632600</v>
      </c>
      <c r="F23" s="74">
        <v>647400</v>
      </c>
      <c r="G23" s="74">
        <v>784100</v>
      </c>
      <c r="H23" s="74">
        <v>752700</v>
      </c>
      <c r="I23" s="74">
        <v>669500</v>
      </c>
      <c r="J23" s="74">
        <v>831200</v>
      </c>
      <c r="K23" s="74">
        <v>839400</v>
      </c>
      <c r="L23" s="74">
        <v>1156000</v>
      </c>
      <c r="M23" s="74">
        <v>1249600</v>
      </c>
      <c r="N23" s="75">
        <f t="shared" si="0"/>
        <v>10129900</v>
      </c>
    </row>
    <row r="24" spans="1:14" x14ac:dyDescent="0.25">
      <c r="A24" s="16" t="s">
        <v>209</v>
      </c>
      <c r="B24" s="16">
        <v>209900</v>
      </c>
      <c r="C24" s="16">
        <v>178400</v>
      </c>
      <c r="D24" s="16">
        <v>177800</v>
      </c>
      <c r="E24" s="16">
        <v>187000</v>
      </c>
      <c r="F24" s="16">
        <v>178900</v>
      </c>
      <c r="G24" s="16">
        <v>208100</v>
      </c>
      <c r="H24" s="16">
        <v>224900</v>
      </c>
      <c r="I24" s="16">
        <v>355500</v>
      </c>
      <c r="J24" s="16">
        <v>384300</v>
      </c>
      <c r="K24" s="16">
        <v>286300</v>
      </c>
      <c r="L24" s="16">
        <v>196800</v>
      </c>
      <c r="M24" s="16">
        <v>261900</v>
      </c>
      <c r="N24" s="75">
        <f t="shared" si="0"/>
        <v>2849800</v>
      </c>
    </row>
    <row r="25" spans="1:14" x14ac:dyDescent="0.25">
      <c r="A25" s="16" t="s">
        <v>210</v>
      </c>
      <c r="B25" s="29">
        <v>49400</v>
      </c>
      <c r="C25" s="74">
        <v>271500</v>
      </c>
      <c r="D25" s="74">
        <v>422700</v>
      </c>
      <c r="E25" s="74">
        <v>397500</v>
      </c>
      <c r="F25" s="74">
        <v>400300</v>
      </c>
      <c r="G25" s="74">
        <v>505800</v>
      </c>
      <c r="H25" s="74">
        <v>696200</v>
      </c>
      <c r="I25" s="74">
        <v>570700</v>
      </c>
      <c r="J25" s="74">
        <v>521600</v>
      </c>
      <c r="K25" s="74">
        <v>930700</v>
      </c>
      <c r="L25" s="74">
        <v>501900</v>
      </c>
      <c r="M25" s="74">
        <v>429800</v>
      </c>
      <c r="N25" s="75">
        <f t="shared" si="0"/>
        <v>5698100</v>
      </c>
    </row>
    <row r="26" spans="1:14" x14ac:dyDescent="0.25">
      <c r="A26" s="16" t="s">
        <v>179</v>
      </c>
      <c r="B26" s="74">
        <v>443900</v>
      </c>
      <c r="C26" s="74">
        <v>642100</v>
      </c>
      <c r="D26" s="74">
        <v>584500</v>
      </c>
      <c r="E26" s="74">
        <v>373800</v>
      </c>
      <c r="F26" s="74">
        <v>361200</v>
      </c>
      <c r="G26" s="74">
        <v>359300</v>
      </c>
      <c r="H26" s="74">
        <v>297200</v>
      </c>
      <c r="I26" s="74">
        <v>257300</v>
      </c>
      <c r="J26" s="74">
        <v>208900</v>
      </c>
      <c r="K26" s="74">
        <v>155900</v>
      </c>
      <c r="L26" s="74">
        <v>290900</v>
      </c>
      <c r="M26" s="74">
        <v>353500</v>
      </c>
      <c r="N26" s="75">
        <f t="shared" si="0"/>
        <v>4328500</v>
      </c>
    </row>
    <row r="27" spans="1:14" x14ac:dyDescent="0.25">
      <c r="A27" s="16" t="s">
        <v>66</v>
      </c>
      <c r="B27" s="75">
        <f>SUM(B21:B26)</f>
        <v>7440300</v>
      </c>
      <c r="C27" s="75">
        <f t="shared" ref="C27:N27" si="1">SUM(C21:C26)</f>
        <v>7426100</v>
      </c>
      <c r="D27" s="75">
        <f t="shared" si="1"/>
        <v>8028700</v>
      </c>
      <c r="E27" s="75">
        <f t="shared" si="1"/>
        <v>7040500</v>
      </c>
      <c r="F27" s="75">
        <f t="shared" si="1"/>
        <v>6709800</v>
      </c>
      <c r="G27" s="75">
        <f t="shared" si="1"/>
        <v>8256100</v>
      </c>
      <c r="H27" s="75">
        <f t="shared" si="1"/>
        <v>9489000</v>
      </c>
      <c r="I27" s="75">
        <f t="shared" si="1"/>
        <v>9883700</v>
      </c>
      <c r="J27" s="75">
        <f t="shared" si="1"/>
        <v>8989000</v>
      </c>
      <c r="K27" s="75">
        <f t="shared" si="1"/>
        <v>8848900</v>
      </c>
      <c r="L27" s="75">
        <f t="shared" si="1"/>
        <v>9964400</v>
      </c>
      <c r="M27" s="75">
        <f t="shared" si="1"/>
        <v>10647900</v>
      </c>
      <c r="N27" s="75">
        <f t="shared" si="1"/>
        <v>102724400</v>
      </c>
    </row>
    <row r="28" spans="1:14" x14ac:dyDescent="0.25">
      <c r="B28" s="75"/>
      <c r="C28" s="75"/>
      <c r="D28" s="75"/>
      <c r="E28" s="75"/>
      <c r="F28" s="75"/>
      <c r="G28" s="75"/>
      <c r="H28" s="75"/>
      <c r="I28" s="75"/>
      <c r="J28" s="75"/>
      <c r="K28" s="75"/>
      <c r="L28" s="75"/>
      <c r="M28" s="75"/>
      <c r="N28" s="75"/>
    </row>
    <row r="29" spans="1:14" x14ac:dyDescent="0.25">
      <c r="B29" s="75"/>
      <c r="C29" s="75"/>
      <c r="D29" s="75"/>
      <c r="E29" s="75"/>
      <c r="F29" s="75"/>
      <c r="G29" s="75"/>
      <c r="H29" s="75"/>
      <c r="I29" s="75"/>
      <c r="J29" s="75"/>
      <c r="K29" s="75"/>
      <c r="L29" s="75"/>
      <c r="M29" s="75"/>
      <c r="N29" s="75"/>
    </row>
    <row r="30" spans="1:14" x14ac:dyDescent="0.25">
      <c r="B30" s="155" t="s">
        <v>180</v>
      </c>
      <c r="C30" s="155"/>
      <c r="D30" s="155"/>
      <c r="E30" s="155"/>
      <c r="F30" s="155"/>
      <c r="G30" s="155"/>
      <c r="H30" s="155"/>
      <c r="I30" s="155"/>
      <c r="J30" s="155"/>
      <c r="K30" s="155"/>
      <c r="L30" s="155"/>
      <c r="M30" s="155"/>
    </row>
    <row r="31" spans="1:14" x14ac:dyDescent="0.25">
      <c r="B31" s="73" t="s">
        <v>159</v>
      </c>
      <c r="C31" s="73" t="s">
        <v>160</v>
      </c>
      <c r="D31" s="73" t="s">
        <v>161</v>
      </c>
      <c r="E31" s="73" t="s">
        <v>162</v>
      </c>
      <c r="F31" s="73" t="s">
        <v>163</v>
      </c>
      <c r="G31" s="73" t="s">
        <v>164</v>
      </c>
      <c r="H31" s="73" t="s">
        <v>165</v>
      </c>
      <c r="I31" s="73" t="s">
        <v>166</v>
      </c>
      <c r="J31" s="73" t="s">
        <v>167</v>
      </c>
      <c r="K31" s="73" t="s">
        <v>168</v>
      </c>
      <c r="L31" s="73" t="s">
        <v>169</v>
      </c>
      <c r="M31" s="73" t="s">
        <v>170</v>
      </c>
    </row>
    <row r="32" spans="1:14" x14ac:dyDescent="0.25">
      <c r="A32" s="16" t="s">
        <v>172</v>
      </c>
      <c r="B32" s="74">
        <v>2167</v>
      </c>
      <c r="C32" s="74">
        <v>2478</v>
      </c>
      <c r="D32" s="74">
        <v>2242</v>
      </c>
      <c r="E32" s="74">
        <v>2557</v>
      </c>
      <c r="F32" s="74">
        <v>2281</v>
      </c>
      <c r="G32" s="74">
        <v>2136</v>
      </c>
      <c r="H32" s="74">
        <v>1962</v>
      </c>
      <c r="I32" s="74">
        <v>1943</v>
      </c>
      <c r="J32" s="74">
        <v>2160</v>
      </c>
      <c r="K32" s="74">
        <v>2118</v>
      </c>
      <c r="L32" s="74">
        <v>2399</v>
      </c>
      <c r="M32" s="74">
        <v>1909</v>
      </c>
      <c r="N32" s="75">
        <f>SUM(B32:M32)</f>
        <v>26352</v>
      </c>
    </row>
    <row r="33" spans="1:14" x14ac:dyDescent="0.25">
      <c r="A33" s="16" t="s">
        <v>173</v>
      </c>
      <c r="B33" s="75">
        <f>C2-B32</f>
        <v>3992</v>
      </c>
      <c r="C33" s="75">
        <f>C3-C32</f>
        <v>3675</v>
      </c>
      <c r="D33" s="75">
        <f>C4-D32</f>
        <v>3897</v>
      </c>
      <c r="E33" s="75">
        <f>C5-E32</f>
        <v>3581</v>
      </c>
      <c r="F33" s="75">
        <f>C6-F32</f>
        <v>3874</v>
      </c>
      <c r="G33" s="75">
        <f>C7-G32</f>
        <v>4045</v>
      </c>
      <c r="H33" s="75">
        <f>C8-H32</f>
        <v>4252</v>
      </c>
      <c r="I33" s="75">
        <f>C9-I32</f>
        <v>4281</v>
      </c>
      <c r="J33" s="75">
        <f>C10-J32</f>
        <v>4075</v>
      </c>
      <c r="K33" s="75">
        <f>C11-K32</f>
        <v>4119</v>
      </c>
      <c r="L33" s="75">
        <f>C12-L32</f>
        <v>3835</v>
      </c>
      <c r="M33" s="75">
        <f>C13-M32</f>
        <v>4330</v>
      </c>
      <c r="N33" s="75">
        <f>SUM(B33:M33)</f>
        <v>47956</v>
      </c>
    </row>
    <row r="36" spans="1:14" x14ac:dyDescent="0.25">
      <c r="A36" s="161" t="s">
        <v>185</v>
      </c>
      <c r="B36" s="161"/>
      <c r="C36" s="161"/>
      <c r="D36" s="161"/>
      <c r="E36" s="161"/>
      <c r="F36" s="161"/>
    </row>
    <row r="37" spans="1:14" x14ac:dyDescent="0.25">
      <c r="B37" s="73" t="s">
        <v>171</v>
      </c>
      <c r="C37" s="73" t="s">
        <v>182</v>
      </c>
      <c r="D37" s="73" t="s">
        <v>183</v>
      </c>
      <c r="E37" s="73" t="s">
        <v>66</v>
      </c>
    </row>
    <row r="38" spans="1:14" x14ac:dyDescent="0.25">
      <c r="A38" s="16" t="s">
        <v>172</v>
      </c>
      <c r="B38" s="75">
        <f>N32</f>
        <v>26352</v>
      </c>
      <c r="C38" s="75">
        <f>N18</f>
        <v>25485400</v>
      </c>
      <c r="D38" s="75"/>
      <c r="E38" s="75">
        <f>C38</f>
        <v>25485400</v>
      </c>
    </row>
    <row r="39" spans="1:14" x14ac:dyDescent="0.25">
      <c r="A39" s="16" t="s">
        <v>173</v>
      </c>
      <c r="B39" s="74">
        <f>N33-(6*12)</f>
        <v>47884</v>
      </c>
      <c r="C39" s="74">
        <f>B39*2000</f>
        <v>95768000</v>
      </c>
      <c r="D39" s="75">
        <f>N19-(N27+C39)</f>
        <v>173781900</v>
      </c>
      <c r="E39" s="75">
        <f>C39+D39</f>
        <v>269549900</v>
      </c>
    </row>
    <row r="40" spans="1:14" x14ac:dyDescent="0.25">
      <c r="B40" s="74">
        <f>SUM(B38:B39)</f>
        <v>74236</v>
      </c>
      <c r="C40" s="74">
        <f>SUM(C38:C39)</f>
        <v>121253400</v>
      </c>
      <c r="D40" s="75"/>
      <c r="E40" s="75">
        <f>SUM(E38:E39)</f>
        <v>295035300</v>
      </c>
      <c r="G40" s="8">
        <f>E39/B39</f>
        <v>5629.2268816306077</v>
      </c>
    </row>
    <row r="41" spans="1:14" x14ac:dyDescent="0.25">
      <c r="D41" s="75"/>
      <c r="F41" s="75"/>
    </row>
    <row r="42" spans="1:14" x14ac:dyDescent="0.25">
      <c r="A42" s="161" t="s">
        <v>186</v>
      </c>
      <c r="B42" s="161"/>
      <c r="C42" s="161"/>
      <c r="D42" s="161"/>
      <c r="E42" s="161"/>
      <c r="F42" s="73"/>
    </row>
    <row r="43" spans="1:14" x14ac:dyDescent="0.25">
      <c r="B43" s="73" t="s">
        <v>171</v>
      </c>
      <c r="C43" s="73" t="s">
        <v>182</v>
      </c>
      <c r="D43" s="73"/>
      <c r="E43" s="73" t="s">
        <v>66</v>
      </c>
      <c r="F43" s="7"/>
    </row>
    <row r="44" spans="1:14" x14ac:dyDescent="0.25">
      <c r="A44" s="16" t="s">
        <v>176</v>
      </c>
      <c r="B44" s="7">
        <v>12</v>
      </c>
      <c r="C44" s="75">
        <f>N23</f>
        <v>10129900</v>
      </c>
      <c r="D44" s="75"/>
      <c r="F44" s="75"/>
      <c r="G44" s="75">
        <f>C44/B44</f>
        <v>844158.33333333337</v>
      </c>
    </row>
    <row r="45" spans="1:14" x14ac:dyDescent="0.25">
      <c r="A45" s="16" t="s">
        <v>177</v>
      </c>
      <c r="B45" s="7">
        <v>24</v>
      </c>
      <c r="C45" s="75">
        <f>N24</f>
        <v>2849800</v>
      </c>
      <c r="E45" s="75"/>
      <c r="F45" s="75"/>
      <c r="G45" s="75">
        <f>C45/B45</f>
        <v>118741.66666666667</v>
      </c>
    </row>
    <row r="46" spans="1:14" x14ac:dyDescent="0.25">
      <c r="A46" s="16" t="s">
        <v>178</v>
      </c>
      <c r="B46" s="7">
        <v>24</v>
      </c>
      <c r="C46" s="75">
        <f>N25</f>
        <v>5698100</v>
      </c>
      <c r="F46" s="75"/>
      <c r="G46" s="75">
        <f>C46/B46</f>
        <v>237420.83333333334</v>
      </c>
    </row>
    <row r="47" spans="1:14" x14ac:dyDescent="0.25">
      <c r="A47" s="16" t="s">
        <v>179</v>
      </c>
      <c r="B47" s="7">
        <v>12</v>
      </c>
      <c r="C47" s="75">
        <f>N26</f>
        <v>4328500</v>
      </c>
      <c r="G47" s="75">
        <f>C47/B47</f>
        <v>360708.33333333331</v>
      </c>
    </row>
    <row r="48" spans="1:14" x14ac:dyDescent="0.25">
      <c r="A48" s="16" t="s">
        <v>66</v>
      </c>
      <c r="B48" s="7">
        <f>SUM(B44:B47)</f>
        <v>72</v>
      </c>
      <c r="C48" s="75">
        <f>SUM(C44:C47)</f>
        <v>23006300</v>
      </c>
      <c r="E48" s="75">
        <f>SUM(C44:C47)</f>
        <v>23006300</v>
      </c>
    </row>
    <row r="49" spans="1:7" x14ac:dyDescent="0.25">
      <c r="E49" s="75"/>
    </row>
    <row r="50" spans="1:7" x14ac:dyDescent="0.25">
      <c r="A50" s="161" t="s">
        <v>187</v>
      </c>
      <c r="B50" s="163"/>
      <c r="C50" s="163"/>
      <c r="D50" s="163"/>
      <c r="E50" s="163"/>
      <c r="F50" s="163"/>
    </row>
    <row r="51" spans="1:7" x14ac:dyDescent="0.25">
      <c r="B51" s="73" t="s">
        <v>171</v>
      </c>
      <c r="C51" s="73" t="s">
        <v>189</v>
      </c>
      <c r="D51" s="73" t="s">
        <v>190</v>
      </c>
      <c r="E51" s="73" t="s">
        <v>66</v>
      </c>
    </row>
    <row r="52" spans="1:7" x14ac:dyDescent="0.25">
      <c r="A52" s="16" t="s">
        <v>188</v>
      </c>
      <c r="B52" s="7">
        <v>4</v>
      </c>
      <c r="C52" s="74">
        <f>(4*600000)+D70</f>
        <v>2176600</v>
      </c>
      <c r="D52" s="74"/>
      <c r="E52" s="74">
        <f>C52</f>
        <v>2176600</v>
      </c>
    </row>
    <row r="53" spans="1:7" x14ac:dyDescent="0.25">
      <c r="A53" s="16" t="s">
        <v>206</v>
      </c>
      <c r="B53" s="7">
        <v>8</v>
      </c>
      <c r="C53" s="74">
        <f>8*600000</f>
        <v>4800000</v>
      </c>
      <c r="D53" s="74">
        <f>C70</f>
        <v>2499900</v>
      </c>
      <c r="E53" s="74">
        <f>C53+D53</f>
        <v>7299900</v>
      </c>
    </row>
    <row r="54" spans="1:7" x14ac:dyDescent="0.25">
      <c r="A54" s="16" t="s">
        <v>66</v>
      </c>
      <c r="B54" s="7">
        <f>SUM(B52:B53)</f>
        <v>12</v>
      </c>
      <c r="C54" s="74">
        <f>SUM(C52:C53)</f>
        <v>6976600</v>
      </c>
      <c r="D54" s="74">
        <f>SUM(D53)</f>
        <v>2499900</v>
      </c>
      <c r="E54" s="74">
        <f>SUM(E52:E53)</f>
        <v>9476500</v>
      </c>
      <c r="G54" s="75">
        <f>E54/B54</f>
        <v>789708.33333333337</v>
      </c>
    </row>
    <row r="57" spans="1:7" x14ac:dyDescent="0.25">
      <c r="A57" s="73" t="s">
        <v>197</v>
      </c>
      <c r="B57" s="73" t="s">
        <v>193</v>
      </c>
      <c r="C57" s="73" t="s">
        <v>191</v>
      </c>
      <c r="D57" s="73" t="s">
        <v>192</v>
      </c>
    </row>
    <row r="58" spans="1:7" x14ac:dyDescent="0.25">
      <c r="A58" s="16" t="s">
        <v>159</v>
      </c>
      <c r="B58" s="74">
        <v>709500</v>
      </c>
      <c r="C58" s="16">
        <f>IF((B58-600000)&lt;0,0,(B58-600000))</f>
        <v>109500</v>
      </c>
      <c r="D58" s="16">
        <f>IF((B58-600000)&gt;0,0,(B58-600000))</f>
        <v>0</v>
      </c>
    </row>
    <row r="59" spans="1:7" x14ac:dyDescent="0.25">
      <c r="A59" s="16" t="s">
        <v>160</v>
      </c>
      <c r="B59" s="74">
        <v>504400</v>
      </c>
      <c r="C59" s="16">
        <f t="shared" ref="C59:C69" si="2">IF((B59-600000)&lt;0,0,(B59-600000))</f>
        <v>0</v>
      </c>
      <c r="D59" s="16">
        <f t="shared" ref="D59:D69" si="3">IF((B59-600000)&gt;0,0,(B59-600000))</f>
        <v>-95600</v>
      </c>
    </row>
    <row r="60" spans="1:7" x14ac:dyDescent="0.25">
      <c r="A60" s="16" t="s">
        <v>161</v>
      </c>
      <c r="B60" s="74">
        <v>574400</v>
      </c>
      <c r="C60" s="16">
        <f t="shared" si="2"/>
        <v>0</v>
      </c>
      <c r="D60" s="16">
        <f t="shared" si="3"/>
        <v>-25600</v>
      </c>
    </row>
    <row r="61" spans="1:7" x14ac:dyDescent="0.25">
      <c r="A61" s="16" t="s">
        <v>162</v>
      </c>
      <c r="B61" s="74">
        <v>591300</v>
      </c>
      <c r="C61" s="16">
        <f t="shared" si="2"/>
        <v>0</v>
      </c>
      <c r="D61" s="16">
        <f t="shared" si="3"/>
        <v>-8700</v>
      </c>
    </row>
    <row r="62" spans="1:7" x14ac:dyDescent="0.25">
      <c r="A62" s="16" t="s">
        <v>163</v>
      </c>
      <c r="B62" s="74">
        <v>506500</v>
      </c>
      <c r="C62" s="16">
        <f t="shared" si="2"/>
        <v>0</v>
      </c>
      <c r="D62" s="16">
        <f t="shared" si="3"/>
        <v>-93500</v>
      </c>
    </row>
    <row r="63" spans="1:7" x14ac:dyDescent="0.25">
      <c r="A63" s="16" t="s">
        <v>164</v>
      </c>
      <c r="B63" s="74">
        <v>659800</v>
      </c>
      <c r="C63" s="16">
        <f t="shared" si="2"/>
        <v>59800</v>
      </c>
      <c r="D63" s="16">
        <f t="shared" si="3"/>
        <v>0</v>
      </c>
    </row>
    <row r="64" spans="1:7" x14ac:dyDescent="0.25">
      <c r="A64" s="16" t="s">
        <v>165</v>
      </c>
      <c r="B64" s="74">
        <v>1091800</v>
      </c>
      <c r="C64" s="16">
        <f t="shared" si="2"/>
        <v>491800</v>
      </c>
      <c r="D64" s="16">
        <f t="shared" si="3"/>
        <v>0</v>
      </c>
    </row>
    <row r="65" spans="1:7" x14ac:dyDescent="0.25">
      <c r="A65" s="16" t="s">
        <v>166</v>
      </c>
      <c r="B65" s="74">
        <v>1268500</v>
      </c>
      <c r="C65" s="16">
        <f t="shared" si="2"/>
        <v>668500</v>
      </c>
      <c r="D65" s="16">
        <f t="shared" si="3"/>
        <v>0</v>
      </c>
    </row>
    <row r="66" spans="1:7" x14ac:dyDescent="0.25">
      <c r="A66" s="16" t="s">
        <v>167</v>
      </c>
      <c r="B66" s="74">
        <v>1243500</v>
      </c>
      <c r="C66" s="16">
        <f t="shared" si="2"/>
        <v>643500</v>
      </c>
      <c r="D66" s="16">
        <f t="shared" si="3"/>
        <v>0</v>
      </c>
    </row>
    <row r="67" spans="1:7" x14ac:dyDescent="0.25">
      <c r="A67" s="16" t="s">
        <v>168</v>
      </c>
      <c r="B67" s="74">
        <v>828900</v>
      </c>
      <c r="C67" s="16">
        <f t="shared" si="2"/>
        <v>228900</v>
      </c>
      <c r="D67" s="16">
        <f t="shared" si="3"/>
        <v>0</v>
      </c>
    </row>
    <row r="68" spans="1:7" x14ac:dyDescent="0.25">
      <c r="A68" s="16" t="s">
        <v>169</v>
      </c>
      <c r="B68" s="74">
        <v>679600</v>
      </c>
      <c r="C68" s="16">
        <f t="shared" si="2"/>
        <v>79600</v>
      </c>
      <c r="D68" s="16">
        <f t="shared" si="3"/>
        <v>0</v>
      </c>
    </row>
    <row r="69" spans="1:7" x14ac:dyDescent="0.25">
      <c r="A69" s="16" t="s">
        <v>170</v>
      </c>
      <c r="B69" s="74">
        <v>818300</v>
      </c>
      <c r="C69" s="16">
        <f t="shared" si="2"/>
        <v>218300</v>
      </c>
      <c r="D69" s="16">
        <f t="shared" si="3"/>
        <v>0</v>
      </c>
    </row>
    <row r="70" spans="1:7" x14ac:dyDescent="0.25">
      <c r="B70" s="75">
        <f>SUM(B58:B69)</f>
        <v>9476500</v>
      </c>
      <c r="C70" s="16">
        <f>SUM(C58:C69)</f>
        <v>2499900</v>
      </c>
      <c r="D70" s="16">
        <f>SUM(D58:D69)</f>
        <v>-223400</v>
      </c>
    </row>
    <row r="73" spans="1:7" x14ac:dyDescent="0.25">
      <c r="A73" s="161" t="s">
        <v>194</v>
      </c>
      <c r="B73" s="161"/>
      <c r="C73" s="161"/>
      <c r="D73" s="161"/>
      <c r="E73" s="161"/>
      <c r="F73" s="161"/>
    </row>
    <row r="74" spans="1:7" x14ac:dyDescent="0.25">
      <c r="B74" s="73" t="s">
        <v>171</v>
      </c>
      <c r="C74" s="73" t="s">
        <v>198</v>
      </c>
      <c r="D74" s="73" t="s">
        <v>199</v>
      </c>
      <c r="E74" s="73" t="s">
        <v>66</v>
      </c>
    </row>
    <row r="75" spans="1:7" x14ac:dyDescent="0.25">
      <c r="A75" s="16" t="s">
        <v>196</v>
      </c>
      <c r="B75" s="16">
        <v>12</v>
      </c>
      <c r="C75" s="74">
        <f>12*1950000</f>
        <v>23400000</v>
      </c>
      <c r="D75" s="75">
        <f>C91</f>
        <v>46841600</v>
      </c>
      <c r="E75" s="74">
        <f>C75+D75</f>
        <v>70241600</v>
      </c>
    </row>
    <row r="76" spans="1:7" x14ac:dyDescent="0.25">
      <c r="A76" s="16" t="s">
        <v>66</v>
      </c>
      <c r="B76" s="16">
        <f>SUM(B75:B75)</f>
        <v>12</v>
      </c>
      <c r="C76" s="74">
        <f>SUM(C75:C75)</f>
        <v>23400000</v>
      </c>
      <c r="D76" s="74">
        <f>SUM(D75)</f>
        <v>46841600</v>
      </c>
      <c r="E76" s="74">
        <f>SUM(E75:E75)</f>
        <v>70241600</v>
      </c>
      <c r="G76" s="75">
        <f>E76/B76</f>
        <v>5853466.666666667</v>
      </c>
    </row>
    <row r="78" spans="1:7" x14ac:dyDescent="0.25">
      <c r="A78" s="73" t="s">
        <v>197</v>
      </c>
      <c r="B78" s="73" t="s">
        <v>193</v>
      </c>
      <c r="C78" s="73" t="s">
        <v>191</v>
      </c>
      <c r="D78" s="73" t="s">
        <v>192</v>
      </c>
    </row>
    <row r="79" spans="1:7" x14ac:dyDescent="0.25">
      <c r="A79" s="16" t="s">
        <v>159</v>
      </c>
      <c r="B79" s="74">
        <v>5250200</v>
      </c>
      <c r="C79" s="74">
        <f>IF((B79-1950000)&lt;0,0,(B79-1950000))</f>
        <v>3300200</v>
      </c>
      <c r="D79" s="16">
        <v>0</v>
      </c>
    </row>
    <row r="80" spans="1:7" x14ac:dyDescent="0.25">
      <c r="A80" s="16" t="s">
        <v>160</v>
      </c>
      <c r="B80" s="74">
        <v>4996300</v>
      </c>
      <c r="C80" s="74">
        <f t="shared" ref="C80:C90" si="4">IF((B80-1950000)&lt;0,0,(B80-1950000))</f>
        <v>3046300</v>
      </c>
      <c r="D80" s="16">
        <v>0</v>
      </c>
    </row>
    <row r="81" spans="1:6" x14ac:dyDescent="0.25">
      <c r="A81" s="16" t="s">
        <v>161</v>
      </c>
      <c r="B81" s="74">
        <v>5312700</v>
      </c>
      <c r="C81" s="74">
        <f t="shared" si="4"/>
        <v>3362700</v>
      </c>
      <c r="D81" s="16">
        <v>0</v>
      </c>
    </row>
    <row r="82" spans="1:6" x14ac:dyDescent="0.25">
      <c r="A82" s="16" t="s">
        <v>162</v>
      </c>
      <c r="B82" s="74">
        <v>4858300</v>
      </c>
      <c r="C82" s="74">
        <f t="shared" si="4"/>
        <v>2908300</v>
      </c>
      <c r="D82" s="16">
        <v>0</v>
      </c>
    </row>
    <row r="83" spans="1:6" x14ac:dyDescent="0.25">
      <c r="A83" s="16" t="s">
        <v>163</v>
      </c>
      <c r="B83" s="74">
        <v>4615500</v>
      </c>
      <c r="C83" s="74">
        <f t="shared" si="4"/>
        <v>2665500</v>
      </c>
      <c r="D83" s="16">
        <v>0</v>
      </c>
    </row>
    <row r="84" spans="1:6" x14ac:dyDescent="0.25">
      <c r="A84" s="16" t="s">
        <v>164</v>
      </c>
      <c r="B84" s="74">
        <v>5739000</v>
      </c>
      <c r="C84" s="74">
        <f t="shared" si="4"/>
        <v>3789000</v>
      </c>
      <c r="D84" s="16">
        <v>0</v>
      </c>
    </row>
    <row r="85" spans="1:6" x14ac:dyDescent="0.25">
      <c r="A85" s="16" t="s">
        <v>165</v>
      </c>
      <c r="B85" s="74">
        <v>6426200</v>
      </c>
      <c r="C85" s="74">
        <f t="shared" si="4"/>
        <v>4476200</v>
      </c>
      <c r="D85" s="16">
        <v>0</v>
      </c>
    </row>
    <row r="86" spans="1:6" x14ac:dyDescent="0.25">
      <c r="A86" s="16" t="s">
        <v>166</v>
      </c>
      <c r="B86" s="74">
        <v>6762200</v>
      </c>
      <c r="C86" s="74">
        <f t="shared" si="4"/>
        <v>4812200</v>
      </c>
      <c r="D86" s="16">
        <v>0</v>
      </c>
    </row>
    <row r="87" spans="1:6" x14ac:dyDescent="0.25">
      <c r="A87" s="16" t="s">
        <v>167</v>
      </c>
      <c r="B87" s="74">
        <v>5799500</v>
      </c>
      <c r="C87" s="74">
        <f t="shared" si="4"/>
        <v>3849500</v>
      </c>
      <c r="D87" s="16">
        <v>0</v>
      </c>
    </row>
    <row r="88" spans="1:6" x14ac:dyDescent="0.25">
      <c r="A88" s="16" t="s">
        <v>168</v>
      </c>
      <c r="B88" s="74">
        <v>5807700</v>
      </c>
      <c r="C88" s="74">
        <f t="shared" si="4"/>
        <v>3857700</v>
      </c>
      <c r="D88" s="16">
        <v>0</v>
      </c>
    </row>
    <row r="89" spans="1:6" x14ac:dyDescent="0.25">
      <c r="A89" s="16" t="s">
        <v>169</v>
      </c>
      <c r="B89" s="74">
        <v>7139200</v>
      </c>
      <c r="C89" s="74">
        <f t="shared" si="4"/>
        <v>5189200</v>
      </c>
      <c r="D89" s="16">
        <v>0</v>
      </c>
    </row>
    <row r="90" spans="1:6" x14ac:dyDescent="0.25">
      <c r="A90" s="16" t="s">
        <v>170</v>
      </c>
      <c r="B90" s="74">
        <v>7534800</v>
      </c>
      <c r="C90" s="74">
        <f t="shared" si="4"/>
        <v>5584800</v>
      </c>
      <c r="D90" s="16">
        <v>0</v>
      </c>
    </row>
    <row r="91" spans="1:6" x14ac:dyDescent="0.25">
      <c r="C91" s="74">
        <f>SUM(C79:C90)</f>
        <v>46841600</v>
      </c>
    </row>
    <row r="95" spans="1:6" x14ac:dyDescent="0.25">
      <c r="A95" s="161" t="s">
        <v>185</v>
      </c>
      <c r="B95" s="163"/>
      <c r="C95" s="163"/>
      <c r="D95" s="163"/>
      <c r="E95" s="163"/>
      <c r="F95" s="163"/>
    </row>
    <row r="96" spans="1:6" x14ac:dyDescent="0.25">
      <c r="A96" s="73"/>
      <c r="B96" s="73" t="s">
        <v>171</v>
      </c>
      <c r="C96" s="73" t="s">
        <v>182</v>
      </c>
      <c r="D96" s="161" t="s">
        <v>184</v>
      </c>
      <c r="E96" s="161"/>
      <c r="F96" s="73" t="s">
        <v>200</v>
      </c>
    </row>
    <row r="97" spans="1:6" x14ac:dyDescent="0.25">
      <c r="A97" s="16" t="s">
        <v>172</v>
      </c>
      <c r="B97" s="80">
        <f>B40</f>
        <v>74236</v>
      </c>
      <c r="C97" s="75">
        <f>C40</f>
        <v>121253400</v>
      </c>
      <c r="D97" s="77">
        <v>22.5</v>
      </c>
      <c r="E97" s="16" t="s">
        <v>201</v>
      </c>
      <c r="F97" s="17">
        <f>B97*D97</f>
        <v>1670310</v>
      </c>
    </row>
    <row r="98" spans="1:6" x14ac:dyDescent="0.25">
      <c r="A98" s="16" t="s">
        <v>173</v>
      </c>
      <c r="B98" s="74"/>
      <c r="C98" s="74">
        <f>D39</f>
        <v>173781900</v>
      </c>
      <c r="D98" s="78">
        <v>9.2499999999999995E-3</v>
      </c>
      <c r="E98" s="16" t="s">
        <v>204</v>
      </c>
      <c r="F98" s="17">
        <f>C98*D98</f>
        <v>1607482.575</v>
      </c>
    </row>
    <row r="99" spans="1:6" x14ac:dyDescent="0.25">
      <c r="A99" s="16" t="s">
        <v>66</v>
      </c>
      <c r="C99" s="75">
        <f>SUM(C97:C98)</f>
        <v>295035300</v>
      </c>
      <c r="F99" s="50">
        <f>SUM(F97:F98)</f>
        <v>3277792.5750000002</v>
      </c>
    </row>
    <row r="101" spans="1:6" x14ac:dyDescent="0.25">
      <c r="A101" s="161" t="s">
        <v>202</v>
      </c>
      <c r="B101" s="163"/>
      <c r="C101" s="163"/>
      <c r="D101" s="163"/>
      <c r="E101" s="163"/>
      <c r="F101" s="163"/>
    </row>
    <row r="102" spans="1:6" x14ac:dyDescent="0.25">
      <c r="A102" s="73"/>
      <c r="B102" s="73" t="s">
        <v>171</v>
      </c>
      <c r="C102" s="73" t="s">
        <v>182</v>
      </c>
      <c r="D102" s="161" t="s">
        <v>184</v>
      </c>
      <c r="E102" s="161"/>
      <c r="F102" s="73" t="s">
        <v>200</v>
      </c>
    </row>
    <row r="103" spans="1:6" x14ac:dyDescent="0.25">
      <c r="A103" s="16" t="s">
        <v>203</v>
      </c>
      <c r="B103" s="76">
        <f>B48</f>
        <v>72</v>
      </c>
      <c r="C103" s="75">
        <f>C48</f>
        <v>23006300</v>
      </c>
      <c r="D103" s="79">
        <v>7.2899999999999996E-3</v>
      </c>
      <c r="E103" s="16" t="s">
        <v>204</v>
      </c>
      <c r="F103" s="17">
        <f>C103*D103</f>
        <v>167715.927</v>
      </c>
    </row>
    <row r="106" spans="1:6" x14ac:dyDescent="0.25">
      <c r="A106" s="154" t="s">
        <v>205</v>
      </c>
      <c r="B106" s="154"/>
      <c r="C106" s="154"/>
      <c r="D106" s="154"/>
      <c r="E106" s="154"/>
      <c r="F106" s="154"/>
    </row>
    <row r="107" spans="1:6" x14ac:dyDescent="0.25">
      <c r="B107" s="16" t="s">
        <v>171</v>
      </c>
      <c r="C107" s="16" t="s">
        <v>182</v>
      </c>
      <c r="D107" s="16" t="s">
        <v>184</v>
      </c>
      <c r="F107" s="16" t="s">
        <v>200</v>
      </c>
    </row>
    <row r="108" spans="1:6" x14ac:dyDescent="0.25">
      <c r="A108" s="16" t="s">
        <v>188</v>
      </c>
      <c r="B108" s="7">
        <v>12</v>
      </c>
      <c r="C108" s="74">
        <f>C54</f>
        <v>6976600</v>
      </c>
      <c r="D108" s="17">
        <v>4374</v>
      </c>
      <c r="E108" s="16" t="s">
        <v>201</v>
      </c>
      <c r="F108" s="50">
        <f>12*D108</f>
        <v>52488</v>
      </c>
    </row>
    <row r="109" spans="1:6" x14ac:dyDescent="0.25">
      <c r="A109" s="16" t="s">
        <v>206</v>
      </c>
      <c r="C109" s="75">
        <f>D54</f>
        <v>2499900</v>
      </c>
      <c r="D109" s="16">
        <v>7.2899999999999996E-3</v>
      </c>
      <c r="E109" s="16" t="s">
        <v>204</v>
      </c>
      <c r="F109" s="15">
        <f>C109*D109</f>
        <v>18224.271000000001</v>
      </c>
    </row>
    <row r="110" spans="1:6" x14ac:dyDescent="0.25">
      <c r="A110" s="16" t="s">
        <v>66</v>
      </c>
      <c r="C110" s="75">
        <f>SUM(C108:C109)</f>
        <v>9476500</v>
      </c>
      <c r="F110" s="50">
        <f>SUM(F108:F109)</f>
        <v>70712.271000000008</v>
      </c>
    </row>
    <row r="112" spans="1:6" x14ac:dyDescent="0.25">
      <c r="A112" s="154" t="s">
        <v>194</v>
      </c>
      <c r="B112" s="154"/>
      <c r="C112" s="154"/>
      <c r="D112" s="154"/>
      <c r="E112" s="154"/>
      <c r="F112" s="154"/>
    </row>
    <row r="113" spans="1:6" x14ac:dyDescent="0.25">
      <c r="B113" s="73" t="s">
        <v>171</v>
      </c>
      <c r="C113" s="73" t="s">
        <v>182</v>
      </c>
      <c r="D113" s="73" t="s">
        <v>184</v>
      </c>
      <c r="E113" s="73"/>
      <c r="F113" s="73" t="s">
        <v>200</v>
      </c>
    </row>
    <row r="114" spans="1:6" x14ac:dyDescent="0.25">
      <c r="A114" s="16" t="s">
        <v>195</v>
      </c>
      <c r="B114" s="7">
        <v>12</v>
      </c>
      <c r="C114" s="75">
        <f>C75</f>
        <v>23400000</v>
      </c>
      <c r="D114" s="17">
        <v>14215.5</v>
      </c>
      <c r="E114" s="16" t="s">
        <v>201</v>
      </c>
      <c r="F114" s="50">
        <f>12*D114</f>
        <v>170586</v>
      </c>
    </row>
    <row r="115" spans="1:6" x14ac:dyDescent="0.25">
      <c r="A115" s="16" t="s">
        <v>207</v>
      </c>
      <c r="C115" s="75">
        <f>D75</f>
        <v>46841600</v>
      </c>
      <c r="D115" s="16">
        <v>7.2899999999999996E-3</v>
      </c>
      <c r="E115" s="16" t="s">
        <v>204</v>
      </c>
      <c r="F115" s="17">
        <f>C115*D115</f>
        <v>341475.26399999997</v>
      </c>
    </row>
    <row r="116" spans="1:6" x14ac:dyDescent="0.25">
      <c r="A116" s="16" t="s">
        <v>66</v>
      </c>
      <c r="C116" s="75">
        <f>SUM(C114:C115)</f>
        <v>70241600</v>
      </c>
      <c r="F116" s="50">
        <f>SUM(F114:F115)</f>
        <v>512061.26399999997</v>
      </c>
    </row>
    <row r="118" spans="1:6" x14ac:dyDescent="0.25">
      <c r="A118" s="16" t="s">
        <v>66</v>
      </c>
      <c r="B118" s="75">
        <f>B97+B103+B108+B114</f>
        <v>74332</v>
      </c>
      <c r="C118" s="75">
        <f>C99+C103+C110+C116</f>
        <v>397759700</v>
      </c>
      <c r="F118" s="50">
        <f>F99+F103+F110+F116</f>
        <v>4028282.0370000005</v>
      </c>
    </row>
  </sheetData>
  <mergeCells count="12">
    <mergeCell ref="A112:F112"/>
    <mergeCell ref="B16:M16"/>
    <mergeCell ref="B30:M30"/>
    <mergeCell ref="A36:F36"/>
    <mergeCell ref="A42:E42"/>
    <mergeCell ref="A50:F50"/>
    <mergeCell ref="A73:F73"/>
    <mergeCell ref="A95:F95"/>
    <mergeCell ref="D96:E96"/>
    <mergeCell ref="A101:F101"/>
    <mergeCell ref="D102:E102"/>
    <mergeCell ref="A106:F10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D568F-A102-4EAF-BFBD-5F27909CE38F}">
  <dimension ref="A1:N118"/>
  <sheetViews>
    <sheetView topLeftCell="A85" workbookViewId="0">
      <selection activeCell="I110" sqref="I110"/>
    </sheetView>
  </sheetViews>
  <sheetFormatPr defaultRowHeight="15" x14ac:dyDescent="0.25"/>
  <cols>
    <col min="1" max="2" width="22.5703125" style="16" customWidth="1"/>
    <col min="3" max="3" width="14.28515625" style="16" bestFit="1" customWidth="1"/>
    <col min="4" max="4" width="15" style="16" customWidth="1"/>
    <col min="5" max="6" width="14.28515625" style="16" bestFit="1" customWidth="1"/>
    <col min="7" max="9" width="13.28515625" style="16" bestFit="1" customWidth="1"/>
    <col min="10" max="11" width="12.85546875" style="16" customWidth="1"/>
    <col min="12" max="12" width="11.28515625" style="16" customWidth="1"/>
    <col min="13" max="13" width="11.7109375" style="16" customWidth="1"/>
    <col min="14" max="14" width="27.140625" style="16" customWidth="1"/>
    <col min="15" max="16384" width="9.140625" style="16"/>
  </cols>
  <sheetData>
    <row r="1" spans="1:13" x14ac:dyDescent="0.25">
      <c r="A1" s="128" t="s">
        <v>157</v>
      </c>
      <c r="B1" s="128" t="s">
        <v>158</v>
      </c>
      <c r="C1" s="128" t="s">
        <v>171</v>
      </c>
    </row>
    <row r="2" spans="1:13" x14ac:dyDescent="0.25">
      <c r="A2" s="16" t="s">
        <v>159</v>
      </c>
      <c r="B2" s="74">
        <v>30268400</v>
      </c>
      <c r="C2" s="74">
        <v>6159</v>
      </c>
    </row>
    <row r="3" spans="1:13" x14ac:dyDescent="0.25">
      <c r="A3" s="16" t="s">
        <v>160</v>
      </c>
      <c r="B3" s="74">
        <v>27925900</v>
      </c>
      <c r="C3" s="74">
        <v>6153</v>
      </c>
    </row>
    <row r="4" spans="1:13" x14ac:dyDescent="0.25">
      <c r="A4" s="16" t="s">
        <v>161</v>
      </c>
      <c r="B4" s="74">
        <v>30236000</v>
      </c>
      <c r="C4" s="74">
        <v>6139</v>
      </c>
    </row>
    <row r="5" spans="1:13" x14ac:dyDescent="0.25">
      <c r="A5" s="16" t="s">
        <v>162</v>
      </c>
      <c r="B5" s="74">
        <v>26744700</v>
      </c>
      <c r="C5" s="74">
        <v>6138</v>
      </c>
    </row>
    <row r="6" spans="1:13" x14ac:dyDescent="0.25">
      <c r="A6" s="16" t="s">
        <v>163</v>
      </c>
      <c r="B6" s="74">
        <v>29854500</v>
      </c>
      <c r="C6" s="74">
        <v>6155</v>
      </c>
    </row>
    <row r="7" spans="1:13" x14ac:dyDescent="0.25">
      <c r="A7" s="16" t="s">
        <v>164</v>
      </c>
      <c r="B7" s="74">
        <v>35014000</v>
      </c>
      <c r="C7" s="74">
        <v>6181</v>
      </c>
    </row>
    <row r="8" spans="1:13" x14ac:dyDescent="0.25">
      <c r="A8" s="16" t="s">
        <v>165</v>
      </c>
      <c r="B8" s="74">
        <v>39010700</v>
      </c>
      <c r="C8" s="74">
        <v>6214</v>
      </c>
    </row>
    <row r="9" spans="1:13" x14ac:dyDescent="0.25">
      <c r="A9" s="16" t="s">
        <v>166</v>
      </c>
      <c r="B9" s="74">
        <v>38854000</v>
      </c>
      <c r="C9" s="74">
        <v>6224</v>
      </c>
    </row>
    <row r="10" spans="1:13" x14ac:dyDescent="0.25">
      <c r="A10" s="16" t="s">
        <v>167</v>
      </c>
      <c r="B10" s="74">
        <v>35712800</v>
      </c>
      <c r="C10" s="74">
        <v>6235</v>
      </c>
    </row>
    <row r="11" spans="1:13" x14ac:dyDescent="0.25">
      <c r="A11" s="16" t="s">
        <v>168</v>
      </c>
      <c r="B11" s="74">
        <v>34623100</v>
      </c>
      <c r="C11" s="74">
        <v>6237</v>
      </c>
    </row>
    <row r="12" spans="1:13" x14ac:dyDescent="0.25">
      <c r="A12" s="16" t="s">
        <v>169</v>
      </c>
      <c r="B12" s="74">
        <v>32336000</v>
      </c>
      <c r="C12" s="74">
        <v>6234</v>
      </c>
    </row>
    <row r="13" spans="1:13" x14ac:dyDescent="0.25">
      <c r="A13" s="16" t="s">
        <v>170</v>
      </c>
      <c r="B13" s="74">
        <v>37179600</v>
      </c>
      <c r="C13" s="74">
        <v>6239</v>
      </c>
    </row>
    <row r="14" spans="1:13" x14ac:dyDescent="0.25">
      <c r="B14" s="75">
        <f>SUM(B2:B13)</f>
        <v>397759700</v>
      </c>
      <c r="C14" s="74">
        <f>SUM(C2:C13)</f>
        <v>74308</v>
      </c>
    </row>
    <row r="15" spans="1:13" x14ac:dyDescent="0.25">
      <c r="B15" s="75"/>
      <c r="C15" s="74"/>
    </row>
    <row r="16" spans="1:13" x14ac:dyDescent="0.25">
      <c r="B16" s="155" t="s">
        <v>181</v>
      </c>
      <c r="C16" s="155"/>
      <c r="D16" s="155"/>
      <c r="E16" s="155"/>
      <c r="F16" s="155"/>
      <c r="G16" s="155"/>
      <c r="H16" s="155"/>
      <c r="I16" s="155"/>
      <c r="J16" s="155"/>
      <c r="K16" s="155"/>
      <c r="L16" s="155"/>
      <c r="M16" s="155"/>
    </row>
    <row r="17" spans="1:14" x14ac:dyDescent="0.25">
      <c r="B17" s="128" t="s">
        <v>159</v>
      </c>
      <c r="C17" s="128" t="s">
        <v>160</v>
      </c>
      <c r="D17" s="128" t="s">
        <v>161</v>
      </c>
      <c r="E17" s="128" t="s">
        <v>162</v>
      </c>
      <c r="F17" s="128" t="s">
        <v>163</v>
      </c>
      <c r="G17" s="128" t="s">
        <v>164</v>
      </c>
      <c r="H17" s="128" t="s">
        <v>165</v>
      </c>
      <c r="I17" s="128" t="s">
        <v>166</v>
      </c>
      <c r="J17" s="128" t="s">
        <v>167</v>
      </c>
      <c r="K17" s="128" t="s">
        <v>168</v>
      </c>
      <c r="L17" s="128" t="s">
        <v>169</v>
      </c>
      <c r="M17" s="128" t="s">
        <v>170</v>
      </c>
    </row>
    <row r="18" spans="1:14" x14ac:dyDescent="0.25">
      <c r="A18" s="16" t="s">
        <v>172</v>
      </c>
      <c r="B18" s="74">
        <v>2062900</v>
      </c>
      <c r="C18" s="74">
        <v>2382700</v>
      </c>
      <c r="D18" s="74">
        <v>2159000</v>
      </c>
      <c r="E18" s="74">
        <v>2529200</v>
      </c>
      <c r="F18" s="74">
        <v>2016100</v>
      </c>
      <c r="G18" s="74">
        <v>2071000</v>
      </c>
      <c r="H18" s="74">
        <v>1901000</v>
      </c>
      <c r="I18" s="74">
        <v>1934300</v>
      </c>
      <c r="J18" s="74">
        <v>2162100</v>
      </c>
      <c r="K18" s="74">
        <v>2085000</v>
      </c>
      <c r="L18" s="74">
        <v>2389500</v>
      </c>
      <c r="M18" s="74">
        <v>1792600</v>
      </c>
      <c r="N18" s="75">
        <f>SUM(B18:M18)</f>
        <v>25485400</v>
      </c>
    </row>
    <row r="19" spans="1:14" x14ac:dyDescent="0.25">
      <c r="A19" s="16" t="s">
        <v>173</v>
      </c>
      <c r="B19" s="75">
        <f>B2-B18</f>
        <v>28205500</v>
      </c>
      <c r="C19" s="75">
        <f>B3-C18</f>
        <v>25543200</v>
      </c>
      <c r="D19" s="75">
        <f>B4-D18</f>
        <v>28077000</v>
      </c>
      <c r="E19" s="75">
        <f>B5-E18</f>
        <v>24215500</v>
      </c>
      <c r="F19" s="75">
        <f>B6-F18</f>
        <v>27838400</v>
      </c>
      <c r="G19" s="75">
        <f>B7-G18</f>
        <v>32943000</v>
      </c>
      <c r="H19" s="75">
        <f>B8-H18</f>
        <v>37109700</v>
      </c>
      <c r="I19" s="75">
        <f>B9-I18</f>
        <v>36919700</v>
      </c>
      <c r="J19" s="75">
        <f>B10-J18</f>
        <v>33550700</v>
      </c>
      <c r="K19" s="75">
        <f>B11-K18</f>
        <v>32538100</v>
      </c>
      <c r="L19" s="75">
        <f>B12-L18</f>
        <v>29946500</v>
      </c>
      <c r="M19" s="75">
        <f>B13-M18</f>
        <v>35387000</v>
      </c>
      <c r="N19" s="75">
        <f>SUM(B19:M19)</f>
        <v>372274300</v>
      </c>
    </row>
    <row r="21" spans="1:14" x14ac:dyDescent="0.25">
      <c r="A21" s="16" t="s">
        <v>174</v>
      </c>
      <c r="B21" s="74">
        <v>5250200</v>
      </c>
      <c r="C21" s="74">
        <v>4996300</v>
      </c>
      <c r="D21" s="74">
        <v>5312700</v>
      </c>
      <c r="E21" s="74">
        <v>4858300</v>
      </c>
      <c r="F21" s="74">
        <v>4615500</v>
      </c>
      <c r="G21" s="74">
        <v>5739000</v>
      </c>
      <c r="H21" s="74">
        <v>6426200</v>
      </c>
      <c r="I21" s="74">
        <v>6762200</v>
      </c>
      <c r="J21" s="74">
        <v>5799500</v>
      </c>
      <c r="K21" s="74">
        <v>5807700</v>
      </c>
      <c r="L21" s="74">
        <v>7139200</v>
      </c>
      <c r="M21" s="74">
        <v>7534800</v>
      </c>
      <c r="N21" s="75">
        <f t="shared" ref="N21:N26" si="0">SUM(B21:M21)</f>
        <v>70241600</v>
      </c>
    </row>
    <row r="22" spans="1:14" x14ac:dyDescent="0.25">
      <c r="A22" s="16" t="s">
        <v>175</v>
      </c>
      <c r="B22" s="74">
        <v>709500</v>
      </c>
      <c r="C22" s="74">
        <v>504400</v>
      </c>
      <c r="D22" s="74">
        <v>574400</v>
      </c>
      <c r="E22" s="74">
        <v>591300</v>
      </c>
      <c r="F22" s="74">
        <v>506500</v>
      </c>
      <c r="G22" s="74">
        <v>659800</v>
      </c>
      <c r="H22" s="74">
        <v>1091800</v>
      </c>
      <c r="I22" s="74">
        <v>1268500</v>
      </c>
      <c r="J22" s="74">
        <v>1243500</v>
      </c>
      <c r="K22" s="74">
        <v>828900</v>
      </c>
      <c r="L22" s="74">
        <v>679600</v>
      </c>
      <c r="M22" s="74">
        <v>818300</v>
      </c>
      <c r="N22" s="75">
        <f t="shared" si="0"/>
        <v>9476500</v>
      </c>
    </row>
    <row r="23" spans="1:14" x14ac:dyDescent="0.25">
      <c r="A23" s="16" t="s">
        <v>176</v>
      </c>
      <c r="B23" s="74">
        <v>777400</v>
      </c>
      <c r="C23" s="74">
        <v>833400</v>
      </c>
      <c r="D23" s="74">
        <v>956600</v>
      </c>
      <c r="E23" s="74">
        <v>632600</v>
      </c>
      <c r="F23" s="74">
        <v>647400</v>
      </c>
      <c r="G23" s="74">
        <v>784100</v>
      </c>
      <c r="H23" s="74">
        <v>752700</v>
      </c>
      <c r="I23" s="74">
        <v>669500</v>
      </c>
      <c r="J23" s="74">
        <v>831200</v>
      </c>
      <c r="K23" s="74">
        <v>839400</v>
      </c>
      <c r="L23" s="74">
        <v>1156000</v>
      </c>
      <c r="M23" s="74">
        <v>1249600</v>
      </c>
      <c r="N23" s="75">
        <f t="shared" si="0"/>
        <v>10129900</v>
      </c>
    </row>
    <row r="24" spans="1:14" x14ac:dyDescent="0.25">
      <c r="A24" s="16" t="s">
        <v>209</v>
      </c>
      <c r="B24" s="16">
        <v>209900</v>
      </c>
      <c r="C24" s="16">
        <v>178400</v>
      </c>
      <c r="D24" s="16">
        <v>177800</v>
      </c>
      <c r="E24" s="16">
        <v>187000</v>
      </c>
      <c r="F24" s="16">
        <v>178900</v>
      </c>
      <c r="G24" s="16">
        <v>208100</v>
      </c>
      <c r="H24" s="16">
        <v>224900</v>
      </c>
      <c r="I24" s="16">
        <v>355500</v>
      </c>
      <c r="J24" s="16">
        <v>384300</v>
      </c>
      <c r="K24" s="16">
        <v>286300</v>
      </c>
      <c r="L24" s="16">
        <v>196800</v>
      </c>
      <c r="M24" s="16">
        <v>261900</v>
      </c>
      <c r="N24" s="75">
        <f t="shared" si="0"/>
        <v>2849800</v>
      </c>
    </row>
    <row r="25" spans="1:14" x14ac:dyDescent="0.25">
      <c r="A25" s="16" t="s">
        <v>210</v>
      </c>
      <c r="B25" s="29">
        <v>49400</v>
      </c>
      <c r="C25" s="74">
        <v>271500</v>
      </c>
      <c r="D25" s="74">
        <v>422700</v>
      </c>
      <c r="E25" s="74">
        <v>397500</v>
      </c>
      <c r="F25" s="74">
        <v>400300</v>
      </c>
      <c r="G25" s="74">
        <v>505800</v>
      </c>
      <c r="H25" s="74">
        <v>696200</v>
      </c>
      <c r="I25" s="74">
        <v>570700</v>
      </c>
      <c r="J25" s="74">
        <v>521600</v>
      </c>
      <c r="K25" s="74">
        <v>930700</v>
      </c>
      <c r="L25" s="74">
        <v>501900</v>
      </c>
      <c r="M25" s="74">
        <v>429800</v>
      </c>
      <c r="N25" s="75">
        <f t="shared" si="0"/>
        <v>5698100</v>
      </c>
    </row>
    <row r="26" spans="1:14" x14ac:dyDescent="0.25">
      <c r="A26" s="16" t="s">
        <v>179</v>
      </c>
      <c r="B26" s="74">
        <v>443900</v>
      </c>
      <c r="C26" s="74">
        <v>642100</v>
      </c>
      <c r="D26" s="74">
        <v>584500</v>
      </c>
      <c r="E26" s="74">
        <v>373800</v>
      </c>
      <c r="F26" s="74">
        <v>361200</v>
      </c>
      <c r="G26" s="74">
        <v>359300</v>
      </c>
      <c r="H26" s="74">
        <v>297200</v>
      </c>
      <c r="I26" s="74">
        <v>257300</v>
      </c>
      <c r="J26" s="74">
        <v>208900</v>
      </c>
      <c r="K26" s="74">
        <v>155900</v>
      </c>
      <c r="L26" s="74">
        <v>290900</v>
      </c>
      <c r="M26" s="74">
        <v>353500</v>
      </c>
      <c r="N26" s="75">
        <f t="shared" si="0"/>
        <v>4328500</v>
      </c>
    </row>
    <row r="27" spans="1:14" x14ac:dyDescent="0.25">
      <c r="A27" s="16" t="s">
        <v>66</v>
      </c>
      <c r="B27" s="75">
        <f>SUM(B21:B26)</f>
        <v>7440300</v>
      </c>
      <c r="C27" s="75">
        <f t="shared" ref="C27:N27" si="1">SUM(C21:C26)</f>
        <v>7426100</v>
      </c>
      <c r="D27" s="75">
        <f t="shared" si="1"/>
        <v>8028700</v>
      </c>
      <c r="E27" s="75">
        <f t="shared" si="1"/>
        <v>7040500</v>
      </c>
      <c r="F27" s="75">
        <f t="shared" si="1"/>
        <v>6709800</v>
      </c>
      <c r="G27" s="75">
        <f t="shared" si="1"/>
        <v>8256100</v>
      </c>
      <c r="H27" s="75">
        <f t="shared" si="1"/>
        <v>9489000</v>
      </c>
      <c r="I27" s="75">
        <f t="shared" si="1"/>
        <v>9883700</v>
      </c>
      <c r="J27" s="75">
        <f t="shared" si="1"/>
        <v>8989000</v>
      </c>
      <c r="K27" s="75">
        <f t="shared" si="1"/>
        <v>8848900</v>
      </c>
      <c r="L27" s="75">
        <f t="shared" si="1"/>
        <v>9964400</v>
      </c>
      <c r="M27" s="75">
        <f t="shared" si="1"/>
        <v>10647900</v>
      </c>
      <c r="N27" s="75">
        <f t="shared" si="1"/>
        <v>102724400</v>
      </c>
    </row>
    <row r="28" spans="1:14" x14ac:dyDescent="0.25">
      <c r="B28" s="75"/>
      <c r="C28" s="75"/>
      <c r="D28" s="75"/>
      <c r="E28" s="75"/>
      <c r="F28" s="75"/>
      <c r="G28" s="75"/>
      <c r="H28" s="75"/>
      <c r="I28" s="75"/>
      <c r="J28" s="75"/>
      <c r="K28" s="75"/>
      <c r="L28" s="75"/>
      <c r="M28" s="75"/>
      <c r="N28" s="75"/>
    </row>
    <row r="29" spans="1:14" x14ac:dyDescent="0.25">
      <c r="B29" s="75"/>
      <c r="C29" s="75"/>
      <c r="D29" s="75"/>
      <c r="E29" s="75"/>
      <c r="F29" s="75"/>
      <c r="G29" s="75"/>
      <c r="H29" s="75"/>
      <c r="I29" s="75"/>
      <c r="J29" s="75"/>
      <c r="K29" s="75"/>
      <c r="L29" s="75"/>
      <c r="M29" s="75"/>
      <c r="N29" s="75"/>
    </row>
    <row r="30" spans="1:14" x14ac:dyDescent="0.25">
      <c r="B30" s="155" t="s">
        <v>180</v>
      </c>
      <c r="C30" s="155"/>
      <c r="D30" s="155"/>
      <c r="E30" s="155"/>
      <c r="F30" s="155"/>
      <c r="G30" s="155"/>
      <c r="H30" s="155"/>
      <c r="I30" s="155"/>
      <c r="J30" s="155"/>
      <c r="K30" s="155"/>
      <c r="L30" s="155"/>
      <c r="M30" s="155"/>
    </row>
    <row r="31" spans="1:14" x14ac:dyDescent="0.25">
      <c r="B31" s="128" t="s">
        <v>159</v>
      </c>
      <c r="C31" s="128" t="s">
        <v>160</v>
      </c>
      <c r="D31" s="128" t="s">
        <v>161</v>
      </c>
      <c r="E31" s="128" t="s">
        <v>162</v>
      </c>
      <c r="F31" s="128" t="s">
        <v>163</v>
      </c>
      <c r="G31" s="128" t="s">
        <v>164</v>
      </c>
      <c r="H31" s="128" t="s">
        <v>165</v>
      </c>
      <c r="I31" s="128" t="s">
        <v>166</v>
      </c>
      <c r="J31" s="128" t="s">
        <v>167</v>
      </c>
      <c r="K31" s="128" t="s">
        <v>168</v>
      </c>
      <c r="L31" s="128" t="s">
        <v>169</v>
      </c>
      <c r="M31" s="128" t="s">
        <v>170</v>
      </c>
    </row>
    <row r="32" spans="1:14" x14ac:dyDescent="0.25">
      <c r="A32" s="16" t="s">
        <v>172</v>
      </c>
      <c r="B32" s="74">
        <v>2167</v>
      </c>
      <c r="C32" s="74">
        <v>2478</v>
      </c>
      <c r="D32" s="74">
        <v>2242</v>
      </c>
      <c r="E32" s="74">
        <v>2557</v>
      </c>
      <c r="F32" s="74">
        <v>2281</v>
      </c>
      <c r="G32" s="74">
        <v>2136</v>
      </c>
      <c r="H32" s="74">
        <v>1962</v>
      </c>
      <c r="I32" s="74">
        <v>1943</v>
      </c>
      <c r="J32" s="74">
        <v>2160</v>
      </c>
      <c r="K32" s="74">
        <v>2118</v>
      </c>
      <c r="L32" s="74">
        <v>2399</v>
      </c>
      <c r="M32" s="74">
        <v>1909</v>
      </c>
      <c r="N32" s="75">
        <f>SUM(B32:M32)</f>
        <v>26352</v>
      </c>
    </row>
    <row r="33" spans="1:14" x14ac:dyDescent="0.25">
      <c r="A33" s="16" t="s">
        <v>173</v>
      </c>
      <c r="B33" s="75">
        <f>C2-B32</f>
        <v>3992</v>
      </c>
      <c r="C33" s="75">
        <f>C3-C32</f>
        <v>3675</v>
      </c>
      <c r="D33" s="75">
        <f>C4-D32</f>
        <v>3897</v>
      </c>
      <c r="E33" s="75">
        <f>C5-E32</f>
        <v>3581</v>
      </c>
      <c r="F33" s="75">
        <f>C6-F32</f>
        <v>3874</v>
      </c>
      <c r="G33" s="75">
        <f>C7-G32</f>
        <v>4045</v>
      </c>
      <c r="H33" s="75">
        <f>C8-H32</f>
        <v>4252</v>
      </c>
      <c r="I33" s="75">
        <f>C9-I32</f>
        <v>4281</v>
      </c>
      <c r="J33" s="75">
        <f>C10-J32</f>
        <v>4075</v>
      </c>
      <c r="K33" s="75">
        <f>C11-K32</f>
        <v>4119</v>
      </c>
      <c r="L33" s="75">
        <f>C12-L32</f>
        <v>3835</v>
      </c>
      <c r="M33" s="75">
        <f>C13-M32</f>
        <v>4330</v>
      </c>
      <c r="N33" s="75">
        <f>SUM(B33:M33)</f>
        <v>47956</v>
      </c>
    </row>
    <row r="36" spans="1:14" x14ac:dyDescent="0.25">
      <c r="A36" s="161" t="s">
        <v>185</v>
      </c>
      <c r="B36" s="161"/>
      <c r="C36" s="161"/>
      <c r="D36" s="161"/>
      <c r="E36" s="161"/>
      <c r="F36" s="161"/>
    </row>
    <row r="37" spans="1:14" x14ac:dyDescent="0.25">
      <c r="B37" s="128" t="s">
        <v>171</v>
      </c>
      <c r="C37" s="128" t="s">
        <v>182</v>
      </c>
      <c r="D37" s="128" t="s">
        <v>183</v>
      </c>
      <c r="E37" s="128" t="s">
        <v>66</v>
      </c>
    </row>
    <row r="38" spans="1:14" x14ac:dyDescent="0.25">
      <c r="A38" s="16" t="s">
        <v>172</v>
      </c>
      <c r="B38" s="75">
        <f>N32</f>
        <v>26352</v>
      </c>
      <c r="C38" s="75">
        <f>N18</f>
        <v>25485400</v>
      </c>
      <c r="D38" s="75"/>
      <c r="E38" s="75">
        <f>C38</f>
        <v>25485400</v>
      </c>
    </row>
    <row r="39" spans="1:14" x14ac:dyDescent="0.25">
      <c r="A39" s="16" t="s">
        <v>173</v>
      </c>
      <c r="B39" s="74">
        <f>N33-(6*12)</f>
        <v>47884</v>
      </c>
      <c r="C39" s="74">
        <f>B39*2000</f>
        <v>95768000</v>
      </c>
      <c r="D39" s="75">
        <f>N19-(N27+C39)</f>
        <v>173781900</v>
      </c>
      <c r="E39" s="75">
        <f>C39+D39</f>
        <v>269549900</v>
      </c>
    </row>
    <row r="40" spans="1:14" x14ac:dyDescent="0.25">
      <c r="B40" s="74">
        <f>SUM(B38:B39)</f>
        <v>74236</v>
      </c>
      <c r="C40" s="74">
        <f>SUM(C38:C39)</f>
        <v>121253400</v>
      </c>
      <c r="D40" s="75"/>
      <c r="E40" s="75">
        <f>SUM(E38:E39)</f>
        <v>295035300</v>
      </c>
    </row>
    <row r="41" spans="1:14" x14ac:dyDescent="0.25">
      <c r="D41" s="75"/>
      <c r="F41" s="75"/>
    </row>
    <row r="42" spans="1:14" x14ac:dyDescent="0.25">
      <c r="A42" s="161" t="s">
        <v>186</v>
      </c>
      <c r="B42" s="161"/>
      <c r="C42" s="161"/>
      <c r="D42" s="161"/>
      <c r="E42" s="161"/>
      <c r="F42" s="128"/>
    </row>
    <row r="43" spans="1:14" x14ac:dyDescent="0.25">
      <c r="B43" s="128" t="s">
        <v>171</v>
      </c>
      <c r="C43" s="128" t="s">
        <v>182</v>
      </c>
      <c r="D43" s="128"/>
      <c r="E43" s="128" t="s">
        <v>66</v>
      </c>
      <c r="F43" s="129"/>
    </row>
    <row r="44" spans="1:14" x14ac:dyDescent="0.25">
      <c r="A44" s="16" t="s">
        <v>176</v>
      </c>
      <c r="B44" s="129">
        <v>12</v>
      </c>
      <c r="C44" s="75">
        <f>N23</f>
        <v>10129900</v>
      </c>
      <c r="D44" s="75"/>
      <c r="F44" s="75"/>
    </row>
    <row r="45" spans="1:14" x14ac:dyDescent="0.25">
      <c r="A45" s="16" t="s">
        <v>177</v>
      </c>
      <c r="B45" s="129">
        <v>24</v>
      </c>
      <c r="C45" s="75">
        <f>N24</f>
        <v>2849800</v>
      </c>
      <c r="E45" s="75"/>
      <c r="F45" s="75"/>
    </row>
    <row r="46" spans="1:14" x14ac:dyDescent="0.25">
      <c r="A46" s="16" t="s">
        <v>178</v>
      </c>
      <c r="B46" s="129">
        <v>24</v>
      </c>
      <c r="C46" s="75">
        <f>N25</f>
        <v>5698100</v>
      </c>
      <c r="F46" s="75"/>
    </row>
    <row r="47" spans="1:14" x14ac:dyDescent="0.25">
      <c r="A47" s="16" t="s">
        <v>179</v>
      </c>
      <c r="B47" s="129">
        <v>12</v>
      </c>
      <c r="C47" s="75">
        <f>N26</f>
        <v>4328500</v>
      </c>
    </row>
    <row r="48" spans="1:14" x14ac:dyDescent="0.25">
      <c r="A48" s="16" t="s">
        <v>66</v>
      </c>
      <c r="B48" s="129">
        <f>SUM(B44:B47)</f>
        <v>72</v>
      </c>
      <c r="C48" s="75">
        <f>SUM(C44:C47)</f>
        <v>23006300</v>
      </c>
      <c r="E48" s="75">
        <f>SUM(C44:C47)</f>
        <v>23006300</v>
      </c>
    </row>
    <row r="49" spans="1:6" x14ac:dyDescent="0.25">
      <c r="E49" s="75"/>
    </row>
    <row r="50" spans="1:6" x14ac:dyDescent="0.25">
      <c r="A50" s="161" t="s">
        <v>187</v>
      </c>
      <c r="B50" s="163"/>
      <c r="C50" s="163"/>
      <c r="D50" s="163"/>
      <c r="E50" s="163"/>
      <c r="F50" s="163"/>
    </row>
    <row r="51" spans="1:6" x14ac:dyDescent="0.25">
      <c r="B51" s="128" t="s">
        <v>171</v>
      </c>
      <c r="C51" s="128" t="s">
        <v>189</v>
      </c>
      <c r="D51" s="128" t="s">
        <v>190</v>
      </c>
      <c r="E51" s="128" t="s">
        <v>66</v>
      </c>
    </row>
    <row r="52" spans="1:6" x14ac:dyDescent="0.25">
      <c r="A52" s="16" t="s">
        <v>188</v>
      </c>
      <c r="B52" s="129">
        <v>4</v>
      </c>
      <c r="C52" s="74">
        <f>(4*600000)+D70</f>
        <v>2176600</v>
      </c>
      <c r="D52" s="74"/>
      <c r="E52" s="74">
        <f>C52</f>
        <v>2176600</v>
      </c>
    </row>
    <row r="53" spans="1:6" x14ac:dyDescent="0.25">
      <c r="A53" s="16" t="s">
        <v>206</v>
      </c>
      <c r="B53" s="129">
        <v>8</v>
      </c>
      <c r="C53" s="74">
        <f>8*600000</f>
        <v>4800000</v>
      </c>
      <c r="D53" s="74">
        <f>C70</f>
        <v>2499900</v>
      </c>
      <c r="E53" s="74">
        <f>C53+D53</f>
        <v>7299900</v>
      </c>
    </row>
    <row r="54" spans="1:6" x14ac:dyDescent="0.25">
      <c r="A54" s="16" t="s">
        <v>66</v>
      </c>
      <c r="B54" s="129">
        <f>SUM(B52:B53)</f>
        <v>12</v>
      </c>
      <c r="C54" s="74">
        <f>SUM(C52:C53)</f>
        <v>6976600</v>
      </c>
      <c r="D54" s="74">
        <f>SUM(D53)</f>
        <v>2499900</v>
      </c>
      <c r="E54" s="74">
        <f>SUM(E52:E53)</f>
        <v>9476500</v>
      </c>
    </row>
    <row r="57" spans="1:6" x14ac:dyDescent="0.25">
      <c r="A57" s="128" t="s">
        <v>197</v>
      </c>
      <c r="B57" s="128" t="s">
        <v>193</v>
      </c>
      <c r="C57" s="128" t="s">
        <v>191</v>
      </c>
      <c r="D57" s="128" t="s">
        <v>192</v>
      </c>
    </row>
    <row r="58" spans="1:6" x14ac:dyDescent="0.25">
      <c r="A58" s="16" t="s">
        <v>159</v>
      </c>
      <c r="B58" s="74">
        <v>709500</v>
      </c>
      <c r="C58" s="16">
        <f>IF((B58-600000)&lt;0,0,(B58-600000))</f>
        <v>109500</v>
      </c>
      <c r="D58" s="16">
        <f>IF((B58-600000)&gt;0,0,(B58-600000))</f>
        <v>0</v>
      </c>
    </row>
    <row r="59" spans="1:6" x14ac:dyDescent="0.25">
      <c r="A59" s="16" t="s">
        <v>160</v>
      </c>
      <c r="B59" s="74">
        <v>504400</v>
      </c>
      <c r="C59" s="16">
        <f t="shared" ref="C59:C69" si="2">IF((B59-600000)&lt;0,0,(B59-600000))</f>
        <v>0</v>
      </c>
      <c r="D59" s="16">
        <f t="shared" ref="D59:D69" si="3">IF((B59-600000)&gt;0,0,(B59-600000))</f>
        <v>-95600</v>
      </c>
    </row>
    <row r="60" spans="1:6" x14ac:dyDescent="0.25">
      <c r="A60" s="16" t="s">
        <v>161</v>
      </c>
      <c r="B60" s="74">
        <v>574400</v>
      </c>
      <c r="C60" s="16">
        <f t="shared" si="2"/>
        <v>0</v>
      </c>
      <c r="D60" s="16">
        <f t="shared" si="3"/>
        <v>-25600</v>
      </c>
    </row>
    <row r="61" spans="1:6" x14ac:dyDescent="0.25">
      <c r="A61" s="16" t="s">
        <v>162</v>
      </c>
      <c r="B61" s="74">
        <v>591300</v>
      </c>
      <c r="C61" s="16">
        <f t="shared" si="2"/>
        <v>0</v>
      </c>
      <c r="D61" s="16">
        <f t="shared" si="3"/>
        <v>-8700</v>
      </c>
    </row>
    <row r="62" spans="1:6" x14ac:dyDescent="0.25">
      <c r="A62" s="16" t="s">
        <v>163</v>
      </c>
      <c r="B62" s="74">
        <v>506500</v>
      </c>
      <c r="C62" s="16">
        <f t="shared" si="2"/>
        <v>0</v>
      </c>
      <c r="D62" s="16">
        <f t="shared" si="3"/>
        <v>-93500</v>
      </c>
    </row>
    <row r="63" spans="1:6" x14ac:dyDescent="0.25">
      <c r="A63" s="16" t="s">
        <v>164</v>
      </c>
      <c r="B63" s="74">
        <v>659800</v>
      </c>
      <c r="C63" s="16">
        <f t="shared" si="2"/>
        <v>59800</v>
      </c>
      <c r="D63" s="16">
        <f t="shared" si="3"/>
        <v>0</v>
      </c>
    </row>
    <row r="64" spans="1:6" x14ac:dyDescent="0.25">
      <c r="A64" s="16" t="s">
        <v>165</v>
      </c>
      <c r="B64" s="74">
        <v>1091800</v>
      </c>
      <c r="C64" s="16">
        <f t="shared" si="2"/>
        <v>491800</v>
      </c>
      <c r="D64" s="16">
        <f t="shared" si="3"/>
        <v>0</v>
      </c>
    </row>
    <row r="65" spans="1:6" x14ac:dyDescent="0.25">
      <c r="A65" s="16" t="s">
        <v>166</v>
      </c>
      <c r="B65" s="74">
        <v>1268500</v>
      </c>
      <c r="C65" s="16">
        <f t="shared" si="2"/>
        <v>668500</v>
      </c>
      <c r="D65" s="16">
        <f t="shared" si="3"/>
        <v>0</v>
      </c>
    </row>
    <row r="66" spans="1:6" x14ac:dyDescent="0.25">
      <c r="A66" s="16" t="s">
        <v>167</v>
      </c>
      <c r="B66" s="74">
        <v>1243500</v>
      </c>
      <c r="C66" s="16">
        <f t="shared" si="2"/>
        <v>643500</v>
      </c>
      <c r="D66" s="16">
        <f t="shared" si="3"/>
        <v>0</v>
      </c>
    </row>
    <row r="67" spans="1:6" x14ac:dyDescent="0.25">
      <c r="A67" s="16" t="s">
        <v>168</v>
      </c>
      <c r="B67" s="74">
        <v>828900</v>
      </c>
      <c r="C67" s="16">
        <f t="shared" si="2"/>
        <v>228900</v>
      </c>
      <c r="D67" s="16">
        <f t="shared" si="3"/>
        <v>0</v>
      </c>
    </row>
    <row r="68" spans="1:6" x14ac:dyDescent="0.25">
      <c r="A68" s="16" t="s">
        <v>169</v>
      </c>
      <c r="B68" s="74">
        <v>679600</v>
      </c>
      <c r="C68" s="16">
        <f t="shared" si="2"/>
        <v>79600</v>
      </c>
      <c r="D68" s="16">
        <f t="shared" si="3"/>
        <v>0</v>
      </c>
    </row>
    <row r="69" spans="1:6" x14ac:dyDescent="0.25">
      <c r="A69" s="16" t="s">
        <v>170</v>
      </c>
      <c r="B69" s="74">
        <v>818300</v>
      </c>
      <c r="C69" s="16">
        <f t="shared" si="2"/>
        <v>218300</v>
      </c>
      <c r="D69" s="16">
        <f t="shared" si="3"/>
        <v>0</v>
      </c>
    </row>
    <row r="70" spans="1:6" x14ac:dyDescent="0.25">
      <c r="B70" s="75">
        <f>SUM(B58:B69)</f>
        <v>9476500</v>
      </c>
      <c r="C70" s="16">
        <f>SUM(C58:C69)</f>
        <v>2499900</v>
      </c>
      <c r="D70" s="16">
        <f>SUM(D58:D69)</f>
        <v>-223400</v>
      </c>
    </row>
    <row r="73" spans="1:6" x14ac:dyDescent="0.25">
      <c r="A73" s="161" t="s">
        <v>194</v>
      </c>
      <c r="B73" s="161"/>
      <c r="C73" s="161"/>
      <c r="D73" s="161"/>
      <c r="E73" s="161"/>
      <c r="F73" s="161"/>
    </row>
    <row r="74" spans="1:6" x14ac:dyDescent="0.25">
      <c r="B74" s="128" t="s">
        <v>171</v>
      </c>
      <c r="C74" s="128" t="s">
        <v>198</v>
      </c>
      <c r="D74" s="128" t="s">
        <v>199</v>
      </c>
      <c r="E74" s="128" t="s">
        <v>66</v>
      </c>
    </row>
    <row r="75" spans="1:6" x14ac:dyDescent="0.25">
      <c r="A75" s="16" t="s">
        <v>196</v>
      </c>
      <c r="B75" s="16">
        <v>12</v>
      </c>
      <c r="C75" s="74">
        <f>12*1950000</f>
        <v>23400000</v>
      </c>
      <c r="D75" s="75">
        <f>C91</f>
        <v>46841600</v>
      </c>
      <c r="E75" s="74">
        <f>C75+D75</f>
        <v>70241600</v>
      </c>
    </row>
    <row r="76" spans="1:6" x14ac:dyDescent="0.25">
      <c r="A76" s="16" t="s">
        <v>66</v>
      </c>
      <c r="B76" s="16">
        <f>SUM(B75:B75)</f>
        <v>12</v>
      </c>
      <c r="C76" s="74">
        <f>SUM(C75:C75)</f>
        <v>23400000</v>
      </c>
      <c r="D76" s="74">
        <f>SUM(D75)</f>
        <v>46841600</v>
      </c>
      <c r="E76" s="74">
        <f>SUM(E75:E75)</f>
        <v>70241600</v>
      </c>
    </row>
    <row r="78" spans="1:6" x14ac:dyDescent="0.25">
      <c r="A78" s="128" t="s">
        <v>197</v>
      </c>
      <c r="B78" s="128" t="s">
        <v>193</v>
      </c>
      <c r="C78" s="128" t="s">
        <v>191</v>
      </c>
      <c r="D78" s="128" t="s">
        <v>192</v>
      </c>
    </row>
    <row r="79" spans="1:6" x14ac:dyDescent="0.25">
      <c r="A79" s="16" t="s">
        <v>159</v>
      </c>
      <c r="B79" s="74">
        <v>5250200</v>
      </c>
      <c r="C79" s="74">
        <f>IF((B79-1950000)&lt;0,0,(B79-1950000))</f>
        <v>3300200</v>
      </c>
      <c r="D79" s="16">
        <v>0</v>
      </c>
    </row>
    <row r="80" spans="1:6" x14ac:dyDescent="0.25">
      <c r="A80" s="16" t="s">
        <v>160</v>
      </c>
      <c r="B80" s="74">
        <v>4996300</v>
      </c>
      <c r="C80" s="74">
        <f t="shared" ref="C80:C90" si="4">IF((B80-1950000)&lt;0,0,(B80-1950000))</f>
        <v>3046300</v>
      </c>
      <c r="D80" s="16">
        <v>0</v>
      </c>
    </row>
    <row r="81" spans="1:6" x14ac:dyDescent="0.25">
      <c r="A81" s="16" t="s">
        <v>161</v>
      </c>
      <c r="B81" s="74">
        <v>5312700</v>
      </c>
      <c r="C81" s="74">
        <f t="shared" si="4"/>
        <v>3362700</v>
      </c>
      <c r="D81" s="16">
        <v>0</v>
      </c>
    </row>
    <row r="82" spans="1:6" x14ac:dyDescent="0.25">
      <c r="A82" s="16" t="s">
        <v>162</v>
      </c>
      <c r="B82" s="74">
        <v>4858300</v>
      </c>
      <c r="C82" s="74">
        <f t="shared" si="4"/>
        <v>2908300</v>
      </c>
      <c r="D82" s="16">
        <v>0</v>
      </c>
    </row>
    <row r="83" spans="1:6" x14ac:dyDescent="0.25">
      <c r="A83" s="16" t="s">
        <v>163</v>
      </c>
      <c r="B83" s="74">
        <v>4615500</v>
      </c>
      <c r="C83" s="74">
        <f t="shared" si="4"/>
        <v>2665500</v>
      </c>
      <c r="D83" s="16">
        <v>0</v>
      </c>
    </row>
    <row r="84" spans="1:6" x14ac:dyDescent="0.25">
      <c r="A84" s="16" t="s">
        <v>164</v>
      </c>
      <c r="B84" s="74">
        <v>5739000</v>
      </c>
      <c r="C84" s="74">
        <f t="shared" si="4"/>
        <v>3789000</v>
      </c>
      <c r="D84" s="16">
        <v>0</v>
      </c>
    </row>
    <row r="85" spans="1:6" x14ac:dyDescent="0.25">
      <c r="A85" s="16" t="s">
        <v>165</v>
      </c>
      <c r="B85" s="74">
        <v>6426200</v>
      </c>
      <c r="C85" s="74">
        <f t="shared" si="4"/>
        <v>4476200</v>
      </c>
      <c r="D85" s="16">
        <v>0</v>
      </c>
    </row>
    <row r="86" spans="1:6" x14ac:dyDescent="0.25">
      <c r="A86" s="16" t="s">
        <v>166</v>
      </c>
      <c r="B86" s="74">
        <v>6762200</v>
      </c>
      <c r="C86" s="74">
        <f t="shared" si="4"/>
        <v>4812200</v>
      </c>
      <c r="D86" s="16">
        <v>0</v>
      </c>
    </row>
    <row r="87" spans="1:6" x14ac:dyDescent="0.25">
      <c r="A87" s="16" t="s">
        <v>167</v>
      </c>
      <c r="B87" s="74">
        <v>5799500</v>
      </c>
      <c r="C87" s="74">
        <f t="shared" si="4"/>
        <v>3849500</v>
      </c>
      <c r="D87" s="16">
        <v>0</v>
      </c>
    </row>
    <row r="88" spans="1:6" x14ac:dyDescent="0.25">
      <c r="A88" s="16" t="s">
        <v>168</v>
      </c>
      <c r="B88" s="74">
        <v>5807700</v>
      </c>
      <c r="C88" s="74">
        <f t="shared" si="4"/>
        <v>3857700</v>
      </c>
      <c r="D88" s="16">
        <v>0</v>
      </c>
    </row>
    <row r="89" spans="1:6" x14ac:dyDescent="0.25">
      <c r="A89" s="16" t="s">
        <v>169</v>
      </c>
      <c r="B89" s="74">
        <v>7139200</v>
      </c>
      <c r="C89" s="74">
        <f t="shared" si="4"/>
        <v>5189200</v>
      </c>
      <c r="D89" s="16">
        <v>0</v>
      </c>
    </row>
    <row r="90" spans="1:6" x14ac:dyDescent="0.25">
      <c r="A90" s="16" t="s">
        <v>170</v>
      </c>
      <c r="B90" s="74">
        <v>7534800</v>
      </c>
      <c r="C90" s="74">
        <f t="shared" si="4"/>
        <v>5584800</v>
      </c>
      <c r="D90" s="16">
        <v>0</v>
      </c>
    </row>
    <row r="91" spans="1:6" x14ac:dyDescent="0.25">
      <c r="C91" s="74">
        <f>SUM(C79:C90)</f>
        <v>46841600</v>
      </c>
    </row>
    <row r="95" spans="1:6" x14ac:dyDescent="0.25">
      <c r="A95" s="161" t="s">
        <v>185</v>
      </c>
      <c r="B95" s="163"/>
      <c r="C95" s="163"/>
      <c r="D95" s="163"/>
      <c r="E95" s="163"/>
      <c r="F95" s="163"/>
    </row>
    <row r="96" spans="1:6" x14ac:dyDescent="0.25">
      <c r="A96" s="128"/>
      <c r="B96" s="128" t="s">
        <v>171</v>
      </c>
      <c r="C96" s="128" t="s">
        <v>182</v>
      </c>
      <c r="D96" s="161" t="s">
        <v>184</v>
      </c>
      <c r="E96" s="161"/>
      <c r="F96" s="128" t="s">
        <v>200</v>
      </c>
    </row>
    <row r="97" spans="1:6" x14ac:dyDescent="0.25">
      <c r="A97" s="16" t="s">
        <v>172</v>
      </c>
      <c r="B97" s="80">
        <f>B40</f>
        <v>74236</v>
      </c>
      <c r="C97" s="75">
        <f>C40</f>
        <v>121253400</v>
      </c>
      <c r="D97" s="77">
        <f>(1+('RevReq Calculation'!B14/100))*22.5</f>
        <v>24.45731741845016</v>
      </c>
      <c r="E97" s="16" t="s">
        <v>201</v>
      </c>
      <c r="F97" s="17">
        <f>B97*D97</f>
        <v>1815613.4158760661</v>
      </c>
    </row>
    <row r="98" spans="1:6" x14ac:dyDescent="0.25">
      <c r="A98" s="16" t="s">
        <v>173</v>
      </c>
      <c r="B98" s="74"/>
      <c r="C98" s="74">
        <f>D39</f>
        <v>173781900</v>
      </c>
      <c r="D98" s="78">
        <f>(1+('RevReq Calculation'!B14/100))*0.00925</f>
        <v>1.0054674938696176E-2</v>
      </c>
      <c r="E98" s="16" t="s">
        <v>204</v>
      </c>
      <c r="F98" s="17">
        <f>C98*D98</f>
        <v>1747320.5147290051</v>
      </c>
    </row>
    <row r="99" spans="1:6" x14ac:dyDescent="0.25">
      <c r="A99" s="16" t="s">
        <v>66</v>
      </c>
      <c r="C99" s="75">
        <f>SUM(C97:C98)</f>
        <v>295035300</v>
      </c>
      <c r="F99" s="50">
        <f>SUM(F97:F98)</f>
        <v>3562933.9306050711</v>
      </c>
    </row>
    <row r="101" spans="1:6" x14ac:dyDescent="0.25">
      <c r="A101" s="161" t="s">
        <v>202</v>
      </c>
      <c r="B101" s="163"/>
      <c r="C101" s="163"/>
      <c r="D101" s="163"/>
      <c r="E101" s="163"/>
      <c r="F101" s="163"/>
    </row>
    <row r="102" spans="1:6" x14ac:dyDescent="0.25">
      <c r="A102" s="128"/>
      <c r="B102" s="128" t="s">
        <v>171</v>
      </c>
      <c r="C102" s="128" t="s">
        <v>182</v>
      </c>
      <c r="D102" s="161" t="s">
        <v>184</v>
      </c>
      <c r="E102" s="161"/>
      <c r="F102" s="128" t="s">
        <v>200</v>
      </c>
    </row>
    <row r="103" spans="1:6" x14ac:dyDescent="0.25">
      <c r="A103" s="16" t="s">
        <v>203</v>
      </c>
      <c r="B103" s="76">
        <f>B48</f>
        <v>72</v>
      </c>
      <c r="C103" s="75">
        <f>C48</f>
        <v>23006300</v>
      </c>
      <c r="D103" s="79">
        <f>(1+('RevReq Calculation'!B14/100))*0.00729</f>
        <v>7.9241708435778511E-3</v>
      </c>
      <c r="E103" s="16" t="s">
        <v>204</v>
      </c>
      <c r="F103" s="17">
        <f>C103*D103</f>
        <v>182305.8516786051</v>
      </c>
    </row>
    <row r="106" spans="1:6" x14ac:dyDescent="0.25">
      <c r="A106" s="154" t="s">
        <v>205</v>
      </c>
      <c r="B106" s="154"/>
      <c r="C106" s="154"/>
      <c r="D106" s="154"/>
      <c r="E106" s="154"/>
      <c r="F106" s="154"/>
    </row>
    <row r="107" spans="1:6" x14ac:dyDescent="0.25">
      <c r="B107" s="16" t="s">
        <v>171</v>
      </c>
      <c r="C107" s="16" t="s">
        <v>182</v>
      </c>
      <c r="D107" s="16" t="s">
        <v>184</v>
      </c>
      <c r="F107" s="16" t="s">
        <v>200</v>
      </c>
    </row>
    <row r="108" spans="1:6" x14ac:dyDescent="0.25">
      <c r="A108" s="16" t="s">
        <v>188</v>
      </c>
      <c r="B108" s="129">
        <v>12</v>
      </c>
      <c r="C108" s="74">
        <f>C54</f>
        <v>6976600</v>
      </c>
      <c r="D108" s="17">
        <f>(1+('RevReq Calculation'!B14/100))*4374</f>
        <v>4754.5025061467113</v>
      </c>
      <c r="E108" s="16" t="s">
        <v>201</v>
      </c>
      <c r="F108" s="50">
        <f>12*D108</f>
        <v>57054.030073760536</v>
      </c>
    </row>
    <row r="109" spans="1:6" x14ac:dyDescent="0.25">
      <c r="A109" s="16" t="s">
        <v>206</v>
      </c>
      <c r="C109" s="75">
        <f>D54</f>
        <v>2499900</v>
      </c>
      <c r="D109" s="139">
        <f>(1+('RevReq Calculation'!B14/100))*0.00459</f>
        <v>4.9892927533638333E-3</v>
      </c>
      <c r="E109" s="16" t="s">
        <v>204</v>
      </c>
      <c r="F109" s="15">
        <f>C109*D109</f>
        <v>12472.732954134246</v>
      </c>
    </row>
    <row r="110" spans="1:6" x14ac:dyDescent="0.25">
      <c r="A110" s="16" t="s">
        <v>66</v>
      </c>
      <c r="C110" s="75">
        <f>SUM(C108:C109)</f>
        <v>9476500</v>
      </c>
      <c r="F110" s="50">
        <f>SUM(F108:F109)</f>
        <v>69526.763027894776</v>
      </c>
    </row>
    <row r="112" spans="1:6" x14ac:dyDescent="0.25">
      <c r="A112" s="154" t="s">
        <v>194</v>
      </c>
      <c r="B112" s="154"/>
      <c r="C112" s="154"/>
      <c r="D112" s="154"/>
      <c r="E112" s="154"/>
      <c r="F112" s="154"/>
    </row>
    <row r="113" spans="1:6" x14ac:dyDescent="0.25">
      <c r="B113" s="128" t="s">
        <v>171</v>
      </c>
      <c r="C113" s="128" t="s">
        <v>182</v>
      </c>
      <c r="D113" s="128" t="s">
        <v>184</v>
      </c>
      <c r="E113" s="128"/>
      <c r="F113" s="128" t="s">
        <v>200</v>
      </c>
    </row>
    <row r="114" spans="1:6" x14ac:dyDescent="0.25">
      <c r="A114" s="16" t="s">
        <v>195</v>
      </c>
      <c r="B114" s="129">
        <v>12</v>
      </c>
      <c r="C114" s="75">
        <f>C75</f>
        <v>23400000</v>
      </c>
      <c r="D114" s="17">
        <f>(1+('RevReq Calculation'!B14/100))*14215.5</f>
        <v>15452.133144976811</v>
      </c>
      <c r="E114" s="16" t="s">
        <v>201</v>
      </c>
      <c r="F114" s="50">
        <f>12*D114</f>
        <v>185425.59773972174</v>
      </c>
    </row>
    <row r="115" spans="1:6" x14ac:dyDescent="0.25">
      <c r="A115" s="16" t="s">
        <v>207</v>
      </c>
      <c r="C115" s="75">
        <f>D75</f>
        <v>46841600</v>
      </c>
      <c r="D115" s="16">
        <f>(1+('RevReq Calculation'!B14/100))*0.00729</f>
        <v>7.9241708435778511E-3</v>
      </c>
      <c r="E115" s="16" t="s">
        <v>204</v>
      </c>
      <c r="F115" s="17">
        <f>C115*D115</f>
        <v>371180.84098653629</v>
      </c>
    </row>
    <row r="116" spans="1:6" x14ac:dyDescent="0.25">
      <c r="A116" s="16" t="s">
        <v>66</v>
      </c>
      <c r="C116" s="75">
        <f>SUM(C114:C115)</f>
        <v>70241600</v>
      </c>
      <c r="F116" s="50">
        <f>SUM(F114:F115)</f>
        <v>556606.438726258</v>
      </c>
    </row>
    <row r="118" spans="1:6" x14ac:dyDescent="0.25">
      <c r="A118" s="16" t="s">
        <v>66</v>
      </c>
      <c r="B118" s="75">
        <f>B97+B103+B108+B114</f>
        <v>74332</v>
      </c>
      <c r="C118" s="75">
        <f>C99+C103+C110+C116</f>
        <v>397759700</v>
      </c>
      <c r="F118" s="50">
        <f>F99+F103+F110+F116</f>
        <v>4371372.9840378296</v>
      </c>
    </row>
  </sheetData>
  <mergeCells count="12">
    <mergeCell ref="A112:F112"/>
    <mergeCell ref="B16:M16"/>
    <mergeCell ref="B30:M30"/>
    <mergeCell ref="A36:F36"/>
    <mergeCell ref="A42:E42"/>
    <mergeCell ref="A50:F50"/>
    <mergeCell ref="A73:F73"/>
    <mergeCell ref="A95:F95"/>
    <mergeCell ref="D96:E96"/>
    <mergeCell ref="A101:F101"/>
    <mergeCell ref="D102:E102"/>
    <mergeCell ref="A106:F10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BDC9A-E000-487F-ABAB-32E64E36C2B4}">
  <dimension ref="A1:N124"/>
  <sheetViews>
    <sheetView topLeftCell="A91" zoomScale="90" zoomScaleNormal="90" workbookViewId="0">
      <selection activeCell="F119" sqref="F119"/>
    </sheetView>
  </sheetViews>
  <sheetFormatPr defaultRowHeight="15" x14ac:dyDescent="0.25"/>
  <cols>
    <col min="1" max="1" width="25.5703125" style="16" customWidth="1"/>
    <col min="2" max="2" width="22.5703125" style="16" customWidth="1"/>
    <col min="3" max="3" width="14.28515625" style="16" bestFit="1" customWidth="1"/>
    <col min="4" max="4" width="15" style="16" customWidth="1"/>
    <col min="5" max="5" width="14.28515625" style="16" bestFit="1" customWidth="1"/>
    <col min="6" max="6" width="19" style="16" customWidth="1"/>
    <col min="7" max="9" width="13.28515625" style="16" bestFit="1" customWidth="1"/>
    <col min="10" max="11" width="12.85546875" style="16" customWidth="1"/>
    <col min="12" max="12" width="13.28515625" style="16" customWidth="1"/>
    <col min="13" max="13" width="13.7109375" style="16" customWidth="1"/>
    <col min="14" max="14" width="27.140625" style="16" customWidth="1"/>
    <col min="15" max="16384" width="9.140625" style="16"/>
  </cols>
  <sheetData>
    <row r="1" spans="1:13" x14ac:dyDescent="0.25">
      <c r="A1" s="149" t="s">
        <v>157</v>
      </c>
      <c r="B1" s="149" t="s">
        <v>158</v>
      </c>
      <c r="C1" s="149" t="s">
        <v>171</v>
      </c>
    </row>
    <row r="2" spans="1:13" x14ac:dyDescent="0.25">
      <c r="A2" s="16" t="s">
        <v>159</v>
      </c>
      <c r="B2" s="74">
        <v>30268400</v>
      </c>
      <c r="C2" s="74">
        <v>6159</v>
      </c>
    </row>
    <row r="3" spans="1:13" x14ac:dyDescent="0.25">
      <c r="A3" s="16" t="s">
        <v>160</v>
      </c>
      <c r="B3" s="74">
        <v>27925900</v>
      </c>
      <c r="C3" s="74">
        <v>6153</v>
      </c>
    </row>
    <row r="4" spans="1:13" x14ac:dyDescent="0.25">
      <c r="A4" s="16" t="s">
        <v>161</v>
      </c>
      <c r="B4" s="74">
        <v>30236000</v>
      </c>
      <c r="C4" s="74">
        <v>6139</v>
      </c>
    </row>
    <row r="5" spans="1:13" x14ac:dyDescent="0.25">
      <c r="A5" s="16" t="s">
        <v>162</v>
      </c>
      <c r="B5" s="74">
        <v>26744700</v>
      </c>
      <c r="C5" s="74">
        <v>6138</v>
      </c>
    </row>
    <row r="6" spans="1:13" x14ac:dyDescent="0.25">
      <c r="A6" s="16" t="s">
        <v>163</v>
      </c>
      <c r="B6" s="74">
        <v>29854500</v>
      </c>
      <c r="C6" s="74">
        <v>6155</v>
      </c>
    </row>
    <row r="7" spans="1:13" x14ac:dyDescent="0.25">
      <c r="A7" s="16" t="s">
        <v>164</v>
      </c>
      <c r="B7" s="74">
        <v>35014000</v>
      </c>
      <c r="C7" s="74">
        <v>6181</v>
      </c>
    </row>
    <row r="8" spans="1:13" x14ac:dyDescent="0.25">
      <c r="A8" s="16" t="s">
        <v>165</v>
      </c>
      <c r="B8" s="74">
        <v>39010700</v>
      </c>
      <c r="C8" s="74">
        <v>6214</v>
      </c>
    </row>
    <row r="9" spans="1:13" x14ac:dyDescent="0.25">
      <c r="A9" s="16" t="s">
        <v>166</v>
      </c>
      <c r="B9" s="74">
        <v>38854000</v>
      </c>
      <c r="C9" s="74">
        <v>6224</v>
      </c>
    </row>
    <row r="10" spans="1:13" x14ac:dyDescent="0.25">
      <c r="A10" s="16" t="s">
        <v>167</v>
      </c>
      <c r="B10" s="74">
        <v>35712800</v>
      </c>
      <c r="C10" s="74">
        <v>6235</v>
      </c>
    </row>
    <row r="11" spans="1:13" x14ac:dyDescent="0.25">
      <c r="A11" s="16" t="s">
        <v>168</v>
      </c>
      <c r="B11" s="74">
        <v>34623100</v>
      </c>
      <c r="C11" s="74">
        <v>6237</v>
      </c>
    </row>
    <row r="12" spans="1:13" x14ac:dyDescent="0.25">
      <c r="A12" s="16" t="s">
        <v>169</v>
      </c>
      <c r="B12" s="74">
        <v>32336000</v>
      </c>
      <c r="C12" s="74">
        <v>6234</v>
      </c>
    </row>
    <row r="13" spans="1:13" x14ac:dyDescent="0.25">
      <c r="A13" s="16" t="s">
        <v>170</v>
      </c>
      <c r="B13" s="74">
        <v>37179600</v>
      </c>
      <c r="C13" s="74">
        <v>6239</v>
      </c>
    </row>
    <row r="14" spans="1:13" x14ac:dyDescent="0.25">
      <c r="B14" s="75">
        <f>SUM(B2:B13)</f>
        <v>397759700</v>
      </c>
      <c r="C14" s="74">
        <f>SUM(C2:C13)</f>
        <v>74308</v>
      </c>
    </row>
    <row r="15" spans="1:13" x14ac:dyDescent="0.25">
      <c r="B15" s="75"/>
      <c r="C15" s="74"/>
    </row>
    <row r="16" spans="1:13" x14ac:dyDescent="0.25">
      <c r="B16" s="155" t="s">
        <v>181</v>
      </c>
      <c r="C16" s="155"/>
      <c r="D16" s="155"/>
      <c r="E16" s="155"/>
      <c r="F16" s="155"/>
      <c r="G16" s="155"/>
      <c r="H16" s="155"/>
      <c r="I16" s="155"/>
      <c r="J16" s="155"/>
      <c r="K16" s="155"/>
      <c r="L16" s="155"/>
      <c r="M16" s="155"/>
    </row>
    <row r="17" spans="1:14" x14ac:dyDescent="0.25">
      <c r="B17" s="149" t="s">
        <v>159</v>
      </c>
      <c r="C17" s="149" t="s">
        <v>160</v>
      </c>
      <c r="D17" s="149" t="s">
        <v>161</v>
      </c>
      <c r="E17" s="149" t="s">
        <v>162</v>
      </c>
      <c r="F17" s="149" t="s">
        <v>163</v>
      </c>
      <c r="G17" s="149" t="s">
        <v>164</v>
      </c>
      <c r="H17" s="149" t="s">
        <v>165</v>
      </c>
      <c r="I17" s="149" t="s">
        <v>166</v>
      </c>
      <c r="J17" s="149" t="s">
        <v>167</v>
      </c>
      <c r="K17" s="149" t="s">
        <v>168</v>
      </c>
      <c r="L17" s="149" t="s">
        <v>169</v>
      </c>
      <c r="M17" s="149" t="s">
        <v>170</v>
      </c>
    </row>
    <row r="18" spans="1:14" x14ac:dyDescent="0.25">
      <c r="A18" s="16" t="s">
        <v>172</v>
      </c>
      <c r="B18" s="74">
        <v>2062900</v>
      </c>
      <c r="C18" s="74">
        <v>2382700</v>
      </c>
      <c r="D18" s="74">
        <v>2159000</v>
      </c>
      <c r="E18" s="74">
        <v>2529200</v>
      </c>
      <c r="F18" s="74">
        <v>2016100</v>
      </c>
      <c r="G18" s="74">
        <v>2071000</v>
      </c>
      <c r="H18" s="74">
        <v>1901000</v>
      </c>
      <c r="I18" s="74">
        <v>1934300</v>
      </c>
      <c r="J18" s="74">
        <v>2162100</v>
      </c>
      <c r="K18" s="74">
        <v>2085000</v>
      </c>
      <c r="L18" s="74">
        <v>2389500</v>
      </c>
      <c r="M18" s="74">
        <v>1792600</v>
      </c>
      <c r="N18" s="75">
        <f>SUM(B18:M18)</f>
        <v>25485400</v>
      </c>
    </row>
    <row r="19" spans="1:14" x14ac:dyDescent="0.25">
      <c r="A19" s="16" t="s">
        <v>173</v>
      </c>
      <c r="B19" s="75">
        <f>B2-B18</f>
        <v>28205500</v>
      </c>
      <c r="C19" s="75">
        <f>B3-C18</f>
        <v>25543200</v>
      </c>
      <c r="D19" s="75">
        <f>B4-D18</f>
        <v>28077000</v>
      </c>
      <c r="E19" s="75">
        <f>B5-E18</f>
        <v>24215500</v>
      </c>
      <c r="F19" s="75">
        <f>B6-F18</f>
        <v>27838400</v>
      </c>
      <c r="G19" s="75">
        <f>B7-G18</f>
        <v>32943000</v>
      </c>
      <c r="H19" s="75">
        <f>B8-H18</f>
        <v>37109700</v>
      </c>
      <c r="I19" s="75">
        <f>B9-I18</f>
        <v>36919700</v>
      </c>
      <c r="J19" s="75">
        <f>B10-J18</f>
        <v>33550700</v>
      </c>
      <c r="K19" s="75">
        <f>B11-K18</f>
        <v>32538100</v>
      </c>
      <c r="L19" s="75">
        <f>B12-L18</f>
        <v>29946500</v>
      </c>
      <c r="M19" s="75">
        <f>B13-M18</f>
        <v>35387000</v>
      </c>
      <c r="N19" s="75">
        <f>SUM(B19:M19)</f>
        <v>372274300</v>
      </c>
    </row>
    <row r="21" spans="1:14" x14ac:dyDescent="0.25">
      <c r="A21" s="16" t="s">
        <v>174</v>
      </c>
      <c r="B21" s="74">
        <v>5250200</v>
      </c>
      <c r="C21" s="74">
        <v>4996300</v>
      </c>
      <c r="D21" s="74">
        <v>5312700</v>
      </c>
      <c r="E21" s="74">
        <v>4858300</v>
      </c>
      <c r="F21" s="74">
        <v>4615500</v>
      </c>
      <c r="G21" s="74">
        <v>5739000</v>
      </c>
      <c r="H21" s="74">
        <v>6426200</v>
      </c>
      <c r="I21" s="74">
        <v>6762200</v>
      </c>
      <c r="J21" s="74">
        <v>5799500</v>
      </c>
      <c r="K21" s="74">
        <v>5807700</v>
      </c>
      <c r="L21" s="74">
        <v>7139200</v>
      </c>
      <c r="M21" s="74">
        <v>7534800</v>
      </c>
      <c r="N21" s="75">
        <f t="shared" ref="N21:N26" si="0">SUM(B21:M21)</f>
        <v>70241600</v>
      </c>
    </row>
    <row r="22" spans="1:14" x14ac:dyDescent="0.25">
      <c r="A22" s="16" t="s">
        <v>175</v>
      </c>
      <c r="B22" s="74">
        <v>709500</v>
      </c>
      <c r="C22" s="74">
        <v>504400</v>
      </c>
      <c r="D22" s="74">
        <v>574400</v>
      </c>
      <c r="E22" s="74">
        <v>591300</v>
      </c>
      <c r="F22" s="74">
        <v>506500</v>
      </c>
      <c r="G22" s="74">
        <v>659800</v>
      </c>
      <c r="H22" s="74">
        <v>1091800</v>
      </c>
      <c r="I22" s="74">
        <v>1268500</v>
      </c>
      <c r="J22" s="74">
        <v>1243500</v>
      </c>
      <c r="K22" s="74">
        <v>828900</v>
      </c>
      <c r="L22" s="74">
        <v>679600</v>
      </c>
      <c r="M22" s="74">
        <v>818300</v>
      </c>
      <c r="N22" s="75">
        <f t="shared" si="0"/>
        <v>9476500</v>
      </c>
    </row>
    <row r="23" spans="1:14" x14ac:dyDescent="0.25">
      <c r="A23" s="16" t="s">
        <v>176</v>
      </c>
      <c r="B23" s="74">
        <v>777400</v>
      </c>
      <c r="C23" s="74">
        <v>833400</v>
      </c>
      <c r="D23" s="74">
        <v>956600</v>
      </c>
      <c r="E23" s="74">
        <v>632600</v>
      </c>
      <c r="F23" s="74">
        <v>647400</v>
      </c>
      <c r="G23" s="74">
        <v>784100</v>
      </c>
      <c r="H23" s="74">
        <v>752700</v>
      </c>
      <c r="I23" s="74">
        <v>669500</v>
      </c>
      <c r="J23" s="74">
        <v>831200</v>
      </c>
      <c r="K23" s="74">
        <v>839400</v>
      </c>
      <c r="L23" s="74">
        <v>1156000</v>
      </c>
      <c r="M23" s="74">
        <v>1249600</v>
      </c>
      <c r="N23" s="75">
        <f t="shared" si="0"/>
        <v>10129900</v>
      </c>
    </row>
    <row r="24" spans="1:14" x14ac:dyDescent="0.25">
      <c r="A24" s="16" t="s">
        <v>209</v>
      </c>
      <c r="B24" s="16">
        <v>209900</v>
      </c>
      <c r="C24" s="16">
        <v>178400</v>
      </c>
      <c r="D24" s="16">
        <v>177800</v>
      </c>
      <c r="E24" s="16">
        <v>187000</v>
      </c>
      <c r="F24" s="16">
        <v>178900</v>
      </c>
      <c r="G24" s="16">
        <v>208100</v>
      </c>
      <c r="H24" s="16">
        <v>224900</v>
      </c>
      <c r="I24" s="16">
        <v>355500</v>
      </c>
      <c r="J24" s="16">
        <v>384300</v>
      </c>
      <c r="K24" s="16">
        <v>286300</v>
      </c>
      <c r="L24" s="16">
        <v>196800</v>
      </c>
      <c r="M24" s="16">
        <v>261900</v>
      </c>
      <c r="N24" s="75">
        <f t="shared" si="0"/>
        <v>2849800</v>
      </c>
    </row>
    <row r="25" spans="1:14" x14ac:dyDescent="0.25">
      <c r="A25" s="16" t="s">
        <v>210</v>
      </c>
      <c r="B25" s="29">
        <v>49400</v>
      </c>
      <c r="C25" s="74">
        <v>271500</v>
      </c>
      <c r="D25" s="74">
        <v>422700</v>
      </c>
      <c r="E25" s="74">
        <v>397500</v>
      </c>
      <c r="F25" s="74">
        <v>400300</v>
      </c>
      <c r="G25" s="74">
        <v>505800</v>
      </c>
      <c r="H25" s="74">
        <v>696200</v>
      </c>
      <c r="I25" s="74">
        <v>570700</v>
      </c>
      <c r="J25" s="74">
        <v>521600</v>
      </c>
      <c r="K25" s="74">
        <v>930700</v>
      </c>
      <c r="L25" s="74">
        <v>501900</v>
      </c>
      <c r="M25" s="74">
        <v>429800</v>
      </c>
      <c r="N25" s="75">
        <f t="shared" si="0"/>
        <v>5698100</v>
      </c>
    </row>
    <row r="26" spans="1:14" x14ac:dyDescent="0.25">
      <c r="A26" s="16" t="s">
        <v>179</v>
      </c>
      <c r="B26" s="74">
        <v>443900</v>
      </c>
      <c r="C26" s="74">
        <v>642100</v>
      </c>
      <c r="D26" s="74">
        <v>584500</v>
      </c>
      <c r="E26" s="74">
        <v>373800</v>
      </c>
      <c r="F26" s="74">
        <v>361200</v>
      </c>
      <c r="G26" s="74">
        <v>359300</v>
      </c>
      <c r="H26" s="74">
        <v>297200</v>
      </c>
      <c r="I26" s="74">
        <v>257300</v>
      </c>
      <c r="J26" s="74">
        <v>208900</v>
      </c>
      <c r="K26" s="74">
        <v>155900</v>
      </c>
      <c r="L26" s="74">
        <v>290900</v>
      </c>
      <c r="M26" s="74">
        <v>353500</v>
      </c>
      <c r="N26" s="75">
        <f t="shared" si="0"/>
        <v>4328500</v>
      </c>
    </row>
    <row r="27" spans="1:14" x14ac:dyDescent="0.25">
      <c r="A27" s="16" t="s">
        <v>66</v>
      </c>
      <c r="B27" s="75">
        <f>SUM(B21:B26)</f>
        <v>7440300</v>
      </c>
      <c r="C27" s="75">
        <f t="shared" ref="C27:N27" si="1">SUM(C21:C26)</f>
        <v>7426100</v>
      </c>
      <c r="D27" s="75">
        <f t="shared" si="1"/>
        <v>8028700</v>
      </c>
      <c r="E27" s="75">
        <f t="shared" si="1"/>
        <v>7040500</v>
      </c>
      <c r="F27" s="75">
        <f t="shared" si="1"/>
        <v>6709800</v>
      </c>
      <c r="G27" s="75">
        <f t="shared" si="1"/>
        <v>8256100</v>
      </c>
      <c r="H27" s="75">
        <f t="shared" si="1"/>
        <v>9489000</v>
      </c>
      <c r="I27" s="75">
        <f t="shared" si="1"/>
        <v>9883700</v>
      </c>
      <c r="J27" s="75">
        <f t="shared" si="1"/>
        <v>8989000</v>
      </c>
      <c r="K27" s="75">
        <f t="shared" si="1"/>
        <v>8848900</v>
      </c>
      <c r="L27" s="75">
        <f t="shared" si="1"/>
        <v>9964400</v>
      </c>
      <c r="M27" s="75">
        <f t="shared" si="1"/>
        <v>10647900</v>
      </c>
      <c r="N27" s="75">
        <f t="shared" si="1"/>
        <v>102724400</v>
      </c>
    </row>
    <row r="28" spans="1:14" x14ac:dyDescent="0.25">
      <c r="B28" s="75"/>
      <c r="C28" s="75"/>
      <c r="D28" s="75"/>
      <c r="E28" s="75"/>
      <c r="F28" s="75"/>
      <c r="G28" s="75"/>
      <c r="H28" s="75"/>
      <c r="I28" s="75"/>
      <c r="J28" s="75"/>
      <c r="K28" s="75"/>
      <c r="L28" s="75"/>
      <c r="M28" s="75"/>
      <c r="N28" s="75"/>
    </row>
    <row r="29" spans="1:14" x14ac:dyDescent="0.25">
      <c r="B29" s="75"/>
      <c r="C29" s="75"/>
      <c r="D29" s="75"/>
      <c r="E29" s="75"/>
      <c r="F29" s="75"/>
      <c r="G29" s="75"/>
      <c r="H29" s="75"/>
      <c r="I29" s="75"/>
      <c r="J29" s="75"/>
      <c r="K29" s="75"/>
      <c r="L29" s="75"/>
      <c r="M29" s="75"/>
      <c r="N29" s="75"/>
    </row>
    <row r="30" spans="1:14" x14ac:dyDescent="0.25">
      <c r="B30" s="155" t="s">
        <v>180</v>
      </c>
      <c r="C30" s="155"/>
      <c r="D30" s="155"/>
      <c r="E30" s="155"/>
      <c r="F30" s="155"/>
      <c r="G30" s="155"/>
      <c r="H30" s="155"/>
      <c r="I30" s="155"/>
      <c r="J30" s="155"/>
      <c r="K30" s="155"/>
      <c r="L30" s="155"/>
      <c r="M30" s="155"/>
    </row>
    <row r="31" spans="1:14" x14ac:dyDescent="0.25">
      <c r="B31" s="149" t="s">
        <v>159</v>
      </c>
      <c r="C31" s="149" t="s">
        <v>160</v>
      </c>
      <c r="D31" s="149" t="s">
        <v>161</v>
      </c>
      <c r="E31" s="149" t="s">
        <v>162</v>
      </c>
      <c r="F31" s="149" t="s">
        <v>163</v>
      </c>
      <c r="G31" s="149" t="s">
        <v>164</v>
      </c>
      <c r="H31" s="149" t="s">
        <v>165</v>
      </c>
      <c r="I31" s="149" t="s">
        <v>166</v>
      </c>
      <c r="J31" s="149" t="s">
        <v>167</v>
      </c>
      <c r="K31" s="149" t="s">
        <v>168</v>
      </c>
      <c r="L31" s="149" t="s">
        <v>169</v>
      </c>
      <c r="M31" s="149" t="s">
        <v>170</v>
      </c>
    </row>
    <row r="32" spans="1:14" x14ac:dyDescent="0.25">
      <c r="A32" s="16" t="s">
        <v>172</v>
      </c>
      <c r="B32" s="74">
        <v>2167</v>
      </c>
      <c r="C32" s="74">
        <v>2478</v>
      </c>
      <c r="D32" s="74">
        <v>2242</v>
      </c>
      <c r="E32" s="74">
        <v>2557</v>
      </c>
      <c r="F32" s="74">
        <v>2281</v>
      </c>
      <c r="G32" s="74">
        <v>2136</v>
      </c>
      <c r="H32" s="74">
        <v>1962</v>
      </c>
      <c r="I32" s="74">
        <v>1943</v>
      </c>
      <c r="J32" s="74">
        <v>2160</v>
      </c>
      <c r="K32" s="74">
        <v>2118</v>
      </c>
      <c r="L32" s="74">
        <v>2399</v>
      </c>
      <c r="M32" s="74">
        <v>1909</v>
      </c>
      <c r="N32" s="75">
        <f>SUM(B32:M32)</f>
        <v>26352</v>
      </c>
    </row>
    <row r="33" spans="1:14" x14ac:dyDescent="0.25">
      <c r="A33" s="16" t="s">
        <v>173</v>
      </c>
      <c r="B33" s="75">
        <f>C2-B32</f>
        <v>3992</v>
      </c>
      <c r="C33" s="75">
        <f>C3-C32</f>
        <v>3675</v>
      </c>
      <c r="D33" s="75">
        <f>C4-D32</f>
        <v>3897</v>
      </c>
      <c r="E33" s="75">
        <f>C5-E32</f>
        <v>3581</v>
      </c>
      <c r="F33" s="75">
        <f>C6-F32</f>
        <v>3874</v>
      </c>
      <c r="G33" s="75">
        <f>C7-G32</f>
        <v>4045</v>
      </c>
      <c r="H33" s="75">
        <f>C8-H32</f>
        <v>4252</v>
      </c>
      <c r="I33" s="75">
        <f>C9-I32</f>
        <v>4281</v>
      </c>
      <c r="J33" s="75">
        <f>C10-J32</f>
        <v>4075</v>
      </c>
      <c r="K33" s="75">
        <f>C11-K32</f>
        <v>4119</v>
      </c>
      <c r="L33" s="75">
        <f>C12-L32</f>
        <v>3835</v>
      </c>
      <c r="M33" s="75">
        <f>C13-M32</f>
        <v>4330</v>
      </c>
      <c r="N33" s="75">
        <f>SUM(B33:M33)</f>
        <v>47956</v>
      </c>
    </row>
    <row r="36" spans="1:14" x14ac:dyDescent="0.25">
      <c r="A36" s="161" t="s">
        <v>185</v>
      </c>
      <c r="B36" s="161"/>
      <c r="C36" s="161"/>
      <c r="D36" s="161"/>
      <c r="E36" s="161"/>
      <c r="F36" s="161"/>
    </row>
    <row r="37" spans="1:14" x14ac:dyDescent="0.25">
      <c r="B37" s="149" t="s">
        <v>171</v>
      </c>
      <c r="C37" s="149" t="s">
        <v>182</v>
      </c>
      <c r="D37" s="149" t="s">
        <v>183</v>
      </c>
      <c r="E37" s="149" t="s">
        <v>66</v>
      </c>
    </row>
    <row r="38" spans="1:14" x14ac:dyDescent="0.25">
      <c r="A38" s="16" t="s">
        <v>172</v>
      </c>
      <c r="B38" s="75">
        <f>N32</f>
        <v>26352</v>
      </c>
      <c r="C38" s="75">
        <f>N18</f>
        <v>25485400</v>
      </c>
      <c r="D38" s="75"/>
      <c r="E38" s="75">
        <f>C38</f>
        <v>25485400</v>
      </c>
    </row>
    <row r="39" spans="1:14" x14ac:dyDescent="0.25">
      <c r="A39" s="16" t="s">
        <v>173</v>
      </c>
      <c r="B39" s="74">
        <f>N33-(6*12)</f>
        <v>47884</v>
      </c>
      <c r="C39" s="74">
        <f>B39*2000</f>
        <v>95768000</v>
      </c>
      <c r="D39" s="75">
        <f>N19-(N27+C39)</f>
        <v>173781900</v>
      </c>
      <c r="E39" s="75">
        <f>C39+D39</f>
        <v>269549900</v>
      </c>
    </row>
    <row r="40" spans="1:14" x14ac:dyDescent="0.25">
      <c r="B40" s="74">
        <f>SUM(B38:B39)</f>
        <v>74236</v>
      </c>
      <c r="C40" s="74">
        <f>SUM(C38:C39)</f>
        <v>121253400</v>
      </c>
      <c r="D40" s="75"/>
      <c r="E40" s="75">
        <f>SUM(E38:E39)</f>
        <v>295035300</v>
      </c>
    </row>
    <row r="41" spans="1:14" x14ac:dyDescent="0.25">
      <c r="D41" s="75"/>
      <c r="F41" s="75"/>
    </row>
    <row r="42" spans="1:14" x14ac:dyDescent="0.25">
      <c r="A42" s="161" t="s">
        <v>186</v>
      </c>
      <c r="B42" s="161"/>
      <c r="C42" s="161"/>
      <c r="D42" s="161"/>
      <c r="E42" s="161"/>
      <c r="F42" s="149"/>
    </row>
    <row r="43" spans="1:14" x14ac:dyDescent="0.25">
      <c r="B43" s="149" t="s">
        <v>171</v>
      </c>
      <c r="C43" s="149" t="s">
        <v>182</v>
      </c>
      <c r="D43" s="149"/>
      <c r="E43" s="149" t="s">
        <v>66</v>
      </c>
      <c r="F43" s="150"/>
    </row>
    <row r="44" spans="1:14" x14ac:dyDescent="0.25">
      <c r="A44" s="16" t="s">
        <v>176</v>
      </c>
      <c r="B44" s="150">
        <v>12</v>
      </c>
      <c r="C44" s="75">
        <f>N23</f>
        <v>10129900</v>
      </c>
      <c r="D44" s="75"/>
      <c r="F44" s="75"/>
    </row>
    <row r="45" spans="1:14" x14ac:dyDescent="0.25">
      <c r="A45" s="16" t="s">
        <v>177</v>
      </c>
      <c r="B45" s="150">
        <v>24</v>
      </c>
      <c r="C45" s="75">
        <f>N24</f>
        <v>2849800</v>
      </c>
      <c r="E45" s="75"/>
      <c r="F45" s="75"/>
    </row>
    <row r="46" spans="1:14" x14ac:dyDescent="0.25">
      <c r="A46" s="16" t="s">
        <v>178</v>
      </c>
      <c r="B46" s="150">
        <v>24</v>
      </c>
      <c r="C46" s="75">
        <f>N25</f>
        <v>5698100</v>
      </c>
      <c r="F46" s="75"/>
    </row>
    <row r="47" spans="1:14" x14ac:dyDescent="0.25">
      <c r="A47" s="16" t="s">
        <v>179</v>
      </c>
      <c r="B47" s="150">
        <v>12</v>
      </c>
      <c r="C47" s="75">
        <f>N26</f>
        <v>4328500</v>
      </c>
    </row>
    <row r="48" spans="1:14" x14ac:dyDescent="0.25">
      <c r="A48" s="16" t="s">
        <v>66</v>
      </c>
      <c r="B48" s="150">
        <f>SUM(B44:B47)</f>
        <v>72</v>
      </c>
      <c r="C48" s="75">
        <f>SUM(C44:C47)</f>
        <v>23006300</v>
      </c>
      <c r="E48" s="75">
        <f>SUM(C44:C47)</f>
        <v>23006300</v>
      </c>
    </row>
    <row r="49" spans="1:6" x14ac:dyDescent="0.25">
      <c r="E49" s="75"/>
    </row>
    <row r="50" spans="1:6" x14ac:dyDescent="0.25">
      <c r="A50" s="161" t="s">
        <v>187</v>
      </c>
      <c r="B50" s="163"/>
      <c r="C50" s="163"/>
      <c r="D50" s="163"/>
      <c r="E50" s="163"/>
      <c r="F50" s="163"/>
    </row>
    <row r="51" spans="1:6" x14ac:dyDescent="0.25">
      <c r="B51" s="149" t="s">
        <v>171</v>
      </c>
      <c r="C51" s="149" t="s">
        <v>189</v>
      </c>
      <c r="D51" s="149" t="s">
        <v>190</v>
      </c>
      <c r="E51" s="149" t="s">
        <v>66</v>
      </c>
    </row>
    <row r="52" spans="1:6" x14ac:dyDescent="0.25">
      <c r="A52" s="16" t="s">
        <v>188</v>
      </c>
      <c r="B52" s="150">
        <v>4</v>
      </c>
      <c r="C52" s="74">
        <f>(4*600000)+D70</f>
        <v>2176600</v>
      </c>
      <c r="D52" s="74"/>
      <c r="E52" s="74">
        <f>C52</f>
        <v>2176600</v>
      </c>
    </row>
    <row r="53" spans="1:6" x14ac:dyDescent="0.25">
      <c r="A53" s="16" t="s">
        <v>206</v>
      </c>
      <c r="B53" s="150">
        <v>8</v>
      </c>
      <c r="C53" s="74">
        <f>8*600000</f>
        <v>4800000</v>
      </c>
      <c r="D53" s="74">
        <f>C70</f>
        <v>2499900</v>
      </c>
      <c r="E53" s="74">
        <f>C53+D53</f>
        <v>7299900</v>
      </c>
    </row>
    <row r="54" spans="1:6" x14ac:dyDescent="0.25">
      <c r="A54" s="16" t="s">
        <v>66</v>
      </c>
      <c r="B54" s="150">
        <f>SUM(B52:B53)</f>
        <v>12</v>
      </c>
      <c r="C54" s="74">
        <f>SUM(C52:C53)</f>
        <v>6976600</v>
      </c>
      <c r="D54" s="74">
        <f>SUM(D53)</f>
        <v>2499900</v>
      </c>
      <c r="E54" s="74">
        <f>SUM(E52:E53)</f>
        <v>9476500</v>
      </c>
    </row>
    <row r="57" spans="1:6" x14ac:dyDescent="0.25">
      <c r="A57" s="149" t="s">
        <v>197</v>
      </c>
      <c r="B57" s="149" t="s">
        <v>193</v>
      </c>
      <c r="C57" s="149" t="s">
        <v>191</v>
      </c>
      <c r="D57" s="149" t="s">
        <v>192</v>
      </c>
    </row>
    <row r="58" spans="1:6" x14ac:dyDescent="0.25">
      <c r="A58" s="16" t="s">
        <v>159</v>
      </c>
      <c r="B58" s="74">
        <v>709500</v>
      </c>
      <c r="C58" s="16">
        <f>IF((B58-600000)&lt;0,0,(B58-600000))</f>
        <v>109500</v>
      </c>
      <c r="D58" s="16">
        <f>IF((B58-600000)&gt;0,0,(B58-600000))</f>
        <v>0</v>
      </c>
    </row>
    <row r="59" spans="1:6" x14ac:dyDescent="0.25">
      <c r="A59" s="16" t="s">
        <v>160</v>
      </c>
      <c r="B59" s="74">
        <v>504400</v>
      </c>
      <c r="C59" s="16">
        <f t="shared" ref="C59:C69" si="2">IF((B59-600000)&lt;0,0,(B59-600000))</f>
        <v>0</v>
      </c>
      <c r="D59" s="16">
        <f t="shared" ref="D59:D69" si="3">IF((B59-600000)&gt;0,0,(B59-600000))</f>
        <v>-95600</v>
      </c>
    </row>
    <row r="60" spans="1:6" x14ac:dyDescent="0.25">
      <c r="A60" s="16" t="s">
        <v>161</v>
      </c>
      <c r="B60" s="74">
        <v>574400</v>
      </c>
      <c r="C60" s="16">
        <f t="shared" si="2"/>
        <v>0</v>
      </c>
      <c r="D60" s="16">
        <f t="shared" si="3"/>
        <v>-25600</v>
      </c>
    </row>
    <row r="61" spans="1:6" x14ac:dyDescent="0.25">
      <c r="A61" s="16" t="s">
        <v>162</v>
      </c>
      <c r="B61" s="74">
        <v>591300</v>
      </c>
      <c r="C61" s="16">
        <f t="shared" si="2"/>
        <v>0</v>
      </c>
      <c r="D61" s="16">
        <f t="shared" si="3"/>
        <v>-8700</v>
      </c>
    </row>
    <row r="62" spans="1:6" x14ac:dyDescent="0.25">
      <c r="A62" s="16" t="s">
        <v>163</v>
      </c>
      <c r="B62" s="74">
        <v>506500</v>
      </c>
      <c r="C62" s="16">
        <f t="shared" si="2"/>
        <v>0</v>
      </c>
      <c r="D62" s="16">
        <f t="shared" si="3"/>
        <v>-93500</v>
      </c>
    </row>
    <row r="63" spans="1:6" x14ac:dyDescent="0.25">
      <c r="A63" s="16" t="s">
        <v>164</v>
      </c>
      <c r="B63" s="74">
        <v>659800</v>
      </c>
      <c r="C63" s="16">
        <f t="shared" si="2"/>
        <v>59800</v>
      </c>
      <c r="D63" s="16">
        <f t="shared" si="3"/>
        <v>0</v>
      </c>
    </row>
    <row r="64" spans="1:6" x14ac:dyDescent="0.25">
      <c r="A64" s="16" t="s">
        <v>165</v>
      </c>
      <c r="B64" s="74">
        <v>1091800</v>
      </c>
      <c r="C64" s="16">
        <f t="shared" si="2"/>
        <v>491800</v>
      </c>
      <c r="D64" s="16">
        <f t="shared" si="3"/>
        <v>0</v>
      </c>
    </row>
    <row r="65" spans="1:6" x14ac:dyDescent="0.25">
      <c r="A65" s="16" t="s">
        <v>166</v>
      </c>
      <c r="B65" s="74">
        <v>1268500</v>
      </c>
      <c r="C65" s="16">
        <f t="shared" si="2"/>
        <v>668500</v>
      </c>
      <c r="D65" s="16">
        <f t="shared" si="3"/>
        <v>0</v>
      </c>
    </row>
    <row r="66" spans="1:6" x14ac:dyDescent="0.25">
      <c r="A66" s="16" t="s">
        <v>167</v>
      </c>
      <c r="B66" s="74">
        <v>1243500</v>
      </c>
      <c r="C66" s="16">
        <f t="shared" si="2"/>
        <v>643500</v>
      </c>
      <c r="D66" s="16">
        <f t="shared" si="3"/>
        <v>0</v>
      </c>
    </row>
    <row r="67" spans="1:6" x14ac:dyDescent="0.25">
      <c r="A67" s="16" t="s">
        <v>168</v>
      </c>
      <c r="B67" s="74">
        <v>828900</v>
      </c>
      <c r="C67" s="16">
        <f t="shared" si="2"/>
        <v>228900</v>
      </c>
      <c r="D67" s="16">
        <f t="shared" si="3"/>
        <v>0</v>
      </c>
    </row>
    <row r="68" spans="1:6" x14ac:dyDescent="0.25">
      <c r="A68" s="16" t="s">
        <v>169</v>
      </c>
      <c r="B68" s="74">
        <v>679600</v>
      </c>
      <c r="C68" s="16">
        <f t="shared" si="2"/>
        <v>79600</v>
      </c>
      <c r="D68" s="16">
        <f t="shared" si="3"/>
        <v>0</v>
      </c>
    </row>
    <row r="69" spans="1:6" x14ac:dyDescent="0.25">
      <c r="A69" s="16" t="s">
        <v>170</v>
      </c>
      <c r="B69" s="74">
        <v>818300</v>
      </c>
      <c r="C69" s="16">
        <f t="shared" si="2"/>
        <v>218300</v>
      </c>
      <c r="D69" s="16">
        <f t="shared" si="3"/>
        <v>0</v>
      </c>
    </row>
    <row r="70" spans="1:6" x14ac:dyDescent="0.25">
      <c r="B70" s="75">
        <f>SUM(B58:B69)</f>
        <v>9476500</v>
      </c>
      <c r="C70" s="16">
        <f>SUM(C58:C69)</f>
        <v>2499900</v>
      </c>
      <c r="D70" s="16">
        <f>SUM(D58:D69)</f>
        <v>-223400</v>
      </c>
    </row>
    <row r="73" spans="1:6" x14ac:dyDescent="0.25">
      <c r="A73" s="161" t="s">
        <v>194</v>
      </c>
      <c r="B73" s="161"/>
      <c r="C73" s="161"/>
      <c r="D73" s="161"/>
      <c r="E73" s="161"/>
      <c r="F73" s="161"/>
    </row>
    <row r="74" spans="1:6" x14ac:dyDescent="0.25">
      <c r="B74" s="149" t="s">
        <v>171</v>
      </c>
      <c r="C74" s="149" t="s">
        <v>198</v>
      </c>
      <c r="D74" s="149" t="s">
        <v>199</v>
      </c>
      <c r="E74" s="149" t="s">
        <v>66</v>
      </c>
    </row>
    <row r="75" spans="1:6" x14ac:dyDescent="0.25">
      <c r="A75" s="16" t="s">
        <v>196</v>
      </c>
      <c r="B75" s="16">
        <v>12</v>
      </c>
      <c r="C75" s="74">
        <f>12*1950000</f>
        <v>23400000</v>
      </c>
      <c r="D75" s="75">
        <f>C91</f>
        <v>46841600</v>
      </c>
      <c r="E75" s="74">
        <f>C75+D75</f>
        <v>70241600</v>
      </c>
    </row>
    <row r="76" spans="1:6" x14ac:dyDescent="0.25">
      <c r="A76" s="16" t="s">
        <v>66</v>
      </c>
      <c r="B76" s="16">
        <f>SUM(B75:B75)</f>
        <v>12</v>
      </c>
      <c r="C76" s="74">
        <f>SUM(C75:C75)</f>
        <v>23400000</v>
      </c>
      <c r="D76" s="74">
        <f>SUM(D75)</f>
        <v>46841600</v>
      </c>
      <c r="E76" s="74">
        <f>SUM(E75:E75)</f>
        <v>70241600</v>
      </c>
    </row>
    <row r="78" spans="1:6" x14ac:dyDescent="0.25">
      <c r="A78" s="149" t="s">
        <v>197</v>
      </c>
      <c r="B78" s="149" t="s">
        <v>193</v>
      </c>
      <c r="C78" s="149" t="s">
        <v>191</v>
      </c>
      <c r="D78" s="149" t="s">
        <v>192</v>
      </c>
    </row>
    <row r="79" spans="1:6" x14ac:dyDescent="0.25">
      <c r="A79" s="16" t="s">
        <v>159</v>
      </c>
      <c r="B79" s="74">
        <v>5250200</v>
      </c>
      <c r="C79" s="74">
        <f>IF((B79-1950000)&lt;0,0,(B79-1950000))</f>
        <v>3300200</v>
      </c>
      <c r="D79" s="16">
        <v>0</v>
      </c>
    </row>
    <row r="80" spans="1:6" x14ac:dyDescent="0.25">
      <c r="A80" s="16" t="s">
        <v>160</v>
      </c>
      <c r="B80" s="74">
        <v>4996300</v>
      </c>
      <c r="C80" s="74">
        <f t="shared" ref="C80:C90" si="4">IF((B80-1950000)&lt;0,0,(B80-1950000))</f>
        <v>3046300</v>
      </c>
      <c r="D80" s="16">
        <v>0</v>
      </c>
    </row>
    <row r="81" spans="1:6" x14ac:dyDescent="0.25">
      <c r="A81" s="16" t="s">
        <v>161</v>
      </c>
      <c r="B81" s="74">
        <v>5312700</v>
      </c>
      <c r="C81" s="74">
        <f t="shared" si="4"/>
        <v>3362700</v>
      </c>
      <c r="D81" s="16">
        <v>0</v>
      </c>
    </row>
    <row r="82" spans="1:6" x14ac:dyDescent="0.25">
      <c r="A82" s="16" t="s">
        <v>162</v>
      </c>
      <c r="B82" s="74">
        <v>4858300</v>
      </c>
      <c r="C82" s="74">
        <f t="shared" si="4"/>
        <v>2908300</v>
      </c>
      <c r="D82" s="16">
        <v>0</v>
      </c>
    </row>
    <row r="83" spans="1:6" x14ac:dyDescent="0.25">
      <c r="A83" s="16" t="s">
        <v>163</v>
      </c>
      <c r="B83" s="74">
        <v>4615500</v>
      </c>
      <c r="C83" s="74">
        <f t="shared" si="4"/>
        <v>2665500</v>
      </c>
      <c r="D83" s="16">
        <v>0</v>
      </c>
    </row>
    <row r="84" spans="1:6" x14ac:dyDescent="0.25">
      <c r="A84" s="16" t="s">
        <v>164</v>
      </c>
      <c r="B84" s="74">
        <v>5739000</v>
      </c>
      <c r="C84" s="74">
        <f t="shared" si="4"/>
        <v>3789000</v>
      </c>
      <c r="D84" s="16">
        <v>0</v>
      </c>
    </row>
    <row r="85" spans="1:6" x14ac:dyDescent="0.25">
      <c r="A85" s="16" t="s">
        <v>165</v>
      </c>
      <c r="B85" s="74">
        <v>6426200</v>
      </c>
      <c r="C85" s="74">
        <f t="shared" si="4"/>
        <v>4476200</v>
      </c>
      <c r="D85" s="16">
        <v>0</v>
      </c>
    </row>
    <row r="86" spans="1:6" x14ac:dyDescent="0.25">
      <c r="A86" s="16" t="s">
        <v>166</v>
      </c>
      <c r="B86" s="74">
        <v>6762200</v>
      </c>
      <c r="C86" s="74">
        <f t="shared" si="4"/>
        <v>4812200</v>
      </c>
      <c r="D86" s="16">
        <v>0</v>
      </c>
    </row>
    <row r="87" spans="1:6" x14ac:dyDescent="0.25">
      <c r="A87" s="16" t="s">
        <v>167</v>
      </c>
      <c r="B87" s="74">
        <v>5799500</v>
      </c>
      <c r="C87" s="74">
        <f t="shared" si="4"/>
        <v>3849500</v>
      </c>
      <c r="D87" s="16">
        <v>0</v>
      </c>
    </row>
    <row r="88" spans="1:6" x14ac:dyDescent="0.25">
      <c r="A88" s="16" t="s">
        <v>168</v>
      </c>
      <c r="B88" s="74">
        <v>5807700</v>
      </c>
      <c r="C88" s="74">
        <f t="shared" si="4"/>
        <v>3857700</v>
      </c>
      <c r="D88" s="16">
        <v>0</v>
      </c>
    </row>
    <row r="89" spans="1:6" x14ac:dyDescent="0.25">
      <c r="A89" s="16" t="s">
        <v>169</v>
      </c>
      <c r="B89" s="74">
        <v>7139200</v>
      </c>
      <c r="C89" s="74">
        <f t="shared" si="4"/>
        <v>5189200</v>
      </c>
      <c r="D89" s="16">
        <v>0</v>
      </c>
    </row>
    <row r="90" spans="1:6" x14ac:dyDescent="0.25">
      <c r="A90" s="16" t="s">
        <v>170</v>
      </c>
      <c r="B90" s="74">
        <v>7534800</v>
      </c>
      <c r="C90" s="74">
        <f t="shared" si="4"/>
        <v>5584800</v>
      </c>
      <c r="D90" s="16">
        <v>0</v>
      </c>
    </row>
    <row r="91" spans="1:6" x14ac:dyDescent="0.25">
      <c r="C91" s="74">
        <f>SUM(C79:C90)</f>
        <v>46841600</v>
      </c>
    </row>
    <row r="95" spans="1:6" x14ac:dyDescent="0.25">
      <c r="A95" s="161" t="s">
        <v>185</v>
      </c>
      <c r="B95" s="163"/>
      <c r="C95" s="163"/>
      <c r="D95" s="163"/>
      <c r="E95" s="163"/>
      <c r="F95" s="163"/>
    </row>
    <row r="96" spans="1:6" x14ac:dyDescent="0.25">
      <c r="A96" s="149"/>
      <c r="B96" s="149" t="s">
        <v>171</v>
      </c>
      <c r="C96" s="149" t="s">
        <v>182</v>
      </c>
      <c r="D96" s="161" t="s">
        <v>184</v>
      </c>
      <c r="E96" s="161"/>
      <c r="F96" s="149" t="s">
        <v>200</v>
      </c>
    </row>
    <row r="97" spans="1:6" x14ac:dyDescent="0.25">
      <c r="A97" s="16" t="s">
        <v>172</v>
      </c>
      <c r="B97" s="80">
        <f>B40</f>
        <v>74236</v>
      </c>
      <c r="C97" s="75">
        <f>C40</f>
        <v>121253400</v>
      </c>
      <c r="D97" s="77">
        <f>1.02175*22.5</f>
        <v>22.989374999999999</v>
      </c>
      <c r="E97" s="16" t="s">
        <v>201</v>
      </c>
      <c r="F97" s="17">
        <f>B97*D97</f>
        <v>1706639.2424999999</v>
      </c>
    </row>
    <row r="98" spans="1:6" x14ac:dyDescent="0.25">
      <c r="A98" s="16" t="s">
        <v>173</v>
      </c>
      <c r="B98" s="74"/>
      <c r="C98" s="74">
        <f>D39</f>
        <v>173781900</v>
      </c>
      <c r="D98" s="78">
        <f>1.02175*0.00925</f>
        <v>9.4511874999999995E-3</v>
      </c>
      <c r="E98" s="16" t="s">
        <v>204</v>
      </c>
      <c r="F98" s="17">
        <f>C98*D98</f>
        <v>1642445.3210062499</v>
      </c>
    </row>
    <row r="99" spans="1:6" x14ac:dyDescent="0.25">
      <c r="A99" s="16" t="s">
        <v>66</v>
      </c>
      <c r="C99" s="75">
        <f>SUM(C97:C98)</f>
        <v>295035300</v>
      </c>
      <c r="F99" s="50">
        <f>SUM(F97:F98)</f>
        <v>3349084.5635062498</v>
      </c>
    </row>
    <row r="101" spans="1:6" x14ac:dyDescent="0.25">
      <c r="A101" s="161" t="s">
        <v>202</v>
      </c>
      <c r="B101" s="163"/>
      <c r="C101" s="163"/>
      <c r="D101" s="163"/>
      <c r="E101" s="163"/>
      <c r="F101" s="163"/>
    </row>
    <row r="102" spans="1:6" x14ac:dyDescent="0.25">
      <c r="A102" s="149"/>
      <c r="B102" s="149" t="s">
        <v>171</v>
      </c>
      <c r="C102" s="149" t="s">
        <v>182</v>
      </c>
      <c r="D102" s="161" t="s">
        <v>184</v>
      </c>
      <c r="E102" s="161"/>
      <c r="F102" s="149" t="s">
        <v>200</v>
      </c>
    </row>
    <row r="103" spans="1:6" x14ac:dyDescent="0.25">
      <c r="A103" s="16" t="s">
        <v>203</v>
      </c>
      <c r="B103" s="76">
        <f>B48</f>
        <v>72</v>
      </c>
      <c r="C103" s="75">
        <f>C48</f>
        <v>23006300</v>
      </c>
      <c r="D103" s="79">
        <f>1.02175*0.00729</f>
        <v>7.4485574999999995E-3</v>
      </c>
      <c r="E103" s="16" t="s">
        <v>204</v>
      </c>
      <c r="F103" s="17">
        <f>C103*D103</f>
        <v>171363.74841224999</v>
      </c>
    </row>
    <row r="106" spans="1:6" x14ac:dyDescent="0.25">
      <c r="A106" s="154" t="s">
        <v>205</v>
      </c>
      <c r="B106" s="154"/>
      <c r="C106" s="154"/>
      <c r="D106" s="154"/>
      <c r="E106" s="154"/>
      <c r="F106" s="154"/>
    </row>
    <row r="107" spans="1:6" x14ac:dyDescent="0.25">
      <c r="B107" s="16" t="s">
        <v>171</v>
      </c>
      <c r="C107" s="16" t="s">
        <v>182</v>
      </c>
      <c r="D107" s="16" t="s">
        <v>184</v>
      </c>
      <c r="F107" s="16" t="s">
        <v>200</v>
      </c>
    </row>
    <row r="108" spans="1:6" x14ac:dyDescent="0.25">
      <c r="A108" s="16" t="s">
        <v>188</v>
      </c>
      <c r="B108" s="150">
        <v>12</v>
      </c>
      <c r="C108" s="74">
        <f>C54</f>
        <v>6976600</v>
      </c>
      <c r="D108" s="17">
        <f>4374*1.02175</f>
        <v>4469.1345000000001</v>
      </c>
      <c r="E108" s="16" t="s">
        <v>201</v>
      </c>
      <c r="F108" s="50">
        <f>12*D108</f>
        <v>53629.614000000001</v>
      </c>
    </row>
    <row r="109" spans="1:6" x14ac:dyDescent="0.25">
      <c r="A109" s="16" t="s">
        <v>206</v>
      </c>
      <c r="C109" s="75">
        <f>D54</f>
        <v>2499900</v>
      </c>
      <c r="D109" s="139">
        <f>0.00729*1.02175</f>
        <v>7.4485574999999995E-3</v>
      </c>
      <c r="E109" s="16" t="s">
        <v>204</v>
      </c>
      <c r="F109" s="15">
        <f>C109*D109</f>
        <v>18620.64889425</v>
      </c>
    </row>
    <row r="110" spans="1:6" x14ac:dyDescent="0.25">
      <c r="A110" s="16" t="s">
        <v>66</v>
      </c>
      <c r="C110" s="75">
        <f>SUM(C108:C109)</f>
        <v>9476500</v>
      </c>
      <c r="F110" s="50">
        <f>SUM(F108:F109)</f>
        <v>72250.262894250001</v>
      </c>
    </row>
    <row r="112" spans="1:6" x14ac:dyDescent="0.25">
      <c r="A112" s="154" t="s">
        <v>194</v>
      </c>
      <c r="B112" s="154"/>
      <c r="C112" s="154"/>
      <c r="D112" s="154"/>
      <c r="E112" s="154"/>
      <c r="F112" s="154"/>
    </row>
    <row r="113" spans="1:6" x14ac:dyDescent="0.25">
      <c r="B113" s="149" t="s">
        <v>171</v>
      </c>
      <c r="C113" s="149" t="s">
        <v>182</v>
      </c>
      <c r="D113" s="149" t="s">
        <v>184</v>
      </c>
      <c r="E113" s="149"/>
      <c r="F113" s="149" t="s">
        <v>200</v>
      </c>
    </row>
    <row r="114" spans="1:6" x14ac:dyDescent="0.25">
      <c r="A114" s="16" t="s">
        <v>195</v>
      </c>
      <c r="B114" s="150">
        <v>12</v>
      </c>
      <c r="C114" s="75">
        <f>C75</f>
        <v>23400000</v>
      </c>
      <c r="D114" s="17">
        <f>14215.5*1.02175</f>
        <v>14524.687124999999</v>
      </c>
      <c r="E114" s="16" t="s">
        <v>201</v>
      </c>
      <c r="F114" s="50">
        <f>12*D114</f>
        <v>174296.24549999999</v>
      </c>
    </row>
    <row r="115" spans="1:6" x14ac:dyDescent="0.25">
      <c r="A115" s="16" t="s">
        <v>207</v>
      </c>
      <c r="C115" s="75">
        <f>D75</f>
        <v>46841600</v>
      </c>
      <c r="D115" s="139">
        <f>0.00729*1.02175</f>
        <v>7.4485574999999995E-3</v>
      </c>
      <c r="E115" s="16" t="s">
        <v>204</v>
      </c>
      <c r="F115" s="17">
        <f>C115*D115</f>
        <v>348902.35099199996</v>
      </c>
    </row>
    <row r="116" spans="1:6" x14ac:dyDescent="0.25">
      <c r="A116" s="16" t="s">
        <v>66</v>
      </c>
      <c r="C116" s="75">
        <f>SUM(C114:C115)</f>
        <v>70241600</v>
      </c>
      <c r="F116" s="50">
        <f>SUM(F114:F115)</f>
        <v>523198.59649199992</v>
      </c>
    </row>
    <row r="118" spans="1:6" x14ac:dyDescent="0.25">
      <c r="A118" s="16" t="s">
        <v>66</v>
      </c>
      <c r="B118" s="75">
        <f>B97+B103+B108+B114</f>
        <v>74332</v>
      </c>
      <c r="C118" s="75">
        <f>C99+C103+C110+C116</f>
        <v>397759700</v>
      </c>
      <c r="F118" s="50">
        <f>F99+F103+F110+F116</f>
        <v>4115897.1713047498</v>
      </c>
    </row>
    <row r="119" spans="1:6" x14ac:dyDescent="0.25">
      <c r="E119" s="16" t="s">
        <v>462</v>
      </c>
      <c r="F119" s="17">
        <v>22116.41</v>
      </c>
    </row>
    <row r="120" spans="1:6" x14ac:dyDescent="0.25">
      <c r="F120" s="50">
        <f>F118-F119</f>
        <v>4093780.7613047496</v>
      </c>
    </row>
    <row r="122" spans="1:6" x14ac:dyDescent="0.25">
      <c r="A122" s="122" t="s">
        <v>459</v>
      </c>
      <c r="B122" s="152">
        <v>0.25</v>
      </c>
    </row>
    <row r="123" spans="1:6" x14ac:dyDescent="0.25">
      <c r="A123" s="122" t="s">
        <v>460</v>
      </c>
      <c r="B123" s="153">
        <v>87126</v>
      </c>
    </row>
    <row r="124" spans="1:6" x14ac:dyDescent="0.25">
      <c r="A124" s="122" t="s">
        <v>461</v>
      </c>
      <c r="B124" s="153">
        <v>4093292</v>
      </c>
    </row>
  </sheetData>
  <mergeCells count="12">
    <mergeCell ref="A112:F112"/>
    <mergeCell ref="B16:M16"/>
    <mergeCell ref="B30:M30"/>
    <mergeCell ref="A36:F36"/>
    <mergeCell ref="A42:E42"/>
    <mergeCell ref="A50:F50"/>
    <mergeCell ref="A73:F73"/>
    <mergeCell ref="A95:F95"/>
    <mergeCell ref="D96:E96"/>
    <mergeCell ref="A101:F101"/>
    <mergeCell ref="D102:E102"/>
    <mergeCell ref="A106:F10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Schedule Of Adjusted Operations</vt:lpstr>
      <vt:lpstr>Adjustments</vt:lpstr>
      <vt:lpstr>RevReq Calculation</vt:lpstr>
      <vt:lpstr>All District Employees</vt:lpstr>
      <vt:lpstr>Wage-Benefits</vt:lpstr>
      <vt:lpstr>2020_UnadjustedRevenue</vt:lpstr>
      <vt:lpstr>2020_AdjustedRevenue</vt:lpstr>
      <vt:lpstr>100%RevenueReq_ProposedRates</vt:lpstr>
      <vt:lpstr>Phase_1_Rates</vt:lpstr>
      <vt:lpstr>Phase_2_Rates</vt:lpstr>
      <vt:lpstr>Adjustments_H2O_Usage</vt:lpstr>
      <vt:lpstr>DebtServiceRequirements</vt:lpstr>
      <vt:lpstr>Nonrecurring Charges</vt:lpstr>
      <vt:lpstr>Adjustment_Contract-MiscExpense</vt:lpstr>
      <vt:lpstr>RelatedTransactions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2021-09-22T21:08:59Z</dcterms:created>
  <dcterms:modified xsi:type="dcterms:W3CDTF">2021-09-22T21:09:48Z</dcterms:modified>
</cp:coreProperties>
</file>