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140" activeTab="0"/>
  </bookViews>
  <sheets>
    <sheet name="Data" sheetId="1" r:id="rId1"/>
    <sheet name="Residential" sheetId="2" r:id="rId2"/>
    <sheet name=".75&quot; and 1.0&quot;" sheetId="3" r:id="rId3"/>
    <sheet name="1.5&quot; and 2.0&quot;" sheetId="4" r:id="rId4"/>
    <sheet name="Residential Proposed Rate" sheetId="5" r:id="rId5"/>
    <sheet name=".75&quot; and 1.0&quot; Proposed Rate" sheetId="6" r:id="rId6"/>
    <sheet name="1.5&quot; and 2.0&quot; Proposed Rate" sheetId="7" r:id="rId7"/>
  </sheets>
  <definedNames>
    <definedName name="_xlnm.Print_Area" localSheetId="2">'.75" and 1.0"'!$A$1:$O$35</definedName>
    <definedName name="_xlnm.Print_Area" localSheetId="5">'.75" and 1.0" Proposed Rate'!$A$1:$O$35</definedName>
    <definedName name="_xlnm.Print_Area" localSheetId="1">'Residential'!$A$1:$O$52</definedName>
    <definedName name="_xlnm.Print_Area" localSheetId="4">'Residential Proposed Rate'!$A$1:$O$52</definedName>
  </definedNames>
  <calcPr fullCalcOnLoad="1"/>
</workbook>
</file>

<file path=xl/sharedStrings.xml><?xml version="1.0" encoding="utf-8"?>
<sst xmlns="http://schemas.openxmlformats.org/spreadsheetml/2006/main" count="309" uniqueCount="94">
  <si>
    <t>Monthly Usage Gallons</t>
  </si>
  <si>
    <t>Average Monthly Usage</t>
  </si>
  <si>
    <t>No. of Users</t>
  </si>
  <si>
    <t>Monthly Income</t>
  </si>
  <si>
    <t>From</t>
  </si>
  <si>
    <t>To</t>
  </si>
  <si>
    <t>per Thousand Gallons.</t>
  </si>
  <si>
    <t>Usage (1000-Gal.)</t>
  </si>
  <si>
    <t>TOTALS</t>
  </si>
  <si>
    <t>Total Users</t>
  </si>
  <si>
    <t>Total Annual Water Sales</t>
  </si>
  <si>
    <t>Average Monthly Bill</t>
  </si>
  <si>
    <t>Next 5,000 Gal. at</t>
  </si>
  <si>
    <t>over</t>
  </si>
  <si>
    <t>Total Water Purchased and/or Produced (Gallons)</t>
  </si>
  <si>
    <t>Total Water Sold (Gallons)</t>
  </si>
  <si>
    <t>RESIDENTIAL AND NON-RESIDENTIAL COMBINED</t>
  </si>
  <si>
    <t>Annual Residential Water Sales</t>
  </si>
  <si>
    <t>minimum</t>
  </si>
  <si>
    <t>Average Monthly Usage (Gallons)</t>
  </si>
  <si>
    <t>First 5,000 Gal. at</t>
  </si>
  <si>
    <t>First 10,000 Gal. at</t>
  </si>
  <si>
    <t>Annual Non Residential 2.0 "Water Sales</t>
  </si>
  <si>
    <t>Annual Non Residential 3.0 "Water Sales</t>
  </si>
  <si>
    <t>Annual Non Residential 1.0 "Water Sales</t>
  </si>
  <si>
    <t>All Over 10,000 Gal. at</t>
  </si>
  <si>
    <t>First 1,000 Gal. at</t>
  </si>
  <si>
    <t>Next 4,000 Gal. at</t>
  </si>
  <si>
    <t>First 3,000 Gal. at</t>
  </si>
  <si>
    <t>Next 2,000 Gal. at</t>
  </si>
  <si>
    <t>First 20,000 Gal. at</t>
  </si>
  <si>
    <t>All Over 20,000 Gal. at</t>
  </si>
  <si>
    <t>For the period, January 1, 2020 to December 31, 2020</t>
  </si>
  <si>
    <t>Analysis of Actual Water Usage - Existing System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</si>
  <si>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</si>
  <si>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</si>
  <si>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</si>
  <si>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</si>
  <si>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</si>
  <si>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</si>
  <si>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</si>
  <si>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</si>
  <si>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</si>
  <si>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</si>
  <si>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</si>
  <si>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</si>
  <si>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</si>
  <si>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5/8 x 3/4</t>
  </si>
  <si>
    <t>Cust.</t>
  </si>
  <si>
    <t>Usage</t>
  </si>
  <si>
    <t>Avg Usage</t>
  </si>
  <si>
    <t>0 - 1,000</t>
  </si>
  <si>
    <t>1,000 - 2,000</t>
  </si>
  <si>
    <t>2,000 - 3,000</t>
  </si>
  <si>
    <t>3,000 - 4,000</t>
  </si>
  <si>
    <t>4,000 - 5,000</t>
  </si>
  <si>
    <t>5,000 - 6,000</t>
  </si>
  <si>
    <t>6,000 - 7,000</t>
  </si>
  <si>
    <t>7,000 - 8,000</t>
  </si>
  <si>
    <t>8,000 - 9,000</t>
  </si>
  <si>
    <t>9,000 - 10,000</t>
  </si>
  <si>
    <t>10,000 - 11,000</t>
  </si>
  <si>
    <t>11,000 - 12,000</t>
  </si>
  <si>
    <t>12,000 - 13,000</t>
  </si>
  <si>
    <t>13,000 - 14,000</t>
  </si>
  <si>
    <t>14,000 - 15,000</t>
  </si>
  <si>
    <t>15,000 - 16,000</t>
  </si>
  <si>
    <t>16,000 - 17,000</t>
  </si>
  <si>
    <t>17,000 - 18,000</t>
  </si>
  <si>
    <t>18,000 - 19,000</t>
  </si>
  <si>
    <t>19,000 - 20,000</t>
  </si>
  <si>
    <t>20,000 - 21,000</t>
  </si>
  <si>
    <t>21,000 - 22,000</t>
  </si>
  <si>
    <t>22,000 - 23,000</t>
  </si>
  <si>
    <t>23,000 - 24,000</t>
  </si>
  <si>
    <t>24,000 - 25,000</t>
  </si>
  <si>
    <t>25,000 - More</t>
  </si>
  <si>
    <t>1-Inch</t>
  </si>
  <si>
    <t>0-3000</t>
  </si>
  <si>
    <t>3000-5000</t>
  </si>
  <si>
    <t>5000-10000</t>
  </si>
  <si>
    <t>10,000-More</t>
  </si>
  <si>
    <t>3/4-Inch</t>
  </si>
  <si>
    <t>1 1/2 -Inch</t>
  </si>
  <si>
    <t>2-Inch</t>
  </si>
  <si>
    <t>Total Customers</t>
  </si>
  <si>
    <t>5/8" x 3/4" meter</t>
  </si>
  <si>
    <t>Rate Increase</t>
  </si>
  <si>
    <t>2.0" meter</t>
  </si>
  <si>
    <t>1.5" meter</t>
  </si>
  <si>
    <t>.75" meter</t>
  </si>
  <si>
    <t>1.0" meter</t>
  </si>
  <si>
    <t>Analysis of Actual Water Usage with Rate Increase</t>
  </si>
  <si>
    <t>Projected Income with 12% Increase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</si>
</sst>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  <numFmt numFmtId="169" formatCode="0.00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64" fontId="2" fillId="33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64" fontId="1" fillId="0" borderId="2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4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2" fillId="0" borderId="20" xfId="42" applyNumberFormat="1" applyFont="1" applyBorder="1" applyAlignment="1">
      <alignment/>
    </xf>
    <xf numFmtId="3" fontId="2" fillId="0" borderId="16" xfId="42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/>
    </xf>
    <xf numFmtId="0" fontId="0" fillId="0" borderId="0" xfId="0" applyAlignment="1">
      <alignment horizontal="center"/>
    </xf>
    <xf numFmtId="3" fontId="42" fillId="0" borderId="25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3" fontId="10" fillId="0" borderId="0" xfId="0" applyNumberFormat="1" applyFont="1" applyAlignment="1">
      <alignment vertical="top"/>
    </xf>
    <xf numFmtId="3" fontId="10" fillId="0" borderId="30" xfId="0" applyNumberFormat="1" applyFont="1" applyBorder="1" applyAlignment="1">
      <alignment vertical="top"/>
    </xf>
    <xf numFmtId="3" fontId="10" fillId="0" borderId="31" xfId="0" applyNumberFormat="1" applyFont="1" applyBorder="1" applyAlignment="1">
      <alignment vertical="top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0" fillId="0" borderId="20" xfId="0" applyNumberFormat="1" applyFont="1" applyBorder="1" applyAlignment="1">
      <alignment vertical="top"/>
    </xf>
    <xf numFmtId="3" fontId="10" fillId="0" borderId="16" xfId="0" applyNumberFormat="1" applyFont="1" applyBorder="1" applyAlignment="1">
      <alignment vertical="top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0" fillId="0" borderId="35" xfId="0" applyNumberFormat="1" applyFont="1" applyBorder="1" applyAlignment="1">
      <alignment vertical="top"/>
    </xf>
    <xf numFmtId="3" fontId="10" fillId="0" borderId="36" xfId="0" applyNumberFormat="1" applyFont="1" applyBorder="1" applyAlignment="1">
      <alignment vertical="top"/>
    </xf>
    <xf numFmtId="3" fontId="0" fillId="0" borderId="37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8" fillId="0" borderId="0" xfId="0" applyFont="1" applyAlignment="1">
      <alignment vertical="top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 horizontal="center" vertical="top"/>
    </xf>
    <xf numFmtId="0" fontId="10" fillId="0" borderId="40" xfId="0" applyFont="1" applyBorder="1" applyAlignment="1">
      <alignment horizontal="left" vertical="top"/>
    </xf>
    <xf numFmtId="3" fontId="0" fillId="0" borderId="4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10" fillId="0" borderId="45" xfId="0" applyFont="1" applyBorder="1" applyAlignment="1">
      <alignment horizontal="left" vertical="top"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0" fillId="0" borderId="49" xfId="0" applyFont="1" applyBorder="1" applyAlignment="1">
      <alignment horizontal="left" vertical="top"/>
    </xf>
    <xf numFmtId="3" fontId="0" fillId="0" borderId="26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10" fillId="0" borderId="18" xfId="0" applyNumberFormat="1" applyFont="1" applyBorder="1" applyAlignment="1">
      <alignment vertical="top"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10" fillId="0" borderId="54" xfId="0" applyNumberFormat="1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2" fontId="0" fillId="0" borderId="0" xfId="0" applyNumberFormat="1" applyAlignment="1">
      <alignment/>
    </xf>
    <xf numFmtId="3" fontId="0" fillId="0" borderId="41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4" xfId="0" applyBorder="1" applyAlignment="1">
      <alignment horizontal="center"/>
    </xf>
    <xf numFmtId="3" fontId="25" fillId="0" borderId="40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3" fontId="0" fillId="0" borderId="58" xfId="0" applyNumberForma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9" xfId="0" applyFont="1" applyBorder="1" applyAlignment="1">
      <alignment horizontal="right"/>
    </xf>
    <xf numFmtId="0" fontId="0" fillId="0" borderId="6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3" fontId="2" fillId="0" borderId="61" xfId="0" applyNumberFormat="1" applyFont="1" applyBorder="1" applyAlignment="1">
      <alignment/>
    </xf>
    <xf numFmtId="0" fontId="0" fillId="0" borderId="62" xfId="0" applyBorder="1" applyAlignment="1">
      <alignment/>
    </xf>
    <xf numFmtId="3" fontId="3" fillId="0" borderId="5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6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zoomScalePageLayoutView="0" workbookViewId="0" topLeftCell="T1">
      <selection activeCell="AL15" sqref="AL15"/>
    </sheetView>
  </sheetViews>
  <sheetFormatPr defaultColWidth="9.140625" defaultRowHeight="12.75"/>
  <cols>
    <col min="1" max="1" width="18.421875" style="0" customWidth="1"/>
    <col min="2" max="2" width="8.7109375" style="0" customWidth="1"/>
    <col min="3" max="4" width="10.140625" style="0" bestFit="1" customWidth="1"/>
    <col min="5" max="5" width="8.7109375" style="0" customWidth="1"/>
    <col min="6" max="7" width="10.140625" style="0" bestFit="1" customWidth="1"/>
    <col min="8" max="8" width="8.7109375" style="0" customWidth="1"/>
    <col min="9" max="10" width="10.140625" style="0" bestFit="1" customWidth="1"/>
    <col min="11" max="11" width="8.7109375" style="0" customWidth="1"/>
    <col min="12" max="13" width="10.140625" style="0" bestFit="1" customWidth="1"/>
    <col min="14" max="14" width="8.7109375" style="0" customWidth="1"/>
    <col min="15" max="16" width="10.140625" style="0" bestFit="1" customWidth="1"/>
    <col min="17" max="17" width="8.7109375" style="0" customWidth="1"/>
    <col min="18" max="19" width="10.140625" style="0" bestFit="1" customWidth="1"/>
    <col min="20" max="20" width="8.7109375" style="0" customWidth="1"/>
    <col min="21" max="22" width="10.140625" style="0" bestFit="1" customWidth="1"/>
    <col min="23" max="23" width="8.7109375" style="0" customWidth="1"/>
    <col min="24" max="25" width="10.140625" style="0" bestFit="1" customWidth="1"/>
    <col min="26" max="26" width="8.7109375" style="0" customWidth="1"/>
    <col min="27" max="28" width="10.140625" style="0" bestFit="1" customWidth="1"/>
    <col min="29" max="29" width="9.28125" style="0" bestFit="1" customWidth="1"/>
    <col min="30" max="31" width="10.140625" style="0" bestFit="1" customWidth="1"/>
    <col min="32" max="32" width="9.28125" style="0" bestFit="1" customWidth="1"/>
    <col min="33" max="34" width="10.140625" style="0" bestFit="1" customWidth="1"/>
    <col min="35" max="35" width="9.28125" style="0" bestFit="1" customWidth="1"/>
    <col min="36" max="37" width="10.140625" style="0" bestFit="1" customWidth="1"/>
    <col min="39" max="39" width="9.28125" style="0" bestFit="1" customWidth="1"/>
    <col min="40" max="40" width="10.140625" style="0" bestFit="1" customWidth="1"/>
    <col min="41" max="41" width="10.00390625" style="0" bestFit="1" customWidth="1"/>
  </cols>
  <sheetData>
    <row r="1" spans="2:43" ht="13.5" thickBot="1">
      <c r="B1" s="134" t="s">
        <v>34</v>
      </c>
      <c r="C1" s="135"/>
      <c r="D1" s="135"/>
      <c r="E1" s="134" t="s">
        <v>35</v>
      </c>
      <c r="F1" s="135"/>
      <c r="G1" s="135"/>
      <c r="H1" s="134" t="s">
        <v>36</v>
      </c>
      <c r="I1" s="135"/>
      <c r="J1" s="135"/>
      <c r="K1" s="134" t="s">
        <v>37</v>
      </c>
      <c r="L1" s="135"/>
      <c r="M1" s="135"/>
      <c r="N1" s="134" t="s">
        <v>38</v>
      </c>
      <c r="O1" s="135"/>
      <c r="P1" s="135"/>
      <c r="Q1" s="134" t="s">
        <v>39</v>
      </c>
      <c r="R1" s="135"/>
      <c r="S1" s="135"/>
      <c r="T1" s="136" t="s">
        <v>40</v>
      </c>
      <c r="U1" s="137"/>
      <c r="V1" s="141"/>
      <c r="W1" s="136" t="s">
        <v>41</v>
      </c>
      <c r="X1" s="137"/>
      <c r="Y1" s="141"/>
      <c r="Z1" s="134" t="s">
        <v>42</v>
      </c>
      <c r="AA1" s="135"/>
      <c r="AB1" s="135"/>
      <c r="AC1" s="134" t="s">
        <v>43</v>
      </c>
      <c r="AD1" s="135"/>
      <c r="AE1" s="135"/>
      <c r="AF1" s="131" t="s">
        <v>44</v>
      </c>
      <c r="AG1" s="132"/>
      <c r="AH1" s="142"/>
      <c r="AI1" s="131" t="s">
        <v>45</v>
      </c>
      <c r="AJ1" s="132"/>
      <c r="AK1" s="133"/>
      <c r="AL1" s="59"/>
      <c r="AM1" s="136" t="s">
        <v>46</v>
      </c>
      <c r="AN1" s="137"/>
      <c r="AO1" s="138"/>
      <c r="AQ1" t="s">
        <v>87</v>
      </c>
    </row>
    <row r="2" spans="1:43" ht="15.75" thickBot="1">
      <c r="A2" s="60" t="s">
        <v>47</v>
      </c>
      <c r="B2" s="61" t="s">
        <v>48</v>
      </c>
      <c r="C2" s="62" t="s">
        <v>49</v>
      </c>
      <c r="D2" s="63" t="s">
        <v>50</v>
      </c>
      <c r="E2" s="61" t="s">
        <v>48</v>
      </c>
      <c r="F2" s="62" t="s">
        <v>49</v>
      </c>
      <c r="G2" s="63" t="s">
        <v>50</v>
      </c>
      <c r="H2" s="61" t="s">
        <v>48</v>
      </c>
      <c r="I2" s="62" t="s">
        <v>49</v>
      </c>
      <c r="J2" s="63" t="s">
        <v>50</v>
      </c>
      <c r="K2" s="61" t="s">
        <v>48</v>
      </c>
      <c r="L2" s="62" t="s">
        <v>49</v>
      </c>
      <c r="M2" s="63" t="s">
        <v>50</v>
      </c>
      <c r="N2" s="61" t="s">
        <v>48</v>
      </c>
      <c r="O2" s="62" t="s">
        <v>49</v>
      </c>
      <c r="P2" s="63" t="s">
        <v>50</v>
      </c>
      <c r="Q2" s="61" t="s">
        <v>48</v>
      </c>
      <c r="R2" s="62" t="s">
        <v>49</v>
      </c>
      <c r="S2" s="63" t="s">
        <v>50</v>
      </c>
      <c r="T2" s="61" t="s">
        <v>48</v>
      </c>
      <c r="U2" s="62" t="s">
        <v>49</v>
      </c>
      <c r="V2" s="63" t="s">
        <v>50</v>
      </c>
      <c r="W2" s="61" t="s">
        <v>48</v>
      </c>
      <c r="X2" s="62" t="s">
        <v>49</v>
      </c>
      <c r="Y2" s="63" t="s">
        <v>50</v>
      </c>
      <c r="Z2" s="61" t="s">
        <v>48</v>
      </c>
      <c r="AA2" s="62" t="s">
        <v>49</v>
      </c>
      <c r="AB2" s="63" t="s">
        <v>50</v>
      </c>
      <c r="AC2" s="64" t="s">
        <v>48</v>
      </c>
      <c r="AD2" s="65" t="s">
        <v>49</v>
      </c>
      <c r="AE2" s="66" t="s">
        <v>50</v>
      </c>
      <c r="AF2" s="61" t="s">
        <v>48</v>
      </c>
      <c r="AG2" s="62" t="s">
        <v>49</v>
      </c>
      <c r="AH2" s="63" t="s">
        <v>50</v>
      </c>
      <c r="AI2" s="61" t="s">
        <v>48</v>
      </c>
      <c r="AJ2" s="62" t="s">
        <v>49</v>
      </c>
      <c r="AK2" s="67" t="s">
        <v>50</v>
      </c>
      <c r="AM2" s="64" t="s">
        <v>48</v>
      </c>
      <c r="AN2" s="65" t="s">
        <v>49</v>
      </c>
      <c r="AO2" s="68" t="s">
        <v>50</v>
      </c>
      <c r="AQ2" s="130">
        <v>1.12</v>
      </c>
    </row>
    <row r="3" spans="1:41" ht="15">
      <c r="A3" s="69" t="s">
        <v>51</v>
      </c>
      <c r="B3" s="70">
        <v>575</v>
      </c>
      <c r="C3" s="71">
        <v>194993</v>
      </c>
      <c r="D3" s="72">
        <f aca="true" t="shared" si="0" ref="D3:D23">C3/B3</f>
        <v>339.11826086956523</v>
      </c>
      <c r="E3" s="70">
        <v>652</v>
      </c>
      <c r="F3" s="71">
        <v>222680</v>
      </c>
      <c r="G3" s="72">
        <f aca="true" t="shared" si="1" ref="G3:G25">F3/E3</f>
        <v>341.53374233128835</v>
      </c>
      <c r="H3" s="70">
        <v>753</v>
      </c>
      <c r="I3" s="71">
        <v>253130</v>
      </c>
      <c r="J3" s="72">
        <f aca="true" t="shared" si="2" ref="J3:J27">I3/H3</f>
        <v>336.1620185922975</v>
      </c>
      <c r="K3" s="70">
        <v>661</v>
      </c>
      <c r="L3" s="71">
        <v>241350</v>
      </c>
      <c r="M3" s="72">
        <f aca="true" t="shared" si="3" ref="M3:M28">L3/K3</f>
        <v>365.1285930408472</v>
      </c>
      <c r="N3" s="70">
        <v>594</v>
      </c>
      <c r="O3" s="71">
        <v>204970</v>
      </c>
      <c r="P3" s="72">
        <f aca="true" t="shared" si="4" ref="P3:P28">O3/N3</f>
        <v>345.06734006734007</v>
      </c>
      <c r="Q3" s="70">
        <v>611</v>
      </c>
      <c r="R3" s="71">
        <v>221220</v>
      </c>
      <c r="S3" s="72">
        <f aca="true" t="shared" si="5" ref="S3:S28">R3/Q3</f>
        <v>362.0621931260229</v>
      </c>
      <c r="T3" s="70">
        <v>550</v>
      </c>
      <c r="U3" s="71">
        <v>192160</v>
      </c>
      <c r="V3" s="72">
        <f aca="true" t="shared" si="6" ref="V3:V28">U3/T3</f>
        <v>349.3818181818182</v>
      </c>
      <c r="W3" s="70">
        <v>539</v>
      </c>
      <c r="X3" s="71">
        <v>189550</v>
      </c>
      <c r="Y3" s="72">
        <f aca="true" t="shared" si="7" ref="Y3:Y28">X3/W3</f>
        <v>351.66975881261595</v>
      </c>
      <c r="Z3" s="70">
        <v>616</v>
      </c>
      <c r="AA3" s="71">
        <v>230350</v>
      </c>
      <c r="AB3" s="72">
        <f aca="true" t="shared" si="8" ref="AB3:AB28">AA3/Z3</f>
        <v>373.9448051948052</v>
      </c>
      <c r="AC3" s="70">
        <v>610</v>
      </c>
      <c r="AD3" s="71">
        <v>213260</v>
      </c>
      <c r="AE3" s="72">
        <f aca="true" t="shared" si="9" ref="AE3:AE28">AD3/AC3</f>
        <v>349.60655737704917</v>
      </c>
      <c r="AF3" s="70">
        <v>565</v>
      </c>
      <c r="AG3" s="71">
        <v>204280</v>
      </c>
      <c r="AH3" s="72">
        <f aca="true" t="shared" si="10" ref="AH3:AH28">AG3/AF3</f>
        <v>361.5575221238938</v>
      </c>
      <c r="AI3" s="70">
        <v>726</v>
      </c>
      <c r="AJ3" s="71">
        <v>268090</v>
      </c>
      <c r="AK3" s="73">
        <f aca="true" t="shared" si="11" ref="AK3:AK20">AJ3/AI3</f>
        <v>369.26997245179064</v>
      </c>
      <c r="AM3" s="74">
        <f aca="true" t="shared" si="12" ref="AM3:AO27">AVERAGE(B3,E3,H3,K3,N3,Q3,T3,W3,Z3,AC3,AF3,AI3)</f>
        <v>621</v>
      </c>
      <c r="AN3" s="75">
        <f t="shared" si="12"/>
        <v>219669.41666666666</v>
      </c>
      <c r="AO3" s="73">
        <f t="shared" si="12"/>
        <v>353.7085485141112</v>
      </c>
    </row>
    <row r="4" spans="1:41" ht="15">
      <c r="A4" s="69" t="s">
        <v>52</v>
      </c>
      <c r="B4" s="76">
        <v>557</v>
      </c>
      <c r="C4" s="77">
        <v>847680</v>
      </c>
      <c r="D4" s="78">
        <f t="shared" si="0"/>
        <v>1521.8671454219032</v>
      </c>
      <c r="E4" s="76">
        <v>599</v>
      </c>
      <c r="F4" s="77">
        <v>915680</v>
      </c>
      <c r="G4" s="78">
        <f t="shared" si="1"/>
        <v>1528.6811352253756</v>
      </c>
      <c r="H4" s="76">
        <v>740</v>
      </c>
      <c r="I4" s="77">
        <v>1136660</v>
      </c>
      <c r="J4" s="78">
        <f t="shared" si="2"/>
        <v>1536.027027027027</v>
      </c>
      <c r="K4" s="76">
        <v>627</v>
      </c>
      <c r="L4" s="77">
        <v>968020</v>
      </c>
      <c r="M4" s="78">
        <f t="shared" si="3"/>
        <v>1543.891547049442</v>
      </c>
      <c r="N4" s="76">
        <v>520</v>
      </c>
      <c r="O4" s="77">
        <v>800020</v>
      </c>
      <c r="P4" s="78">
        <f t="shared" si="4"/>
        <v>1538.5</v>
      </c>
      <c r="Q4" s="76">
        <v>579</v>
      </c>
      <c r="R4" s="77">
        <v>889496</v>
      </c>
      <c r="S4" s="78">
        <f t="shared" si="5"/>
        <v>1536.2625215889464</v>
      </c>
      <c r="T4" s="76">
        <v>507</v>
      </c>
      <c r="U4" s="77">
        <v>771560</v>
      </c>
      <c r="V4" s="78">
        <f t="shared" si="6"/>
        <v>1521.8145956607495</v>
      </c>
      <c r="W4" s="76">
        <v>508</v>
      </c>
      <c r="X4" s="77">
        <v>785070</v>
      </c>
      <c r="Y4" s="78">
        <f t="shared" si="7"/>
        <v>1545.4133858267717</v>
      </c>
      <c r="Z4" s="76">
        <v>600</v>
      </c>
      <c r="AA4" s="77">
        <v>917040</v>
      </c>
      <c r="AB4" s="78">
        <f t="shared" si="8"/>
        <v>1528.4</v>
      </c>
      <c r="AC4" s="76">
        <v>595</v>
      </c>
      <c r="AD4" s="77">
        <v>909730</v>
      </c>
      <c r="AE4" s="78">
        <f t="shared" si="9"/>
        <v>1528.9579831932774</v>
      </c>
      <c r="AF4" s="76">
        <v>556</v>
      </c>
      <c r="AG4" s="77">
        <v>850910</v>
      </c>
      <c r="AH4" s="78">
        <f t="shared" si="10"/>
        <v>1530.413669064748</v>
      </c>
      <c r="AI4" s="76">
        <v>631</v>
      </c>
      <c r="AJ4" s="77">
        <v>962160</v>
      </c>
      <c r="AK4" s="79">
        <f t="shared" si="11"/>
        <v>1524.8177496038036</v>
      </c>
      <c r="AM4" s="80">
        <f t="shared" si="12"/>
        <v>584.9166666666666</v>
      </c>
      <c r="AN4" s="81">
        <f t="shared" si="12"/>
        <v>896168.8333333334</v>
      </c>
      <c r="AO4" s="79">
        <f t="shared" si="12"/>
        <v>1532.087229971837</v>
      </c>
    </row>
    <row r="5" spans="1:41" ht="15">
      <c r="A5" s="69" t="s">
        <v>53</v>
      </c>
      <c r="B5" s="76">
        <v>642</v>
      </c>
      <c r="C5" s="77">
        <v>1599860</v>
      </c>
      <c r="D5" s="78">
        <f t="shared" si="0"/>
        <v>2491.993769470405</v>
      </c>
      <c r="E5" s="76">
        <v>691</v>
      </c>
      <c r="F5" s="77">
        <v>1722240</v>
      </c>
      <c r="G5" s="78">
        <f t="shared" si="1"/>
        <v>2492.3878437047756</v>
      </c>
      <c r="H5" s="76">
        <v>713</v>
      </c>
      <c r="I5" s="77">
        <v>1791480</v>
      </c>
      <c r="J5" s="78">
        <f t="shared" si="2"/>
        <v>2512.594670406732</v>
      </c>
      <c r="K5" s="76">
        <v>685</v>
      </c>
      <c r="L5" s="77">
        <v>1708630</v>
      </c>
      <c r="M5" s="78">
        <f t="shared" si="3"/>
        <v>2494.3503649635036</v>
      </c>
      <c r="N5" s="76">
        <v>585</v>
      </c>
      <c r="O5" s="77">
        <v>1450310</v>
      </c>
      <c r="P5" s="78">
        <f t="shared" si="4"/>
        <v>2479.162393162393</v>
      </c>
      <c r="Q5" s="76">
        <v>634</v>
      </c>
      <c r="R5" s="77">
        <v>1578390</v>
      </c>
      <c r="S5" s="78">
        <f t="shared" si="5"/>
        <v>2489.5741324921137</v>
      </c>
      <c r="T5" s="76">
        <v>565</v>
      </c>
      <c r="U5" s="77">
        <v>1410620</v>
      </c>
      <c r="V5" s="78">
        <f t="shared" si="6"/>
        <v>2496.6725663716816</v>
      </c>
      <c r="W5" s="76">
        <v>533</v>
      </c>
      <c r="X5" s="77">
        <v>1346190</v>
      </c>
      <c r="Y5" s="78">
        <f t="shared" si="7"/>
        <v>2525.6848030018764</v>
      </c>
      <c r="Z5" s="76">
        <v>672</v>
      </c>
      <c r="AA5" s="77">
        <v>1680140</v>
      </c>
      <c r="AB5" s="78">
        <f t="shared" si="8"/>
        <v>2500.2083333333335</v>
      </c>
      <c r="AC5" s="76">
        <v>647</v>
      </c>
      <c r="AD5" s="77">
        <v>1622670</v>
      </c>
      <c r="AE5" s="78">
        <f t="shared" si="9"/>
        <v>2507.9907264296753</v>
      </c>
      <c r="AF5" s="76">
        <v>636</v>
      </c>
      <c r="AG5" s="77">
        <v>1598640</v>
      </c>
      <c r="AH5" s="78">
        <f t="shared" si="10"/>
        <v>2513.5849056603774</v>
      </c>
      <c r="AI5" s="76">
        <v>741</v>
      </c>
      <c r="AJ5" s="77">
        <v>1855730</v>
      </c>
      <c r="AK5" s="79">
        <f t="shared" si="11"/>
        <v>2504.358974358974</v>
      </c>
      <c r="AM5" s="80">
        <f t="shared" si="12"/>
        <v>645.3333333333334</v>
      </c>
      <c r="AN5" s="81">
        <f t="shared" si="12"/>
        <v>1613741.6666666667</v>
      </c>
      <c r="AO5" s="79">
        <f t="shared" si="12"/>
        <v>2500.713623612987</v>
      </c>
    </row>
    <row r="6" spans="1:41" ht="15">
      <c r="A6" s="69" t="s">
        <v>54</v>
      </c>
      <c r="B6" s="76">
        <v>610</v>
      </c>
      <c r="C6" s="77">
        <v>2133210</v>
      </c>
      <c r="D6" s="78">
        <f t="shared" si="0"/>
        <v>3497.065573770492</v>
      </c>
      <c r="E6" s="76">
        <v>586</v>
      </c>
      <c r="F6" s="77">
        <v>2040750</v>
      </c>
      <c r="G6" s="78">
        <f t="shared" si="1"/>
        <v>3482.508532423208</v>
      </c>
      <c r="H6" s="76">
        <v>560</v>
      </c>
      <c r="I6" s="77">
        <v>1940267</v>
      </c>
      <c r="J6" s="78">
        <f t="shared" si="2"/>
        <v>3464.7625</v>
      </c>
      <c r="K6" s="76">
        <v>594</v>
      </c>
      <c r="L6" s="77">
        <v>2067340</v>
      </c>
      <c r="M6" s="78">
        <f t="shared" si="3"/>
        <v>3480.3703703703704</v>
      </c>
      <c r="N6" s="76">
        <v>546</v>
      </c>
      <c r="O6" s="77">
        <v>1903053</v>
      </c>
      <c r="P6" s="78">
        <f t="shared" si="4"/>
        <v>3485.445054945055</v>
      </c>
      <c r="Q6" s="76">
        <v>531</v>
      </c>
      <c r="R6" s="77">
        <v>1864020</v>
      </c>
      <c r="S6" s="78">
        <f t="shared" si="5"/>
        <v>3510.3954802259886</v>
      </c>
      <c r="T6" s="76">
        <v>496</v>
      </c>
      <c r="U6" s="77">
        <v>1726180</v>
      </c>
      <c r="V6" s="78">
        <f t="shared" si="6"/>
        <v>3480.201612903226</v>
      </c>
      <c r="W6" s="76">
        <v>535</v>
      </c>
      <c r="X6" s="77">
        <v>1865780</v>
      </c>
      <c r="Y6" s="78">
        <f t="shared" si="7"/>
        <v>3487.4392523364486</v>
      </c>
      <c r="Z6" s="76">
        <v>577</v>
      </c>
      <c r="AA6" s="77">
        <v>2013766</v>
      </c>
      <c r="AB6" s="78">
        <f t="shared" si="8"/>
        <v>3490.062391681109</v>
      </c>
      <c r="AC6" s="76">
        <v>575</v>
      </c>
      <c r="AD6" s="77">
        <v>1998740</v>
      </c>
      <c r="AE6" s="78">
        <f t="shared" si="9"/>
        <v>3476.0695652173913</v>
      </c>
      <c r="AF6" s="76">
        <v>580</v>
      </c>
      <c r="AG6" s="77">
        <v>2029680</v>
      </c>
      <c r="AH6" s="78">
        <f t="shared" si="10"/>
        <v>3499.448275862069</v>
      </c>
      <c r="AI6" s="76">
        <v>616</v>
      </c>
      <c r="AJ6" s="77">
        <v>2132880</v>
      </c>
      <c r="AK6" s="79">
        <f t="shared" si="11"/>
        <v>3462.4675324675327</v>
      </c>
      <c r="AM6" s="80">
        <f t="shared" si="12"/>
        <v>567.1666666666666</v>
      </c>
      <c r="AN6" s="81">
        <f t="shared" si="12"/>
        <v>1976305.5</v>
      </c>
      <c r="AO6" s="79">
        <f t="shared" si="12"/>
        <v>3484.6863451835743</v>
      </c>
    </row>
    <row r="7" spans="1:41" ht="15">
      <c r="A7" s="69" t="s">
        <v>55</v>
      </c>
      <c r="B7" s="76">
        <v>455</v>
      </c>
      <c r="C7" s="77">
        <v>2035890</v>
      </c>
      <c r="D7" s="78">
        <f t="shared" si="0"/>
        <v>4474.483516483517</v>
      </c>
      <c r="E7" s="76">
        <v>431</v>
      </c>
      <c r="F7" s="77">
        <v>1915760</v>
      </c>
      <c r="G7" s="78">
        <f t="shared" si="1"/>
        <v>4444.918793503481</v>
      </c>
      <c r="H7" s="76">
        <v>346</v>
      </c>
      <c r="I7" s="77">
        <v>1547430</v>
      </c>
      <c r="J7" s="78">
        <f t="shared" si="2"/>
        <v>4472.341040462427</v>
      </c>
      <c r="K7" s="76">
        <v>401</v>
      </c>
      <c r="L7" s="77">
        <v>1782730</v>
      </c>
      <c r="M7" s="78">
        <f t="shared" si="3"/>
        <v>4445.71072319202</v>
      </c>
      <c r="N7" s="76">
        <v>445</v>
      </c>
      <c r="O7" s="77">
        <v>1997270</v>
      </c>
      <c r="P7" s="78">
        <f t="shared" si="4"/>
        <v>4488.247191011236</v>
      </c>
      <c r="Q7" s="76">
        <v>399</v>
      </c>
      <c r="R7" s="77">
        <v>1777810</v>
      </c>
      <c r="S7" s="78">
        <f t="shared" si="5"/>
        <v>4455.664160401003</v>
      </c>
      <c r="T7" s="76">
        <v>401</v>
      </c>
      <c r="U7" s="77">
        <v>1786050</v>
      </c>
      <c r="V7" s="78">
        <f t="shared" si="6"/>
        <v>4453.990024937656</v>
      </c>
      <c r="W7" s="76">
        <v>436</v>
      </c>
      <c r="X7" s="77">
        <v>1957760</v>
      </c>
      <c r="Y7" s="78">
        <f t="shared" si="7"/>
        <v>4490.275229357798</v>
      </c>
      <c r="Z7" s="76">
        <v>396</v>
      </c>
      <c r="AA7" s="77">
        <v>1769840</v>
      </c>
      <c r="AB7" s="78">
        <f t="shared" si="8"/>
        <v>4469.292929292929</v>
      </c>
      <c r="AC7" s="76">
        <v>414</v>
      </c>
      <c r="AD7" s="77">
        <v>1854280</v>
      </c>
      <c r="AE7" s="78">
        <f t="shared" si="9"/>
        <v>4478.937198067633</v>
      </c>
      <c r="AF7" s="76">
        <v>449</v>
      </c>
      <c r="AG7" s="77">
        <v>1998200</v>
      </c>
      <c r="AH7" s="78">
        <f t="shared" si="10"/>
        <v>4450.334075723831</v>
      </c>
      <c r="AI7" s="76">
        <v>338</v>
      </c>
      <c r="AJ7" s="77">
        <v>1510960</v>
      </c>
      <c r="AK7" s="79">
        <f t="shared" si="11"/>
        <v>4470.295857988166</v>
      </c>
      <c r="AM7" s="80">
        <f t="shared" si="12"/>
        <v>409.25</v>
      </c>
      <c r="AN7" s="81">
        <f t="shared" si="12"/>
        <v>1827831.6666666667</v>
      </c>
      <c r="AO7" s="79">
        <f t="shared" si="12"/>
        <v>4466.207561701809</v>
      </c>
    </row>
    <row r="8" spans="1:41" ht="15">
      <c r="A8" s="69" t="s">
        <v>56</v>
      </c>
      <c r="B8" s="76">
        <v>265</v>
      </c>
      <c r="C8" s="77">
        <v>1442970</v>
      </c>
      <c r="D8" s="78">
        <f t="shared" si="0"/>
        <v>5445.169811320755</v>
      </c>
      <c r="E8" s="76">
        <v>254</v>
      </c>
      <c r="F8" s="77">
        <v>1391580</v>
      </c>
      <c r="G8" s="78">
        <f t="shared" si="1"/>
        <v>5478.6614173228345</v>
      </c>
      <c r="H8" s="76">
        <v>215</v>
      </c>
      <c r="I8" s="77">
        <v>1172380</v>
      </c>
      <c r="J8" s="78">
        <f t="shared" si="2"/>
        <v>5452.930232558139</v>
      </c>
      <c r="K8" s="76">
        <v>258</v>
      </c>
      <c r="L8" s="77">
        <v>1407350</v>
      </c>
      <c r="M8" s="78">
        <f t="shared" si="3"/>
        <v>5454.84496124031</v>
      </c>
      <c r="N8" s="76">
        <v>291</v>
      </c>
      <c r="O8" s="77">
        <v>1594380</v>
      </c>
      <c r="P8" s="78">
        <f t="shared" si="4"/>
        <v>5478.969072164949</v>
      </c>
      <c r="Q8" s="76">
        <v>280</v>
      </c>
      <c r="R8" s="77">
        <v>1532180</v>
      </c>
      <c r="S8" s="78">
        <f t="shared" si="5"/>
        <v>5472.071428571428</v>
      </c>
      <c r="T8" s="76">
        <v>323</v>
      </c>
      <c r="U8" s="77">
        <v>1775460</v>
      </c>
      <c r="V8" s="78">
        <f t="shared" si="6"/>
        <v>5496.780185758514</v>
      </c>
      <c r="W8" s="76">
        <v>309</v>
      </c>
      <c r="X8" s="77">
        <v>1688110</v>
      </c>
      <c r="Y8" s="78">
        <f t="shared" si="7"/>
        <v>5463.139158576052</v>
      </c>
      <c r="Z8" s="76">
        <v>250</v>
      </c>
      <c r="AA8" s="77">
        <v>1371700</v>
      </c>
      <c r="AB8" s="78">
        <f t="shared" si="8"/>
        <v>5486.8</v>
      </c>
      <c r="AC8" s="76">
        <v>285</v>
      </c>
      <c r="AD8" s="77">
        <v>1564500</v>
      </c>
      <c r="AE8" s="78">
        <f t="shared" si="9"/>
        <v>5489.473684210527</v>
      </c>
      <c r="AF8" s="76">
        <v>274</v>
      </c>
      <c r="AG8" s="77">
        <v>1505230</v>
      </c>
      <c r="AH8" s="78">
        <f t="shared" si="10"/>
        <v>5493.540145985401</v>
      </c>
      <c r="AI8" s="76">
        <v>266</v>
      </c>
      <c r="AJ8" s="77">
        <v>1447090</v>
      </c>
      <c r="AK8" s="79">
        <f t="shared" si="11"/>
        <v>5440.187969924812</v>
      </c>
      <c r="AM8" s="80">
        <f t="shared" si="12"/>
        <v>272.5</v>
      </c>
      <c r="AN8" s="81">
        <f t="shared" si="12"/>
        <v>1491077.5</v>
      </c>
      <c r="AO8" s="79">
        <f t="shared" si="12"/>
        <v>5471.047338969478</v>
      </c>
    </row>
    <row r="9" spans="1:41" ht="15">
      <c r="A9" s="69" t="s">
        <v>57</v>
      </c>
      <c r="B9" s="76">
        <v>173</v>
      </c>
      <c r="C9" s="77">
        <v>1120930</v>
      </c>
      <c r="D9" s="78">
        <f t="shared" si="0"/>
        <v>6479.364161849711</v>
      </c>
      <c r="E9" s="76">
        <v>138</v>
      </c>
      <c r="F9" s="77">
        <v>886490</v>
      </c>
      <c r="G9" s="78">
        <f t="shared" si="1"/>
        <v>6423.840579710145</v>
      </c>
      <c r="H9" s="76">
        <v>108</v>
      </c>
      <c r="I9" s="77">
        <v>696420</v>
      </c>
      <c r="J9" s="78">
        <f t="shared" si="2"/>
        <v>6448.333333333333</v>
      </c>
      <c r="K9" s="76">
        <v>140</v>
      </c>
      <c r="L9" s="77">
        <v>904190</v>
      </c>
      <c r="M9" s="78">
        <f t="shared" si="3"/>
        <v>6458.5</v>
      </c>
      <c r="N9" s="76">
        <v>194</v>
      </c>
      <c r="O9" s="77">
        <v>1250160</v>
      </c>
      <c r="P9" s="78">
        <f t="shared" si="4"/>
        <v>6444.123711340206</v>
      </c>
      <c r="Q9" s="76">
        <v>166</v>
      </c>
      <c r="R9" s="77">
        <v>1077530</v>
      </c>
      <c r="S9" s="78">
        <f t="shared" si="5"/>
        <v>6491.144578313253</v>
      </c>
      <c r="T9" s="76">
        <v>223</v>
      </c>
      <c r="U9" s="77">
        <v>1450490</v>
      </c>
      <c r="V9" s="78">
        <f t="shared" si="6"/>
        <v>6504.4394618834085</v>
      </c>
      <c r="W9" s="76">
        <v>221</v>
      </c>
      <c r="X9" s="77">
        <v>1434490</v>
      </c>
      <c r="Y9" s="78">
        <f t="shared" si="7"/>
        <v>6490.904977375566</v>
      </c>
      <c r="Z9" s="76">
        <v>177</v>
      </c>
      <c r="AA9" s="77">
        <v>1145140</v>
      </c>
      <c r="AB9" s="78">
        <f t="shared" si="8"/>
        <v>6469.717514124294</v>
      </c>
      <c r="AC9" s="76">
        <v>176</v>
      </c>
      <c r="AD9" s="77">
        <v>1136740</v>
      </c>
      <c r="AE9" s="78">
        <f t="shared" si="9"/>
        <v>6458.75</v>
      </c>
      <c r="AF9" s="76">
        <v>187</v>
      </c>
      <c r="AG9" s="77">
        <v>1213040</v>
      </c>
      <c r="AH9" s="78">
        <f t="shared" si="10"/>
        <v>6486.844919786096</v>
      </c>
      <c r="AI9" s="76">
        <v>137</v>
      </c>
      <c r="AJ9" s="77">
        <v>890760</v>
      </c>
      <c r="AK9" s="79">
        <f t="shared" si="11"/>
        <v>6501.8978102189785</v>
      </c>
      <c r="AM9" s="80">
        <f t="shared" si="12"/>
        <v>170</v>
      </c>
      <c r="AN9" s="81">
        <f t="shared" si="12"/>
        <v>1100531.6666666667</v>
      </c>
      <c r="AO9" s="79">
        <f t="shared" si="12"/>
        <v>6471.488420661248</v>
      </c>
    </row>
    <row r="10" spans="1:41" ht="15">
      <c r="A10" s="69" t="s">
        <v>58</v>
      </c>
      <c r="B10" s="76">
        <v>99</v>
      </c>
      <c r="C10" s="77">
        <v>737470</v>
      </c>
      <c r="D10" s="78">
        <f t="shared" si="0"/>
        <v>7449.19191919192</v>
      </c>
      <c r="E10" s="76">
        <v>89</v>
      </c>
      <c r="F10" s="77">
        <v>659170</v>
      </c>
      <c r="G10" s="78">
        <f t="shared" si="1"/>
        <v>7406.404494382023</v>
      </c>
      <c r="H10" s="76">
        <v>55</v>
      </c>
      <c r="I10" s="77">
        <v>410310</v>
      </c>
      <c r="J10" s="78">
        <f t="shared" si="2"/>
        <v>7460.181818181818</v>
      </c>
      <c r="K10" s="76">
        <v>83</v>
      </c>
      <c r="L10" s="77">
        <v>619000</v>
      </c>
      <c r="M10" s="78">
        <f t="shared" si="3"/>
        <v>7457.831325301205</v>
      </c>
      <c r="N10" s="76">
        <v>144</v>
      </c>
      <c r="O10" s="77">
        <v>1075410</v>
      </c>
      <c r="P10" s="78">
        <f t="shared" si="4"/>
        <v>7468.125</v>
      </c>
      <c r="Q10" s="76">
        <v>127</v>
      </c>
      <c r="R10" s="77">
        <v>953710</v>
      </c>
      <c r="S10" s="78">
        <f t="shared" si="5"/>
        <v>7509.527559055118</v>
      </c>
      <c r="T10" s="76">
        <v>139</v>
      </c>
      <c r="U10" s="77">
        <v>1036670</v>
      </c>
      <c r="V10" s="78">
        <f t="shared" si="6"/>
        <v>7458.057553956834</v>
      </c>
      <c r="W10" s="76">
        <v>153</v>
      </c>
      <c r="X10" s="77">
        <v>1152660</v>
      </c>
      <c r="Y10" s="78">
        <f t="shared" si="7"/>
        <v>7533.725490196079</v>
      </c>
      <c r="Z10" s="76">
        <v>126</v>
      </c>
      <c r="AA10" s="77">
        <v>949290</v>
      </c>
      <c r="AB10" s="78">
        <f t="shared" si="8"/>
        <v>7534.047619047619</v>
      </c>
      <c r="AC10" s="76">
        <v>124</v>
      </c>
      <c r="AD10" s="77">
        <v>919760</v>
      </c>
      <c r="AE10" s="78">
        <f t="shared" si="9"/>
        <v>7417.419354838709</v>
      </c>
      <c r="AF10" s="76">
        <v>126</v>
      </c>
      <c r="AG10" s="77">
        <v>946740</v>
      </c>
      <c r="AH10" s="78">
        <f t="shared" si="10"/>
        <v>7513.809523809524</v>
      </c>
      <c r="AI10" s="76">
        <v>90</v>
      </c>
      <c r="AJ10" s="77">
        <v>675260</v>
      </c>
      <c r="AK10" s="79">
        <f t="shared" si="11"/>
        <v>7502.888888888889</v>
      </c>
      <c r="AM10" s="80">
        <f t="shared" si="12"/>
        <v>112.91666666666667</v>
      </c>
      <c r="AN10" s="81">
        <f t="shared" si="12"/>
        <v>844620.8333333334</v>
      </c>
      <c r="AO10" s="79">
        <f t="shared" si="12"/>
        <v>7475.934212237479</v>
      </c>
    </row>
    <row r="11" spans="1:41" ht="15">
      <c r="A11" s="69" t="s">
        <v>59</v>
      </c>
      <c r="B11" s="76">
        <v>62</v>
      </c>
      <c r="C11" s="77">
        <v>521520</v>
      </c>
      <c r="D11" s="78">
        <f t="shared" si="0"/>
        <v>8411.612903225807</v>
      </c>
      <c r="E11" s="76">
        <v>64</v>
      </c>
      <c r="F11" s="77">
        <v>538230</v>
      </c>
      <c r="G11" s="78">
        <f t="shared" si="1"/>
        <v>8409.84375</v>
      </c>
      <c r="H11" s="76">
        <v>42</v>
      </c>
      <c r="I11" s="77">
        <v>355030</v>
      </c>
      <c r="J11" s="78">
        <f t="shared" si="2"/>
        <v>8453.095238095239</v>
      </c>
      <c r="K11" s="76">
        <v>58</v>
      </c>
      <c r="L11" s="77">
        <v>491280</v>
      </c>
      <c r="M11" s="78">
        <f t="shared" si="3"/>
        <v>8470.344827586207</v>
      </c>
      <c r="N11" s="76">
        <v>94</v>
      </c>
      <c r="O11" s="77">
        <v>800090</v>
      </c>
      <c r="P11" s="78">
        <f t="shared" si="4"/>
        <v>8511.595744680852</v>
      </c>
      <c r="Q11" s="76">
        <v>77</v>
      </c>
      <c r="R11" s="77">
        <v>650300</v>
      </c>
      <c r="S11" s="78">
        <f t="shared" si="5"/>
        <v>8445.454545454546</v>
      </c>
      <c r="T11" s="76">
        <v>82</v>
      </c>
      <c r="U11" s="77">
        <v>694960</v>
      </c>
      <c r="V11" s="78">
        <f t="shared" si="6"/>
        <v>8475.121951219513</v>
      </c>
      <c r="W11" s="76">
        <v>116</v>
      </c>
      <c r="X11" s="77">
        <v>990280</v>
      </c>
      <c r="Y11" s="78">
        <f t="shared" si="7"/>
        <v>8536.896551724138</v>
      </c>
      <c r="Z11" s="76">
        <v>74</v>
      </c>
      <c r="AA11" s="77">
        <v>622580</v>
      </c>
      <c r="AB11" s="78">
        <f t="shared" si="8"/>
        <v>8413.243243243243</v>
      </c>
      <c r="AC11" s="76">
        <v>80</v>
      </c>
      <c r="AD11" s="77">
        <v>681880</v>
      </c>
      <c r="AE11" s="78">
        <f t="shared" si="9"/>
        <v>8523.5</v>
      </c>
      <c r="AF11" s="76">
        <v>87</v>
      </c>
      <c r="AG11" s="77">
        <v>741200</v>
      </c>
      <c r="AH11" s="78">
        <f t="shared" si="10"/>
        <v>8519.540229885057</v>
      </c>
      <c r="AI11" s="76">
        <v>49</v>
      </c>
      <c r="AJ11" s="77">
        <v>414100</v>
      </c>
      <c r="AK11" s="79">
        <f t="shared" si="11"/>
        <v>8451.020408163266</v>
      </c>
      <c r="AM11" s="80">
        <f t="shared" si="12"/>
        <v>73.75</v>
      </c>
      <c r="AN11" s="81">
        <f t="shared" si="12"/>
        <v>625120.8333333334</v>
      </c>
      <c r="AO11" s="79">
        <f t="shared" si="12"/>
        <v>8468.43911610649</v>
      </c>
    </row>
    <row r="12" spans="1:41" ht="15">
      <c r="A12" s="69" t="s">
        <v>60</v>
      </c>
      <c r="B12" s="76">
        <v>46</v>
      </c>
      <c r="C12" s="77">
        <v>431890</v>
      </c>
      <c r="D12" s="78">
        <f t="shared" si="0"/>
        <v>9388.91304347826</v>
      </c>
      <c r="E12" s="76">
        <v>38</v>
      </c>
      <c r="F12" s="77">
        <v>360150</v>
      </c>
      <c r="G12" s="78">
        <f t="shared" si="1"/>
        <v>9477.631578947368</v>
      </c>
      <c r="H12" s="76">
        <v>17</v>
      </c>
      <c r="I12" s="77">
        <v>160900</v>
      </c>
      <c r="J12" s="78">
        <f t="shared" si="2"/>
        <v>9464.70588235294</v>
      </c>
      <c r="K12" s="76">
        <v>30</v>
      </c>
      <c r="L12" s="77">
        <v>286200</v>
      </c>
      <c r="M12" s="78">
        <f t="shared" si="3"/>
        <v>9540</v>
      </c>
      <c r="N12" s="76">
        <v>53</v>
      </c>
      <c r="O12" s="77">
        <v>500130</v>
      </c>
      <c r="P12" s="78">
        <f t="shared" si="4"/>
        <v>9436.415094339623</v>
      </c>
      <c r="Q12" s="76">
        <v>46</v>
      </c>
      <c r="R12" s="77">
        <v>436670</v>
      </c>
      <c r="S12" s="78">
        <f t="shared" si="5"/>
        <v>9492.826086956522</v>
      </c>
      <c r="T12" s="76">
        <v>81</v>
      </c>
      <c r="U12" s="77">
        <v>769410</v>
      </c>
      <c r="V12" s="78">
        <f t="shared" si="6"/>
        <v>9498.888888888889</v>
      </c>
      <c r="W12" s="76">
        <v>80</v>
      </c>
      <c r="X12" s="77">
        <v>760000</v>
      </c>
      <c r="Y12" s="78">
        <f t="shared" si="7"/>
        <v>9500</v>
      </c>
      <c r="Z12" s="76">
        <v>45</v>
      </c>
      <c r="AA12" s="77">
        <v>426930</v>
      </c>
      <c r="AB12" s="78">
        <f t="shared" si="8"/>
        <v>9487.333333333334</v>
      </c>
      <c r="AC12" s="76">
        <v>52</v>
      </c>
      <c r="AD12" s="77">
        <v>490950</v>
      </c>
      <c r="AE12" s="78">
        <f t="shared" si="9"/>
        <v>9441.346153846154</v>
      </c>
      <c r="AF12" s="76">
        <v>54</v>
      </c>
      <c r="AG12" s="77">
        <v>510310</v>
      </c>
      <c r="AH12" s="78">
        <f t="shared" si="10"/>
        <v>9450.185185185184</v>
      </c>
      <c r="AI12" s="76">
        <v>39</v>
      </c>
      <c r="AJ12" s="77">
        <v>370330</v>
      </c>
      <c r="AK12" s="79">
        <f t="shared" si="11"/>
        <v>9495.641025641025</v>
      </c>
      <c r="AM12" s="80">
        <f t="shared" si="12"/>
        <v>48.416666666666664</v>
      </c>
      <c r="AN12" s="81">
        <f t="shared" si="12"/>
        <v>458655.8333333333</v>
      </c>
      <c r="AO12" s="79">
        <f t="shared" si="12"/>
        <v>9472.823856080775</v>
      </c>
    </row>
    <row r="13" spans="1:41" ht="15">
      <c r="A13" s="69" t="s">
        <v>61</v>
      </c>
      <c r="B13" s="76">
        <v>26</v>
      </c>
      <c r="C13" s="77">
        <v>272440</v>
      </c>
      <c r="D13" s="78">
        <f t="shared" si="0"/>
        <v>10478.461538461539</v>
      </c>
      <c r="E13" s="76">
        <v>13</v>
      </c>
      <c r="F13" s="77">
        <v>136000</v>
      </c>
      <c r="G13" s="78">
        <f t="shared" si="1"/>
        <v>10461.538461538461</v>
      </c>
      <c r="H13" s="76">
        <v>15</v>
      </c>
      <c r="I13" s="77">
        <v>156660</v>
      </c>
      <c r="J13" s="78">
        <f t="shared" si="2"/>
        <v>10444</v>
      </c>
      <c r="K13" s="76">
        <v>19</v>
      </c>
      <c r="L13" s="77">
        <v>198840</v>
      </c>
      <c r="M13" s="78">
        <f t="shared" si="3"/>
        <v>10465.263157894737</v>
      </c>
      <c r="N13" s="76">
        <v>44</v>
      </c>
      <c r="O13" s="77">
        <v>462580</v>
      </c>
      <c r="P13" s="78">
        <f t="shared" si="4"/>
        <v>10513.181818181818</v>
      </c>
      <c r="Q13" s="76">
        <v>49</v>
      </c>
      <c r="R13" s="77">
        <v>512140</v>
      </c>
      <c r="S13" s="78">
        <f t="shared" si="5"/>
        <v>10451.836734693878</v>
      </c>
      <c r="T13" s="76">
        <v>49</v>
      </c>
      <c r="U13" s="77">
        <v>511780</v>
      </c>
      <c r="V13" s="78">
        <f t="shared" si="6"/>
        <v>10444.489795918367</v>
      </c>
      <c r="W13" s="76">
        <v>51</v>
      </c>
      <c r="X13" s="77">
        <v>534240</v>
      </c>
      <c r="Y13" s="78">
        <f t="shared" si="7"/>
        <v>10475.29411764706</v>
      </c>
      <c r="Z13" s="76">
        <v>26</v>
      </c>
      <c r="AA13" s="77">
        <v>274280</v>
      </c>
      <c r="AB13" s="78">
        <f t="shared" si="8"/>
        <v>10549.23076923077</v>
      </c>
      <c r="AC13" s="76">
        <v>39</v>
      </c>
      <c r="AD13" s="77">
        <v>410200</v>
      </c>
      <c r="AE13" s="78">
        <f t="shared" si="9"/>
        <v>10517.948717948719</v>
      </c>
      <c r="AF13" s="76">
        <v>33</v>
      </c>
      <c r="AG13" s="77">
        <v>345730</v>
      </c>
      <c r="AH13" s="78">
        <f t="shared" si="10"/>
        <v>10476.666666666666</v>
      </c>
      <c r="AI13" s="76">
        <v>27</v>
      </c>
      <c r="AJ13" s="77">
        <v>283010</v>
      </c>
      <c r="AK13" s="79">
        <f t="shared" si="11"/>
        <v>10481.851851851852</v>
      </c>
      <c r="AM13" s="80">
        <f t="shared" si="12"/>
        <v>32.583333333333336</v>
      </c>
      <c r="AN13" s="81">
        <f t="shared" si="12"/>
        <v>341491.6666666667</v>
      </c>
      <c r="AO13" s="79">
        <f t="shared" si="12"/>
        <v>10479.980302502821</v>
      </c>
    </row>
    <row r="14" spans="1:41" ht="15">
      <c r="A14" s="69" t="s">
        <v>62</v>
      </c>
      <c r="B14" s="76">
        <v>16</v>
      </c>
      <c r="C14" s="77">
        <v>184400</v>
      </c>
      <c r="D14" s="78">
        <f t="shared" si="0"/>
        <v>11525</v>
      </c>
      <c r="E14" s="76">
        <v>13</v>
      </c>
      <c r="F14" s="77">
        <v>150070</v>
      </c>
      <c r="G14" s="78">
        <f t="shared" si="1"/>
        <v>11543.846153846154</v>
      </c>
      <c r="H14" s="76">
        <v>12</v>
      </c>
      <c r="I14" s="77">
        <v>135130</v>
      </c>
      <c r="J14" s="78">
        <f t="shared" si="2"/>
        <v>11260.833333333334</v>
      </c>
      <c r="K14" s="76">
        <v>8</v>
      </c>
      <c r="L14" s="77">
        <v>92910</v>
      </c>
      <c r="M14" s="78">
        <f t="shared" si="3"/>
        <v>11613.75</v>
      </c>
      <c r="N14" s="76">
        <v>25</v>
      </c>
      <c r="O14" s="77">
        <v>285960</v>
      </c>
      <c r="P14" s="78">
        <f t="shared" si="4"/>
        <v>11438.4</v>
      </c>
      <c r="Q14" s="76">
        <v>35</v>
      </c>
      <c r="R14" s="77">
        <v>400170</v>
      </c>
      <c r="S14" s="78">
        <f t="shared" si="5"/>
        <v>11433.42857142857</v>
      </c>
      <c r="T14" s="76">
        <v>40</v>
      </c>
      <c r="U14" s="77">
        <v>462330</v>
      </c>
      <c r="V14" s="78">
        <f t="shared" si="6"/>
        <v>11558.25</v>
      </c>
      <c r="W14" s="76">
        <v>31</v>
      </c>
      <c r="X14" s="77">
        <v>355720</v>
      </c>
      <c r="Y14" s="78">
        <f t="shared" si="7"/>
        <v>11474.838709677419</v>
      </c>
      <c r="Z14" s="76">
        <v>17</v>
      </c>
      <c r="AA14" s="77">
        <v>194040</v>
      </c>
      <c r="AB14" s="78">
        <f t="shared" si="8"/>
        <v>11414.117647058823</v>
      </c>
      <c r="AC14" s="76">
        <v>22</v>
      </c>
      <c r="AD14" s="77">
        <v>251830</v>
      </c>
      <c r="AE14" s="78">
        <f t="shared" si="9"/>
        <v>11446.818181818182</v>
      </c>
      <c r="AF14" s="76">
        <v>20</v>
      </c>
      <c r="AG14" s="77">
        <v>231140</v>
      </c>
      <c r="AH14" s="78">
        <f t="shared" si="10"/>
        <v>11557</v>
      </c>
      <c r="AI14" s="76">
        <v>13</v>
      </c>
      <c r="AJ14" s="77">
        <v>150450</v>
      </c>
      <c r="AK14" s="79">
        <f t="shared" si="11"/>
        <v>11573.076923076924</v>
      </c>
      <c r="AM14" s="80">
        <f t="shared" si="12"/>
        <v>21</v>
      </c>
      <c r="AN14" s="81">
        <f t="shared" si="12"/>
        <v>241179.16666666666</v>
      </c>
      <c r="AO14" s="79">
        <f t="shared" si="12"/>
        <v>11486.613293353284</v>
      </c>
    </row>
    <row r="15" spans="1:41" ht="15">
      <c r="A15" s="69" t="s">
        <v>63</v>
      </c>
      <c r="B15" s="76">
        <v>6</v>
      </c>
      <c r="C15" s="77">
        <v>74660</v>
      </c>
      <c r="D15" s="78">
        <f t="shared" si="0"/>
        <v>12443.333333333334</v>
      </c>
      <c r="E15" s="76">
        <v>10</v>
      </c>
      <c r="F15" s="77">
        <v>125400</v>
      </c>
      <c r="G15" s="78">
        <f t="shared" si="1"/>
        <v>12540</v>
      </c>
      <c r="H15" s="76">
        <v>2</v>
      </c>
      <c r="I15" s="77">
        <v>24890</v>
      </c>
      <c r="J15" s="78">
        <f t="shared" si="2"/>
        <v>12445</v>
      </c>
      <c r="K15" s="76">
        <v>3</v>
      </c>
      <c r="L15" s="77">
        <v>37960</v>
      </c>
      <c r="M15" s="78">
        <f t="shared" si="3"/>
        <v>12653.333333333334</v>
      </c>
      <c r="N15" s="76">
        <v>20</v>
      </c>
      <c r="O15" s="77">
        <v>248500</v>
      </c>
      <c r="P15" s="78">
        <f t="shared" si="4"/>
        <v>12425</v>
      </c>
      <c r="Q15" s="76">
        <v>21</v>
      </c>
      <c r="R15" s="77">
        <v>263690</v>
      </c>
      <c r="S15" s="78">
        <f t="shared" si="5"/>
        <v>12556.666666666666</v>
      </c>
      <c r="T15" s="76">
        <v>27</v>
      </c>
      <c r="U15" s="77">
        <v>336950</v>
      </c>
      <c r="V15" s="78">
        <f t="shared" si="6"/>
        <v>12479.62962962963</v>
      </c>
      <c r="W15" s="76">
        <v>26</v>
      </c>
      <c r="X15" s="77">
        <v>325100</v>
      </c>
      <c r="Y15" s="78">
        <f t="shared" si="7"/>
        <v>12503.846153846154</v>
      </c>
      <c r="Z15" s="76">
        <v>14</v>
      </c>
      <c r="AA15" s="77">
        <v>176420</v>
      </c>
      <c r="AB15" s="78">
        <f t="shared" si="8"/>
        <v>12601.42857142857</v>
      </c>
      <c r="AC15" s="76">
        <v>14</v>
      </c>
      <c r="AD15" s="77">
        <v>175050</v>
      </c>
      <c r="AE15" s="78">
        <f t="shared" si="9"/>
        <v>12503.57142857143</v>
      </c>
      <c r="AF15" s="76">
        <v>16</v>
      </c>
      <c r="AG15" s="77">
        <v>201580</v>
      </c>
      <c r="AH15" s="78">
        <f t="shared" si="10"/>
        <v>12598.75</v>
      </c>
      <c r="AI15" s="76">
        <v>8</v>
      </c>
      <c r="AJ15" s="77">
        <v>98890</v>
      </c>
      <c r="AK15" s="79">
        <f t="shared" si="11"/>
        <v>12361.25</v>
      </c>
      <c r="AM15" s="80">
        <f t="shared" si="12"/>
        <v>13.916666666666666</v>
      </c>
      <c r="AN15" s="81">
        <f t="shared" si="12"/>
        <v>174090.83333333334</v>
      </c>
      <c r="AO15" s="79">
        <f t="shared" si="12"/>
        <v>12509.317426400761</v>
      </c>
    </row>
    <row r="16" spans="1:41" ht="15">
      <c r="A16" s="69" t="s">
        <v>64</v>
      </c>
      <c r="B16" s="76">
        <v>9</v>
      </c>
      <c r="C16" s="77">
        <v>121180</v>
      </c>
      <c r="D16" s="78">
        <f t="shared" si="0"/>
        <v>13464.444444444445</v>
      </c>
      <c r="E16" s="76">
        <v>8</v>
      </c>
      <c r="F16" s="77">
        <v>108840</v>
      </c>
      <c r="G16" s="78">
        <f t="shared" si="1"/>
        <v>13605</v>
      </c>
      <c r="H16" s="76">
        <v>0</v>
      </c>
      <c r="I16" s="77">
        <v>0</v>
      </c>
      <c r="J16" s="78">
        <v>0</v>
      </c>
      <c r="K16" s="76">
        <v>8</v>
      </c>
      <c r="L16" s="77">
        <v>108000</v>
      </c>
      <c r="M16" s="78">
        <f t="shared" si="3"/>
        <v>13500</v>
      </c>
      <c r="N16" s="76">
        <v>13</v>
      </c>
      <c r="O16" s="77">
        <v>176220</v>
      </c>
      <c r="P16" s="78">
        <f t="shared" si="4"/>
        <v>13555.384615384615</v>
      </c>
      <c r="Q16" s="76">
        <v>11</v>
      </c>
      <c r="R16" s="77">
        <v>147340</v>
      </c>
      <c r="S16" s="78">
        <f t="shared" si="5"/>
        <v>13394.545454545454</v>
      </c>
      <c r="T16" s="76">
        <v>25</v>
      </c>
      <c r="U16" s="77">
        <v>337290</v>
      </c>
      <c r="V16" s="78">
        <f t="shared" si="6"/>
        <v>13491.6</v>
      </c>
      <c r="W16" s="76">
        <v>17</v>
      </c>
      <c r="X16" s="77">
        <v>228640</v>
      </c>
      <c r="Y16" s="78">
        <f t="shared" si="7"/>
        <v>13449.411764705883</v>
      </c>
      <c r="Z16" s="76">
        <v>12</v>
      </c>
      <c r="AA16" s="77">
        <v>161850</v>
      </c>
      <c r="AB16" s="78">
        <f t="shared" si="8"/>
        <v>13487.5</v>
      </c>
      <c r="AC16" s="76">
        <v>7</v>
      </c>
      <c r="AD16" s="77">
        <v>95900</v>
      </c>
      <c r="AE16" s="78">
        <f t="shared" si="9"/>
        <v>13700</v>
      </c>
      <c r="AF16" s="76">
        <v>11</v>
      </c>
      <c r="AG16" s="77">
        <v>147330</v>
      </c>
      <c r="AH16" s="78">
        <f t="shared" si="10"/>
        <v>13393.636363636364</v>
      </c>
      <c r="AI16" s="76">
        <v>6</v>
      </c>
      <c r="AJ16" s="77">
        <v>80930</v>
      </c>
      <c r="AK16" s="79">
        <f t="shared" si="11"/>
        <v>13488.333333333334</v>
      </c>
      <c r="AM16" s="80">
        <f t="shared" si="12"/>
        <v>10.583333333333334</v>
      </c>
      <c r="AN16" s="81">
        <f t="shared" si="12"/>
        <v>142793.33333333334</v>
      </c>
      <c r="AO16" s="79">
        <f>AVERAGE(D16,G16,M16,P16,S16,V16,Y16,AB16,AE16,AH16,AK16)</f>
        <v>13502.71417964092</v>
      </c>
    </row>
    <row r="17" spans="1:41" ht="15">
      <c r="A17" s="69" t="s">
        <v>65</v>
      </c>
      <c r="B17" s="76">
        <v>6</v>
      </c>
      <c r="C17" s="77">
        <v>87510</v>
      </c>
      <c r="D17" s="78">
        <f t="shared" si="0"/>
        <v>14585</v>
      </c>
      <c r="E17" s="76">
        <v>8</v>
      </c>
      <c r="F17" s="77">
        <v>115130</v>
      </c>
      <c r="G17" s="78">
        <f t="shared" si="1"/>
        <v>14391.25</v>
      </c>
      <c r="H17" s="76">
        <v>6</v>
      </c>
      <c r="I17" s="77">
        <v>88010</v>
      </c>
      <c r="J17" s="78">
        <f t="shared" si="2"/>
        <v>14668.333333333334</v>
      </c>
      <c r="K17" s="76">
        <v>5</v>
      </c>
      <c r="L17" s="77">
        <v>73040</v>
      </c>
      <c r="M17" s="78">
        <f t="shared" si="3"/>
        <v>14608</v>
      </c>
      <c r="N17" s="76">
        <v>11</v>
      </c>
      <c r="O17" s="77">
        <v>160150</v>
      </c>
      <c r="P17" s="78">
        <f t="shared" si="4"/>
        <v>14559.09090909091</v>
      </c>
      <c r="Q17" s="76">
        <v>12</v>
      </c>
      <c r="R17" s="77">
        <v>173890</v>
      </c>
      <c r="S17" s="78">
        <f t="shared" si="5"/>
        <v>14490.833333333334</v>
      </c>
      <c r="T17" s="76">
        <v>27</v>
      </c>
      <c r="U17" s="77">
        <v>393540</v>
      </c>
      <c r="V17" s="78">
        <f t="shared" si="6"/>
        <v>14575.555555555555</v>
      </c>
      <c r="W17" s="76">
        <v>12</v>
      </c>
      <c r="X17" s="77">
        <v>174030</v>
      </c>
      <c r="Y17" s="78">
        <f t="shared" si="7"/>
        <v>14502.5</v>
      </c>
      <c r="Z17" s="76">
        <v>8</v>
      </c>
      <c r="AA17" s="77">
        <v>114620</v>
      </c>
      <c r="AB17" s="78">
        <f t="shared" si="8"/>
        <v>14327.5</v>
      </c>
      <c r="AC17" s="76">
        <v>12</v>
      </c>
      <c r="AD17" s="77">
        <v>171760</v>
      </c>
      <c r="AE17" s="78">
        <f t="shared" si="9"/>
        <v>14313.333333333334</v>
      </c>
      <c r="AF17" s="76">
        <v>15</v>
      </c>
      <c r="AG17" s="77">
        <v>219740</v>
      </c>
      <c r="AH17" s="78">
        <f t="shared" si="10"/>
        <v>14649.333333333334</v>
      </c>
      <c r="AI17" s="76">
        <v>7</v>
      </c>
      <c r="AJ17" s="77">
        <v>102840</v>
      </c>
      <c r="AK17" s="79">
        <f t="shared" si="11"/>
        <v>14691.42857142857</v>
      </c>
      <c r="AM17" s="80">
        <f t="shared" si="12"/>
        <v>10.75</v>
      </c>
      <c r="AN17" s="81">
        <f t="shared" si="12"/>
        <v>156188.33333333334</v>
      </c>
      <c r="AO17" s="79">
        <f t="shared" si="12"/>
        <v>14530.179864117366</v>
      </c>
    </row>
    <row r="18" spans="1:41" ht="15">
      <c r="A18" s="69" t="s">
        <v>66</v>
      </c>
      <c r="B18" s="76">
        <v>2</v>
      </c>
      <c r="C18" s="77">
        <v>31980</v>
      </c>
      <c r="D18" s="78">
        <f t="shared" si="0"/>
        <v>15990</v>
      </c>
      <c r="E18" s="76">
        <v>4</v>
      </c>
      <c r="F18" s="77">
        <v>61410</v>
      </c>
      <c r="G18" s="78">
        <f t="shared" si="1"/>
        <v>15352.5</v>
      </c>
      <c r="H18" s="76">
        <v>7</v>
      </c>
      <c r="I18" s="77">
        <v>108140</v>
      </c>
      <c r="J18" s="78">
        <f t="shared" si="2"/>
        <v>15448.57142857143</v>
      </c>
      <c r="K18" s="76">
        <v>2</v>
      </c>
      <c r="L18" s="77">
        <v>31570</v>
      </c>
      <c r="M18" s="78">
        <f t="shared" si="3"/>
        <v>15785</v>
      </c>
      <c r="N18" s="76">
        <v>14</v>
      </c>
      <c r="O18" s="77">
        <v>215720</v>
      </c>
      <c r="P18" s="78">
        <f t="shared" si="4"/>
        <v>15408.57142857143</v>
      </c>
      <c r="Q18" s="76">
        <v>11</v>
      </c>
      <c r="R18" s="77">
        <v>170990</v>
      </c>
      <c r="S18" s="78">
        <f t="shared" si="5"/>
        <v>15544.545454545454</v>
      </c>
      <c r="T18" s="76">
        <v>13</v>
      </c>
      <c r="U18" s="77">
        <v>202480</v>
      </c>
      <c r="V18" s="78">
        <f t="shared" si="6"/>
        <v>15575.384615384615</v>
      </c>
      <c r="W18" s="76">
        <v>11</v>
      </c>
      <c r="X18" s="77">
        <v>170740</v>
      </c>
      <c r="Y18" s="78">
        <f t="shared" si="7"/>
        <v>15521.818181818182</v>
      </c>
      <c r="Z18" s="76">
        <v>7</v>
      </c>
      <c r="AA18" s="77">
        <v>108380</v>
      </c>
      <c r="AB18" s="78">
        <f t="shared" si="8"/>
        <v>15482.857142857143</v>
      </c>
      <c r="AC18" s="76">
        <v>8</v>
      </c>
      <c r="AD18" s="77">
        <v>123410</v>
      </c>
      <c r="AE18" s="78">
        <f t="shared" si="9"/>
        <v>15426.25</v>
      </c>
      <c r="AF18" s="76">
        <v>11</v>
      </c>
      <c r="AG18" s="77">
        <v>170310</v>
      </c>
      <c r="AH18" s="78">
        <f t="shared" si="10"/>
        <v>15482.727272727272</v>
      </c>
      <c r="AI18" s="76">
        <v>3</v>
      </c>
      <c r="AJ18" s="77">
        <v>46080</v>
      </c>
      <c r="AK18" s="79">
        <f t="shared" si="11"/>
        <v>15360</v>
      </c>
      <c r="AM18" s="80">
        <f t="shared" si="12"/>
        <v>7.75</v>
      </c>
      <c r="AN18" s="81">
        <f t="shared" si="12"/>
        <v>120100.83333333333</v>
      </c>
      <c r="AO18" s="79">
        <f t="shared" si="12"/>
        <v>15531.518793706293</v>
      </c>
    </row>
    <row r="19" spans="1:41" ht="15">
      <c r="A19" s="69" t="s">
        <v>67</v>
      </c>
      <c r="B19" s="76">
        <v>3</v>
      </c>
      <c r="C19" s="77">
        <v>49110</v>
      </c>
      <c r="D19" s="78">
        <f t="shared" si="0"/>
        <v>16370</v>
      </c>
      <c r="E19" s="76">
        <v>3</v>
      </c>
      <c r="F19" s="77">
        <v>48840</v>
      </c>
      <c r="G19" s="78">
        <f t="shared" si="1"/>
        <v>16280</v>
      </c>
      <c r="H19" s="76">
        <v>4</v>
      </c>
      <c r="I19" s="77">
        <v>66760</v>
      </c>
      <c r="J19" s="78">
        <f t="shared" si="2"/>
        <v>16690</v>
      </c>
      <c r="K19" s="76">
        <v>7</v>
      </c>
      <c r="L19" s="77">
        <v>115260</v>
      </c>
      <c r="M19" s="78">
        <f t="shared" si="3"/>
        <v>16465.714285714286</v>
      </c>
      <c r="N19" s="76">
        <v>5</v>
      </c>
      <c r="O19" s="77">
        <v>83040</v>
      </c>
      <c r="P19" s="78">
        <f t="shared" si="4"/>
        <v>16608</v>
      </c>
      <c r="Q19" s="76">
        <v>6</v>
      </c>
      <c r="R19" s="77">
        <v>98800</v>
      </c>
      <c r="S19" s="78">
        <f t="shared" si="5"/>
        <v>16466.666666666668</v>
      </c>
      <c r="T19" s="76">
        <v>16</v>
      </c>
      <c r="U19" s="77">
        <v>264910</v>
      </c>
      <c r="V19" s="78">
        <f t="shared" si="6"/>
        <v>16556.875</v>
      </c>
      <c r="W19" s="76">
        <v>13</v>
      </c>
      <c r="X19" s="77">
        <v>213270</v>
      </c>
      <c r="Y19" s="78">
        <f t="shared" si="7"/>
        <v>16405.384615384617</v>
      </c>
      <c r="Z19" s="76">
        <v>6</v>
      </c>
      <c r="AA19" s="77">
        <v>99800</v>
      </c>
      <c r="AB19" s="78">
        <f t="shared" si="8"/>
        <v>16633.333333333332</v>
      </c>
      <c r="AC19" s="76">
        <v>8</v>
      </c>
      <c r="AD19" s="77">
        <v>131730</v>
      </c>
      <c r="AE19" s="78">
        <f t="shared" si="9"/>
        <v>16466.25</v>
      </c>
      <c r="AF19" s="76">
        <v>2</v>
      </c>
      <c r="AG19" s="77">
        <v>32360</v>
      </c>
      <c r="AH19" s="78">
        <f t="shared" si="10"/>
        <v>16180</v>
      </c>
      <c r="AI19" s="76">
        <v>4</v>
      </c>
      <c r="AJ19" s="77">
        <v>66460</v>
      </c>
      <c r="AK19" s="79">
        <f t="shared" si="11"/>
        <v>16615</v>
      </c>
      <c r="AM19" s="80">
        <f t="shared" si="12"/>
        <v>6.416666666666667</v>
      </c>
      <c r="AN19" s="81">
        <f t="shared" si="12"/>
        <v>105861.66666666667</v>
      </c>
      <c r="AO19" s="79">
        <f t="shared" si="12"/>
        <v>16478.10199175824</v>
      </c>
    </row>
    <row r="20" spans="1:41" ht="15">
      <c r="A20" s="69" t="s">
        <v>68</v>
      </c>
      <c r="B20" s="76">
        <v>3</v>
      </c>
      <c r="C20" s="77">
        <v>51770</v>
      </c>
      <c r="D20" s="78">
        <f t="shared" si="0"/>
        <v>17256.666666666668</v>
      </c>
      <c r="E20" s="76">
        <v>7</v>
      </c>
      <c r="F20" s="77">
        <v>122100</v>
      </c>
      <c r="G20" s="78">
        <f t="shared" si="1"/>
        <v>17442.85714285714</v>
      </c>
      <c r="H20" s="76">
        <v>5</v>
      </c>
      <c r="I20" s="77">
        <v>87480</v>
      </c>
      <c r="J20" s="78">
        <f t="shared" si="2"/>
        <v>17496</v>
      </c>
      <c r="K20" s="76">
        <v>2</v>
      </c>
      <c r="L20" s="77">
        <v>34360</v>
      </c>
      <c r="M20" s="78">
        <f t="shared" si="3"/>
        <v>17180</v>
      </c>
      <c r="N20" s="76">
        <v>3</v>
      </c>
      <c r="O20" s="77">
        <v>51760</v>
      </c>
      <c r="P20" s="78">
        <f t="shared" si="4"/>
        <v>17253.333333333332</v>
      </c>
      <c r="Q20" s="76">
        <v>4</v>
      </c>
      <c r="R20" s="77">
        <v>70920</v>
      </c>
      <c r="S20" s="78">
        <f t="shared" si="5"/>
        <v>17730</v>
      </c>
      <c r="T20" s="76">
        <v>9</v>
      </c>
      <c r="U20" s="77">
        <v>156100</v>
      </c>
      <c r="V20" s="78">
        <f t="shared" si="6"/>
        <v>17344.444444444445</v>
      </c>
      <c r="W20" s="76">
        <v>11</v>
      </c>
      <c r="X20" s="77">
        <v>192940</v>
      </c>
      <c r="Y20" s="78">
        <f t="shared" si="7"/>
        <v>17540</v>
      </c>
      <c r="Z20" s="76">
        <v>8</v>
      </c>
      <c r="AA20" s="77">
        <v>141570</v>
      </c>
      <c r="AB20" s="78">
        <f t="shared" si="8"/>
        <v>17696.25</v>
      </c>
      <c r="AC20" s="76">
        <v>3</v>
      </c>
      <c r="AD20" s="77">
        <v>52640</v>
      </c>
      <c r="AE20" s="78">
        <f t="shared" si="9"/>
        <v>17546.666666666668</v>
      </c>
      <c r="AF20" s="76">
        <v>3</v>
      </c>
      <c r="AG20" s="77">
        <v>51760</v>
      </c>
      <c r="AH20" s="78">
        <f t="shared" si="10"/>
        <v>17253.333333333332</v>
      </c>
      <c r="AI20" s="76">
        <v>4</v>
      </c>
      <c r="AJ20" s="77">
        <v>70560</v>
      </c>
      <c r="AK20" s="79">
        <f t="shared" si="11"/>
        <v>17640</v>
      </c>
      <c r="AM20" s="80">
        <f t="shared" si="12"/>
        <v>5.166666666666667</v>
      </c>
      <c r="AN20" s="81">
        <f t="shared" si="12"/>
        <v>90330</v>
      </c>
      <c r="AO20" s="79">
        <f t="shared" si="12"/>
        <v>17448.295965608468</v>
      </c>
    </row>
    <row r="21" spans="1:41" ht="15">
      <c r="A21" s="69" t="s">
        <v>69</v>
      </c>
      <c r="B21" s="76">
        <v>4</v>
      </c>
      <c r="C21" s="77">
        <v>73230</v>
      </c>
      <c r="D21" s="78">
        <f t="shared" si="0"/>
        <v>18307.5</v>
      </c>
      <c r="E21" s="76">
        <v>0</v>
      </c>
      <c r="F21" s="77">
        <v>0</v>
      </c>
      <c r="G21" s="78">
        <v>0</v>
      </c>
      <c r="H21" s="76">
        <v>5</v>
      </c>
      <c r="I21" s="77">
        <v>91820</v>
      </c>
      <c r="J21" s="78">
        <f t="shared" si="2"/>
        <v>18364</v>
      </c>
      <c r="K21" s="76">
        <v>2</v>
      </c>
      <c r="L21" s="77">
        <v>37290</v>
      </c>
      <c r="M21" s="78">
        <f t="shared" si="3"/>
        <v>18645</v>
      </c>
      <c r="N21" s="76">
        <v>5</v>
      </c>
      <c r="O21" s="77">
        <v>92350</v>
      </c>
      <c r="P21" s="78">
        <f t="shared" si="4"/>
        <v>18470</v>
      </c>
      <c r="Q21" s="76">
        <v>5</v>
      </c>
      <c r="R21" s="77">
        <v>92580</v>
      </c>
      <c r="S21" s="78">
        <f t="shared" si="5"/>
        <v>18516</v>
      </c>
      <c r="T21" s="76">
        <v>9</v>
      </c>
      <c r="U21" s="77">
        <v>165660</v>
      </c>
      <c r="V21" s="78">
        <f t="shared" si="6"/>
        <v>18406.666666666668</v>
      </c>
      <c r="W21" s="76">
        <v>6</v>
      </c>
      <c r="X21" s="77">
        <v>110700</v>
      </c>
      <c r="Y21" s="78">
        <f t="shared" si="7"/>
        <v>18450</v>
      </c>
      <c r="Z21" s="76">
        <v>3</v>
      </c>
      <c r="AA21" s="77">
        <v>54970</v>
      </c>
      <c r="AB21" s="78">
        <f t="shared" si="8"/>
        <v>18323.333333333332</v>
      </c>
      <c r="AC21" s="76">
        <v>6</v>
      </c>
      <c r="AD21" s="77">
        <v>111780</v>
      </c>
      <c r="AE21" s="78">
        <f t="shared" si="9"/>
        <v>18630</v>
      </c>
      <c r="AF21" s="76">
        <v>6</v>
      </c>
      <c r="AG21" s="77">
        <v>110800</v>
      </c>
      <c r="AH21" s="78">
        <f t="shared" si="10"/>
        <v>18466.666666666668</v>
      </c>
      <c r="AI21" s="76">
        <v>0</v>
      </c>
      <c r="AJ21" s="77">
        <v>0</v>
      </c>
      <c r="AK21" s="79">
        <v>0</v>
      </c>
      <c r="AM21" s="80">
        <f t="shared" si="12"/>
        <v>4.25</v>
      </c>
      <c r="AN21" s="81">
        <f t="shared" si="12"/>
        <v>78431.66666666667</v>
      </c>
      <c r="AO21" s="79">
        <f>AVERAGE(D21,J21,M21,P21,S21,V21,Y21,AB21,AE21,AH21)</f>
        <v>18457.916666666664</v>
      </c>
    </row>
    <row r="22" spans="1:41" ht="15">
      <c r="A22" s="69" t="s">
        <v>70</v>
      </c>
      <c r="B22" s="76">
        <v>4</v>
      </c>
      <c r="C22" s="77">
        <v>77620</v>
      </c>
      <c r="D22" s="78">
        <f t="shared" si="0"/>
        <v>19405</v>
      </c>
      <c r="E22" s="76">
        <v>3</v>
      </c>
      <c r="F22" s="77">
        <v>58880</v>
      </c>
      <c r="G22" s="78">
        <f t="shared" si="1"/>
        <v>19626.666666666668</v>
      </c>
      <c r="H22" s="76">
        <v>0</v>
      </c>
      <c r="I22" s="77">
        <v>0</v>
      </c>
      <c r="J22" s="78">
        <v>0</v>
      </c>
      <c r="K22" s="76">
        <v>5</v>
      </c>
      <c r="L22" s="77">
        <v>97240</v>
      </c>
      <c r="M22" s="78">
        <f t="shared" si="3"/>
        <v>19448</v>
      </c>
      <c r="N22" s="76">
        <v>4</v>
      </c>
      <c r="O22" s="77">
        <v>78030</v>
      </c>
      <c r="P22" s="78">
        <f t="shared" si="4"/>
        <v>19507.5</v>
      </c>
      <c r="Q22" s="76">
        <v>11</v>
      </c>
      <c r="R22" s="77">
        <v>214810</v>
      </c>
      <c r="S22" s="78">
        <f t="shared" si="5"/>
        <v>19528.18181818182</v>
      </c>
      <c r="T22" s="76">
        <v>6</v>
      </c>
      <c r="U22" s="77">
        <v>115930</v>
      </c>
      <c r="V22" s="78">
        <f t="shared" si="6"/>
        <v>19321.666666666668</v>
      </c>
      <c r="W22" s="76">
        <v>6</v>
      </c>
      <c r="X22" s="77">
        <v>116400</v>
      </c>
      <c r="Y22" s="78">
        <f t="shared" si="7"/>
        <v>19400</v>
      </c>
      <c r="Z22" s="76">
        <v>4</v>
      </c>
      <c r="AA22" s="77">
        <v>78290</v>
      </c>
      <c r="AB22" s="78">
        <f t="shared" si="8"/>
        <v>19572.5</v>
      </c>
      <c r="AC22" s="76">
        <v>4</v>
      </c>
      <c r="AD22" s="77">
        <v>78710</v>
      </c>
      <c r="AE22" s="78">
        <f t="shared" si="9"/>
        <v>19677.5</v>
      </c>
      <c r="AF22" s="76">
        <v>3</v>
      </c>
      <c r="AG22" s="77">
        <v>58810</v>
      </c>
      <c r="AH22" s="78">
        <f t="shared" si="10"/>
        <v>19603.333333333332</v>
      </c>
      <c r="AI22" s="76">
        <v>5</v>
      </c>
      <c r="AJ22" s="77">
        <v>98040</v>
      </c>
      <c r="AK22" s="79">
        <f aca="true" t="shared" si="13" ref="AK22:AK28">AJ22/AI22</f>
        <v>19608</v>
      </c>
      <c r="AM22" s="80">
        <f t="shared" si="12"/>
        <v>4.583333333333333</v>
      </c>
      <c r="AN22" s="81">
        <f t="shared" si="12"/>
        <v>89396.66666666667</v>
      </c>
      <c r="AO22" s="79">
        <f>AVERAGE(D22,G22,M22,P22,S22,V22,Y22,AB22,AE22,AH22,AK22)</f>
        <v>19518.031680440774</v>
      </c>
    </row>
    <row r="23" spans="1:41" ht="15">
      <c r="A23" s="69" t="s">
        <v>71</v>
      </c>
      <c r="B23" s="76">
        <v>3</v>
      </c>
      <c r="C23" s="77">
        <v>61470</v>
      </c>
      <c r="D23" s="78">
        <f t="shared" si="0"/>
        <v>20490</v>
      </c>
      <c r="E23" s="76">
        <v>1</v>
      </c>
      <c r="F23" s="77">
        <v>20010</v>
      </c>
      <c r="G23" s="78">
        <f t="shared" si="1"/>
        <v>20010</v>
      </c>
      <c r="H23" s="76">
        <v>1</v>
      </c>
      <c r="I23" s="77">
        <v>20630</v>
      </c>
      <c r="J23" s="78">
        <f t="shared" si="2"/>
        <v>20630</v>
      </c>
      <c r="K23" s="76">
        <v>1</v>
      </c>
      <c r="L23" s="77">
        <v>20130</v>
      </c>
      <c r="M23" s="78">
        <f t="shared" si="3"/>
        <v>20130</v>
      </c>
      <c r="N23" s="76">
        <v>2</v>
      </c>
      <c r="O23" s="77">
        <v>41490</v>
      </c>
      <c r="P23" s="78">
        <f t="shared" si="4"/>
        <v>20745</v>
      </c>
      <c r="Q23" s="76">
        <v>2</v>
      </c>
      <c r="R23" s="77">
        <v>40690</v>
      </c>
      <c r="S23" s="78">
        <f t="shared" si="5"/>
        <v>20345</v>
      </c>
      <c r="T23" s="76">
        <v>7</v>
      </c>
      <c r="U23" s="77">
        <v>142300</v>
      </c>
      <c r="V23" s="78">
        <f t="shared" si="6"/>
        <v>20328.571428571428</v>
      </c>
      <c r="W23" s="76">
        <v>5</v>
      </c>
      <c r="X23" s="77">
        <v>103030</v>
      </c>
      <c r="Y23" s="78">
        <f t="shared" si="7"/>
        <v>20606</v>
      </c>
      <c r="Z23" s="76">
        <v>3</v>
      </c>
      <c r="AA23" s="77">
        <v>62250</v>
      </c>
      <c r="AB23" s="78">
        <f t="shared" si="8"/>
        <v>20750</v>
      </c>
      <c r="AC23" s="76">
        <v>4</v>
      </c>
      <c r="AD23" s="77">
        <v>82220</v>
      </c>
      <c r="AE23" s="78">
        <f t="shared" si="9"/>
        <v>20555</v>
      </c>
      <c r="AF23" s="76">
        <v>4</v>
      </c>
      <c r="AG23" s="77">
        <v>81360</v>
      </c>
      <c r="AH23" s="78">
        <f t="shared" si="10"/>
        <v>20340</v>
      </c>
      <c r="AI23" s="76">
        <v>3</v>
      </c>
      <c r="AJ23" s="77">
        <v>61580</v>
      </c>
      <c r="AK23" s="79">
        <f t="shared" si="13"/>
        <v>20526.666666666668</v>
      </c>
      <c r="AM23" s="80">
        <f t="shared" si="12"/>
        <v>3</v>
      </c>
      <c r="AN23" s="81">
        <f t="shared" si="12"/>
        <v>61430</v>
      </c>
      <c r="AO23" s="79">
        <f t="shared" si="12"/>
        <v>20454.686507936505</v>
      </c>
    </row>
    <row r="24" spans="1:41" ht="15">
      <c r="A24" s="69" t="s">
        <v>72</v>
      </c>
      <c r="B24" s="76">
        <v>0</v>
      </c>
      <c r="C24" s="77">
        <v>0</v>
      </c>
      <c r="D24" s="78">
        <v>0</v>
      </c>
      <c r="E24" s="76">
        <v>3</v>
      </c>
      <c r="F24" s="77">
        <v>65110</v>
      </c>
      <c r="G24" s="78">
        <f t="shared" si="1"/>
        <v>21703.333333333332</v>
      </c>
      <c r="H24" s="76">
        <v>1</v>
      </c>
      <c r="I24" s="77">
        <v>21780</v>
      </c>
      <c r="J24" s="78">
        <f t="shared" si="2"/>
        <v>21780</v>
      </c>
      <c r="K24" s="76">
        <v>1</v>
      </c>
      <c r="L24" s="77">
        <v>21400</v>
      </c>
      <c r="M24" s="78">
        <f t="shared" si="3"/>
        <v>21400</v>
      </c>
      <c r="N24" s="76">
        <v>1</v>
      </c>
      <c r="O24" s="77">
        <v>21650</v>
      </c>
      <c r="P24" s="78">
        <f t="shared" si="4"/>
        <v>21650</v>
      </c>
      <c r="Q24" s="76">
        <v>5</v>
      </c>
      <c r="R24" s="77">
        <v>108440</v>
      </c>
      <c r="S24" s="78">
        <f t="shared" si="5"/>
        <v>21688</v>
      </c>
      <c r="T24" s="76">
        <v>7</v>
      </c>
      <c r="U24" s="77">
        <v>150730</v>
      </c>
      <c r="V24" s="78">
        <f t="shared" si="6"/>
        <v>21532.85714285714</v>
      </c>
      <c r="W24" s="76">
        <v>8</v>
      </c>
      <c r="X24" s="77">
        <v>172580</v>
      </c>
      <c r="Y24" s="78">
        <f t="shared" si="7"/>
        <v>21572.5</v>
      </c>
      <c r="Z24" s="76">
        <v>1</v>
      </c>
      <c r="AA24" s="77">
        <v>21280</v>
      </c>
      <c r="AB24" s="78">
        <f t="shared" si="8"/>
        <v>21280</v>
      </c>
      <c r="AC24" s="76">
        <v>2</v>
      </c>
      <c r="AD24" s="77">
        <v>42670</v>
      </c>
      <c r="AE24" s="78">
        <f t="shared" si="9"/>
        <v>21335</v>
      </c>
      <c r="AF24" s="76">
        <v>4</v>
      </c>
      <c r="AG24" s="77">
        <v>86370</v>
      </c>
      <c r="AH24" s="78">
        <f t="shared" si="10"/>
        <v>21592.5</v>
      </c>
      <c r="AI24" s="76">
        <v>4</v>
      </c>
      <c r="AJ24" s="77">
        <v>86400</v>
      </c>
      <c r="AK24" s="79">
        <f t="shared" si="13"/>
        <v>21600</v>
      </c>
      <c r="AM24" s="80">
        <f t="shared" si="12"/>
        <v>3.0833333333333335</v>
      </c>
      <c r="AN24" s="81">
        <f t="shared" si="12"/>
        <v>66534.16666666667</v>
      </c>
      <c r="AO24" s="79">
        <f>AVERAGE(G24,J24,M24,P24,S24,V24,Y24,AB24,AE24,AH24,AK24)</f>
        <v>21557.65367965368</v>
      </c>
    </row>
    <row r="25" spans="1:41" ht="15">
      <c r="A25" s="69" t="s">
        <v>73</v>
      </c>
      <c r="B25" s="76">
        <v>0</v>
      </c>
      <c r="C25" s="77">
        <v>0</v>
      </c>
      <c r="D25" s="78">
        <v>0</v>
      </c>
      <c r="E25" s="76">
        <v>3</v>
      </c>
      <c r="F25" s="77">
        <v>67800</v>
      </c>
      <c r="G25" s="78">
        <f t="shared" si="1"/>
        <v>22600</v>
      </c>
      <c r="H25" s="76">
        <v>1</v>
      </c>
      <c r="I25" s="77">
        <v>22730</v>
      </c>
      <c r="J25" s="78">
        <f t="shared" si="2"/>
        <v>22730</v>
      </c>
      <c r="K25" s="76">
        <v>2</v>
      </c>
      <c r="L25" s="77">
        <v>45190</v>
      </c>
      <c r="M25" s="78">
        <f t="shared" si="3"/>
        <v>22595</v>
      </c>
      <c r="N25" s="76">
        <v>1</v>
      </c>
      <c r="O25" s="77">
        <v>22550</v>
      </c>
      <c r="P25" s="78">
        <f t="shared" si="4"/>
        <v>22550</v>
      </c>
      <c r="Q25" s="76">
        <v>3</v>
      </c>
      <c r="R25" s="77">
        <v>67240</v>
      </c>
      <c r="S25" s="78">
        <f t="shared" si="5"/>
        <v>22413.333333333332</v>
      </c>
      <c r="T25" s="76">
        <v>6</v>
      </c>
      <c r="U25" s="77">
        <v>135470</v>
      </c>
      <c r="V25" s="78">
        <f t="shared" si="6"/>
        <v>22578.333333333332</v>
      </c>
      <c r="W25" s="76">
        <v>3</v>
      </c>
      <c r="X25" s="77">
        <v>68260</v>
      </c>
      <c r="Y25" s="78">
        <f t="shared" si="7"/>
        <v>22753.333333333332</v>
      </c>
      <c r="Z25" s="76">
        <v>4</v>
      </c>
      <c r="AA25" s="77">
        <v>90180</v>
      </c>
      <c r="AB25" s="78">
        <f t="shared" si="8"/>
        <v>22545</v>
      </c>
      <c r="AC25" s="76">
        <v>1</v>
      </c>
      <c r="AD25" s="77">
        <v>22250</v>
      </c>
      <c r="AE25" s="78">
        <f t="shared" si="9"/>
        <v>22250</v>
      </c>
      <c r="AF25" s="76">
        <v>1</v>
      </c>
      <c r="AG25" s="77">
        <v>22510</v>
      </c>
      <c r="AH25" s="78">
        <f t="shared" si="10"/>
        <v>22510</v>
      </c>
      <c r="AI25" s="76">
        <v>2</v>
      </c>
      <c r="AJ25" s="77">
        <v>45240</v>
      </c>
      <c r="AK25" s="79">
        <f t="shared" si="13"/>
        <v>22620</v>
      </c>
      <c r="AM25" s="80">
        <f t="shared" si="12"/>
        <v>2.25</v>
      </c>
      <c r="AN25" s="81">
        <f t="shared" si="12"/>
        <v>50785</v>
      </c>
      <c r="AO25" s="79">
        <f>AVERAGE(G25,J25,M25,P25,S25,V25,Y25,AB25,AE25,AH25,AK25)</f>
        <v>22558.636363636364</v>
      </c>
    </row>
    <row r="26" spans="1:41" ht="15">
      <c r="A26" s="69" t="s">
        <v>74</v>
      </c>
      <c r="B26" s="76">
        <v>0</v>
      </c>
      <c r="C26" s="77">
        <v>0</v>
      </c>
      <c r="D26" s="78">
        <v>0</v>
      </c>
      <c r="E26" s="76">
        <v>0</v>
      </c>
      <c r="F26" s="77">
        <v>0</v>
      </c>
      <c r="G26" s="78">
        <v>0</v>
      </c>
      <c r="H26" s="76">
        <v>0</v>
      </c>
      <c r="I26" s="77">
        <v>0</v>
      </c>
      <c r="J26" s="78">
        <v>0</v>
      </c>
      <c r="K26" s="76">
        <v>0</v>
      </c>
      <c r="L26" s="77">
        <v>0</v>
      </c>
      <c r="M26" s="78">
        <v>0</v>
      </c>
      <c r="N26" s="76">
        <v>2</v>
      </c>
      <c r="O26" s="77">
        <v>46800</v>
      </c>
      <c r="P26" s="78">
        <f t="shared" si="4"/>
        <v>23400</v>
      </c>
      <c r="Q26" s="76">
        <v>3</v>
      </c>
      <c r="R26" s="77">
        <v>70690</v>
      </c>
      <c r="S26" s="78">
        <f t="shared" si="5"/>
        <v>23563.333333333332</v>
      </c>
      <c r="T26" s="76">
        <v>6</v>
      </c>
      <c r="U26" s="77">
        <v>141380</v>
      </c>
      <c r="V26" s="78">
        <f t="shared" si="6"/>
        <v>23563.333333333332</v>
      </c>
      <c r="W26" s="76">
        <v>5</v>
      </c>
      <c r="X26" s="77">
        <v>116150</v>
      </c>
      <c r="Y26" s="78">
        <f t="shared" si="7"/>
        <v>23230</v>
      </c>
      <c r="Z26" s="76">
        <v>1</v>
      </c>
      <c r="AA26" s="77">
        <v>23780</v>
      </c>
      <c r="AB26" s="78">
        <f t="shared" si="8"/>
        <v>23780</v>
      </c>
      <c r="AC26" s="76">
        <v>1</v>
      </c>
      <c r="AD26" s="77">
        <v>23600</v>
      </c>
      <c r="AE26" s="78">
        <f t="shared" si="9"/>
        <v>23600</v>
      </c>
      <c r="AF26" s="76">
        <v>3</v>
      </c>
      <c r="AG26" s="77">
        <v>70260</v>
      </c>
      <c r="AH26" s="78">
        <f t="shared" si="10"/>
        <v>23420</v>
      </c>
      <c r="AI26" s="76">
        <v>2</v>
      </c>
      <c r="AJ26" s="77">
        <v>47030</v>
      </c>
      <c r="AK26" s="79">
        <f t="shared" si="13"/>
        <v>23515</v>
      </c>
      <c r="AM26" s="80">
        <f t="shared" si="12"/>
        <v>1.9166666666666667</v>
      </c>
      <c r="AN26" s="81">
        <f t="shared" si="12"/>
        <v>44974.166666666664</v>
      </c>
      <c r="AO26" s="79">
        <f>AVERAGE(P26,S26,V26,Y26,AB26,AE26,AH26,AK26)</f>
        <v>23508.958333333332</v>
      </c>
    </row>
    <row r="27" spans="1:41" ht="15">
      <c r="A27" s="69" t="s">
        <v>75</v>
      </c>
      <c r="B27" s="76">
        <v>0</v>
      </c>
      <c r="C27" s="77">
        <v>0</v>
      </c>
      <c r="D27" s="78">
        <v>0</v>
      </c>
      <c r="E27" s="80">
        <v>2</v>
      </c>
      <c r="F27" s="81">
        <v>48930</v>
      </c>
      <c r="G27" s="78">
        <f>F27/E27</f>
        <v>24465</v>
      </c>
      <c r="H27" s="80">
        <v>2</v>
      </c>
      <c r="I27" s="81">
        <v>49130</v>
      </c>
      <c r="J27" s="78">
        <f t="shared" si="2"/>
        <v>24565</v>
      </c>
      <c r="K27" s="80">
        <v>1</v>
      </c>
      <c r="L27" s="81">
        <v>24110</v>
      </c>
      <c r="M27" s="78">
        <f t="shared" si="3"/>
        <v>24110</v>
      </c>
      <c r="N27" s="76">
        <v>0</v>
      </c>
      <c r="O27" s="77">
        <v>0</v>
      </c>
      <c r="P27" s="78">
        <v>0</v>
      </c>
      <c r="Q27" s="76">
        <v>2</v>
      </c>
      <c r="R27" s="77">
        <v>48830</v>
      </c>
      <c r="S27" s="78">
        <f t="shared" si="5"/>
        <v>24415</v>
      </c>
      <c r="T27" s="76">
        <v>3</v>
      </c>
      <c r="U27" s="77">
        <v>73220</v>
      </c>
      <c r="V27" s="78">
        <f t="shared" si="6"/>
        <v>24406.666666666668</v>
      </c>
      <c r="W27" s="76">
        <v>4</v>
      </c>
      <c r="X27" s="77">
        <v>97660</v>
      </c>
      <c r="Y27" s="78">
        <f t="shared" si="7"/>
        <v>24415</v>
      </c>
      <c r="Z27" s="76">
        <v>2</v>
      </c>
      <c r="AA27" s="77">
        <v>48930</v>
      </c>
      <c r="AB27" s="78">
        <f t="shared" si="8"/>
        <v>24465</v>
      </c>
      <c r="AC27" s="76">
        <v>1</v>
      </c>
      <c r="AD27" s="77">
        <v>24320</v>
      </c>
      <c r="AE27" s="78">
        <f t="shared" si="9"/>
        <v>24320</v>
      </c>
      <c r="AF27" s="76">
        <v>0</v>
      </c>
      <c r="AG27" s="77">
        <v>0</v>
      </c>
      <c r="AH27" s="78">
        <v>0</v>
      </c>
      <c r="AI27" s="76">
        <v>1</v>
      </c>
      <c r="AJ27" s="77">
        <v>24950</v>
      </c>
      <c r="AK27" s="79">
        <f t="shared" si="13"/>
        <v>24950</v>
      </c>
      <c r="AM27" s="80">
        <f t="shared" si="12"/>
        <v>1.5</v>
      </c>
      <c r="AN27" s="81">
        <f t="shared" si="12"/>
        <v>36673.333333333336</v>
      </c>
      <c r="AO27" s="79">
        <f>AVERAGE(G27,J27,M27,S27,V27,Y27,AB27,AE27,AK27)</f>
        <v>24456.851851851854</v>
      </c>
    </row>
    <row r="28" spans="1:41" ht="15.75" thickBot="1">
      <c r="A28" s="69" t="s">
        <v>76</v>
      </c>
      <c r="B28" s="82">
        <v>17</v>
      </c>
      <c r="C28" s="83">
        <v>563350</v>
      </c>
      <c r="D28" s="84">
        <f>C28/B28</f>
        <v>33138.23529411765</v>
      </c>
      <c r="E28" s="85">
        <v>4</v>
      </c>
      <c r="F28" s="83">
        <v>144590</v>
      </c>
      <c r="G28" s="84">
        <f>F28/E28</f>
        <v>36147.5</v>
      </c>
      <c r="H28" s="85">
        <v>10</v>
      </c>
      <c r="I28" s="86">
        <v>370270</v>
      </c>
      <c r="J28" s="84">
        <f>I28/H28</f>
        <v>37027</v>
      </c>
      <c r="K28" s="85">
        <v>10</v>
      </c>
      <c r="L28" s="85">
        <v>487200</v>
      </c>
      <c r="M28" s="87">
        <f t="shared" si="3"/>
        <v>48720</v>
      </c>
      <c r="N28" s="82">
        <v>18</v>
      </c>
      <c r="O28" s="83">
        <v>656280</v>
      </c>
      <c r="P28" s="84">
        <f t="shared" si="4"/>
        <v>36460</v>
      </c>
      <c r="Q28" s="82">
        <v>19</v>
      </c>
      <c r="R28" s="83">
        <v>633080</v>
      </c>
      <c r="S28" s="84">
        <f t="shared" si="5"/>
        <v>33320</v>
      </c>
      <c r="T28" s="82">
        <v>38</v>
      </c>
      <c r="U28" s="86">
        <v>1501740</v>
      </c>
      <c r="V28" s="84">
        <f t="shared" si="6"/>
        <v>39519.47368421053</v>
      </c>
      <c r="W28" s="82">
        <v>28</v>
      </c>
      <c r="X28" s="83">
        <v>1297010</v>
      </c>
      <c r="Y28" s="84">
        <f t="shared" si="7"/>
        <v>46321.78571428572</v>
      </c>
      <c r="Z28" s="82">
        <v>17</v>
      </c>
      <c r="AA28" s="83">
        <v>586490</v>
      </c>
      <c r="AB28" s="84">
        <f t="shared" si="8"/>
        <v>34499.41176470588</v>
      </c>
      <c r="AC28" s="82">
        <v>17</v>
      </c>
      <c r="AD28" s="83">
        <v>693990</v>
      </c>
      <c r="AE28" s="84">
        <f t="shared" si="9"/>
        <v>40822.94117647059</v>
      </c>
      <c r="AF28" s="82">
        <v>22</v>
      </c>
      <c r="AG28" s="86">
        <v>774030</v>
      </c>
      <c r="AH28" s="84">
        <f t="shared" si="10"/>
        <v>35183.181818181816</v>
      </c>
      <c r="AI28" s="82">
        <v>9</v>
      </c>
      <c r="AJ28" s="83">
        <v>322510</v>
      </c>
      <c r="AK28" s="88">
        <f t="shared" si="13"/>
        <v>35834.444444444445</v>
      </c>
      <c r="AM28" s="85">
        <f>AVERAGE(B28,E28,H28,K28,N28,Q28,T28,W28,Z28,AC28,AF28,AI28)</f>
        <v>17.416666666666668</v>
      </c>
      <c r="AN28" s="86">
        <f>AVERAGE(C28,F28,I28,L28,O28,R28,U28,X28,AA28,AD28,AG28,AJ28)</f>
        <v>669211.6666666666</v>
      </c>
      <c r="AO28" s="88">
        <f>AVERAGE(D28,G28,J28,M28,P28,S28,V28,Y28,AB28,AE28,AH28,AK28)</f>
        <v>38082.83115803472</v>
      </c>
    </row>
    <row r="29" spans="1:40" ht="13.5" thickBot="1">
      <c r="A29" s="89"/>
      <c r="B29" s="90">
        <f>SUM(B3:B28)</f>
        <v>3583</v>
      </c>
      <c r="C29" s="90">
        <f>SUM(C3:C28)</f>
        <v>12715133</v>
      </c>
      <c r="E29" s="90">
        <f>SUM(E3:E28)</f>
        <v>3624</v>
      </c>
      <c r="F29" s="90">
        <f>SUM(F3:F28)</f>
        <v>11925840</v>
      </c>
      <c r="H29" s="90">
        <f>SUM(H3:H28)</f>
        <v>3620</v>
      </c>
      <c r="I29" s="90">
        <f>SUM(I3:I28)</f>
        <v>10707437</v>
      </c>
      <c r="K29" s="90">
        <f>SUM(K3:K28)</f>
        <v>3613</v>
      </c>
      <c r="L29" s="90">
        <f>SUM(L3:L28)</f>
        <v>11900590</v>
      </c>
      <c r="M29" s="91"/>
      <c r="N29" s="90">
        <f>SUM(N3:N28)</f>
        <v>3634</v>
      </c>
      <c r="O29" s="90">
        <f>SUM(O3:O28)</f>
        <v>14218873</v>
      </c>
      <c r="Q29" s="90">
        <f>SUM(Q3:Q28)</f>
        <v>3649</v>
      </c>
      <c r="R29" s="90">
        <f>SUM(R3:R28)</f>
        <v>14095626</v>
      </c>
      <c r="T29" s="90">
        <f>SUM(T3:T28)</f>
        <v>3655</v>
      </c>
      <c r="U29" s="90">
        <f>SUM(U3:U28)</f>
        <v>16705370</v>
      </c>
      <c r="W29" s="90">
        <f>SUM(W3:W28)</f>
        <v>3667</v>
      </c>
      <c r="X29" s="90">
        <f>SUM(X3:X28)</f>
        <v>16446360</v>
      </c>
      <c r="Z29" s="90">
        <f>SUM(Z3:Z28)</f>
        <v>3666</v>
      </c>
      <c r="AA29" s="90">
        <f>SUM(AA3:AA28)</f>
        <v>13363906</v>
      </c>
      <c r="AC29" s="90">
        <f>SUM(AC3:AC28)</f>
        <v>3707</v>
      </c>
      <c r="AD29" s="90">
        <f>SUM(AD3:AD28)</f>
        <v>13884570</v>
      </c>
      <c r="AF29" s="90">
        <f>SUM(AF3:AF28)</f>
        <v>3668</v>
      </c>
      <c r="AG29" s="90">
        <f>SUM(AG3:AG28)</f>
        <v>14202320</v>
      </c>
      <c r="AI29" s="90">
        <f>SUM(AI3:AI28)</f>
        <v>3731</v>
      </c>
      <c r="AJ29" s="90">
        <f>SUM(AJ3:AJ28)</f>
        <v>12112330</v>
      </c>
      <c r="AM29" s="90">
        <f>AVERAGE(B29,E29,H29,K29,N29,Q29,T29,W29,Z29,AC29,AF29,AI29)</f>
        <v>3651.4166666666665</v>
      </c>
      <c r="AN29" s="90">
        <f>AVERAGE(C29,F29,I29,L29,O29,R29,U29,X29,AA29,AD29,AG29,AJ29)</f>
        <v>13523196.25</v>
      </c>
    </row>
    <row r="30" spans="1:41" ht="13.5" thickBot="1">
      <c r="A30" s="89"/>
      <c r="AM30" s="136" t="s">
        <v>46</v>
      </c>
      <c r="AN30" s="137"/>
      <c r="AO30" s="138"/>
    </row>
    <row r="31" spans="1:41" ht="13.5" thickBot="1">
      <c r="A31" s="92" t="s">
        <v>77</v>
      </c>
      <c r="AM31" s="64" t="s">
        <v>48</v>
      </c>
      <c r="AN31" s="65" t="s">
        <v>49</v>
      </c>
      <c r="AO31" s="68" t="s">
        <v>50</v>
      </c>
    </row>
    <row r="32" spans="1:41" ht="15">
      <c r="A32" s="93" t="s">
        <v>78</v>
      </c>
      <c r="B32" s="94">
        <v>9</v>
      </c>
      <c r="C32" s="95">
        <v>11580</v>
      </c>
      <c r="D32" s="96">
        <f aca="true" t="shared" si="14" ref="D32:D39">C32/B32</f>
        <v>1286.6666666666667</v>
      </c>
      <c r="E32" s="97">
        <v>12</v>
      </c>
      <c r="F32" s="95">
        <v>18110</v>
      </c>
      <c r="G32" s="98">
        <f aca="true" t="shared" si="15" ref="G32:G41">F32/E32</f>
        <v>1509.1666666666667</v>
      </c>
      <c r="H32" s="99">
        <v>14</v>
      </c>
      <c r="I32" s="95">
        <v>18330</v>
      </c>
      <c r="J32" s="96">
        <f aca="true" t="shared" si="16" ref="J32:J41">I32/H32</f>
        <v>1309.2857142857142</v>
      </c>
      <c r="K32" s="97">
        <v>12</v>
      </c>
      <c r="L32" s="95">
        <v>15370</v>
      </c>
      <c r="M32" s="98">
        <f aca="true" t="shared" si="17" ref="M32:M41">L32/K32</f>
        <v>1280.8333333333333</v>
      </c>
      <c r="N32" s="99">
        <v>16</v>
      </c>
      <c r="O32" s="95">
        <v>14580</v>
      </c>
      <c r="P32" s="96">
        <f aca="true" t="shared" si="18" ref="P32:P41">O32/N32</f>
        <v>911.25</v>
      </c>
      <c r="Q32" s="97">
        <v>13</v>
      </c>
      <c r="R32" s="95">
        <v>11480</v>
      </c>
      <c r="S32" s="96">
        <f aca="true" t="shared" si="19" ref="S32:S41">R32/Q32</f>
        <v>883.0769230769231</v>
      </c>
      <c r="T32" s="99">
        <v>14</v>
      </c>
      <c r="U32" s="95">
        <v>15410</v>
      </c>
      <c r="V32" s="96">
        <f aca="true" t="shared" si="20" ref="V32:V41">U32/T32</f>
        <v>1100.7142857142858</v>
      </c>
      <c r="W32" s="97">
        <v>11</v>
      </c>
      <c r="X32" s="95">
        <v>10780</v>
      </c>
      <c r="Y32" s="98">
        <f aca="true" t="shared" si="21" ref="Y32:Y41">X32/W32</f>
        <v>980</v>
      </c>
      <c r="Z32" s="99">
        <v>13</v>
      </c>
      <c r="AA32" s="95">
        <v>14370</v>
      </c>
      <c r="AB32" s="96">
        <f aca="true" t="shared" si="22" ref="AB32:AB41">AA32/Z32</f>
        <v>1105.3846153846155</v>
      </c>
      <c r="AC32" s="97">
        <v>14</v>
      </c>
      <c r="AD32" s="95">
        <v>13170</v>
      </c>
      <c r="AE32" s="98">
        <f aca="true" t="shared" si="23" ref="AE32:AE41">AD32/AC32</f>
        <v>940.7142857142857</v>
      </c>
      <c r="AF32" s="99">
        <v>13</v>
      </c>
      <c r="AG32" s="95">
        <v>16010</v>
      </c>
      <c r="AH32" s="96">
        <f aca="true" t="shared" si="24" ref="AH32:AH41">AG32/AF32</f>
        <v>1231.5384615384614</v>
      </c>
      <c r="AI32" s="97">
        <v>14</v>
      </c>
      <c r="AJ32" s="95">
        <v>16800</v>
      </c>
      <c r="AK32" s="100">
        <f aca="true" t="shared" si="25" ref="AK32:AK41">AJ32/AI32</f>
        <v>1200</v>
      </c>
      <c r="AL32" s="90"/>
      <c r="AM32" s="74">
        <f aca="true" t="shared" si="26" ref="AM32:AO41">AVERAGE(B32,E32,H32,K32,N32,Q32,T32,W32,Z32,AC32,AF32,AI32)</f>
        <v>12.916666666666666</v>
      </c>
      <c r="AN32" s="75">
        <f t="shared" si="26"/>
        <v>14665.833333333334</v>
      </c>
      <c r="AO32" s="73">
        <f t="shared" si="26"/>
        <v>1144.8859126984128</v>
      </c>
    </row>
    <row r="33" spans="1:43" ht="15">
      <c r="A33" s="101" t="s">
        <v>79</v>
      </c>
      <c r="B33" s="102">
        <v>7</v>
      </c>
      <c r="C33" s="75">
        <v>25330</v>
      </c>
      <c r="D33" s="73">
        <f t="shared" si="14"/>
        <v>3618.5714285714284</v>
      </c>
      <c r="E33" s="103">
        <v>8</v>
      </c>
      <c r="F33" s="75">
        <v>30000</v>
      </c>
      <c r="G33" s="72">
        <f>F33/E33</f>
        <v>3750</v>
      </c>
      <c r="H33" s="74">
        <v>12</v>
      </c>
      <c r="I33" s="75">
        <v>48040</v>
      </c>
      <c r="J33" s="73">
        <f>I33/H33</f>
        <v>4003.3333333333335</v>
      </c>
      <c r="K33" s="103">
        <v>8</v>
      </c>
      <c r="L33" s="75">
        <v>30340</v>
      </c>
      <c r="M33" s="72">
        <f>L33/K33</f>
        <v>3792.5</v>
      </c>
      <c r="N33" s="74">
        <v>8</v>
      </c>
      <c r="O33" s="75">
        <v>32368</v>
      </c>
      <c r="P33" s="73">
        <f>O33/N33</f>
        <v>4046</v>
      </c>
      <c r="Q33" s="103">
        <v>7</v>
      </c>
      <c r="R33" s="75">
        <v>28790</v>
      </c>
      <c r="S33" s="72">
        <f>R33/Q33</f>
        <v>4112.857142857143</v>
      </c>
      <c r="T33" s="74">
        <v>5</v>
      </c>
      <c r="U33" s="75">
        <v>18440</v>
      </c>
      <c r="V33" s="73">
        <f>U33/T33</f>
        <v>3688</v>
      </c>
      <c r="W33" s="103">
        <v>9</v>
      </c>
      <c r="X33" s="75">
        <v>37030</v>
      </c>
      <c r="Y33" s="72">
        <f>X33/W33</f>
        <v>4114.444444444444</v>
      </c>
      <c r="Z33" s="74">
        <v>8</v>
      </c>
      <c r="AA33" s="75">
        <v>29640</v>
      </c>
      <c r="AB33" s="73">
        <f>AA33/Z33</f>
        <v>3705</v>
      </c>
      <c r="AC33" s="103">
        <v>7</v>
      </c>
      <c r="AD33" s="75">
        <v>29360</v>
      </c>
      <c r="AE33" s="72">
        <f>AD33/AC33</f>
        <v>4194.285714285715</v>
      </c>
      <c r="AF33" s="74">
        <v>5</v>
      </c>
      <c r="AG33" s="75">
        <v>20650</v>
      </c>
      <c r="AH33" s="73">
        <f>AG33/AF33</f>
        <v>4130</v>
      </c>
      <c r="AI33" s="103">
        <v>11</v>
      </c>
      <c r="AJ33" s="75">
        <v>40920</v>
      </c>
      <c r="AK33" s="104">
        <f t="shared" si="25"/>
        <v>3720</v>
      </c>
      <c r="AL33" s="90"/>
      <c r="AM33" s="74">
        <f t="shared" si="26"/>
        <v>7.916666666666667</v>
      </c>
      <c r="AN33" s="75">
        <f t="shared" si="26"/>
        <v>30909</v>
      </c>
      <c r="AO33" s="73">
        <f t="shared" si="26"/>
        <v>3906.249338624339</v>
      </c>
      <c r="AP33" s="90">
        <f>SUM(AN32:AN33)</f>
        <v>45574.833333333336</v>
      </c>
      <c r="AQ33">
        <f>AP33/21</f>
        <v>2170.230158730159</v>
      </c>
    </row>
    <row r="34" spans="1:41" ht="15">
      <c r="A34" s="101" t="s">
        <v>80</v>
      </c>
      <c r="B34" s="80">
        <v>7</v>
      </c>
      <c r="C34" s="105">
        <v>51690</v>
      </c>
      <c r="D34" s="73">
        <f t="shared" si="14"/>
        <v>7384.285714285715</v>
      </c>
      <c r="E34" s="103">
        <v>9</v>
      </c>
      <c r="F34" s="75">
        <v>58820</v>
      </c>
      <c r="G34" s="72">
        <f>F34/E34</f>
        <v>6535.555555555556</v>
      </c>
      <c r="H34" s="74">
        <v>4</v>
      </c>
      <c r="I34" s="75">
        <v>32000</v>
      </c>
      <c r="J34" s="73">
        <f>I34/H34</f>
        <v>8000</v>
      </c>
      <c r="K34" s="103">
        <v>6</v>
      </c>
      <c r="L34" s="75">
        <v>42110</v>
      </c>
      <c r="M34" s="72">
        <f>L34/K34</f>
        <v>7018.333333333333</v>
      </c>
      <c r="N34" s="74">
        <v>4</v>
      </c>
      <c r="O34" s="75">
        <v>25090</v>
      </c>
      <c r="P34" s="73">
        <f>O34/N34</f>
        <v>6272.5</v>
      </c>
      <c r="Q34" s="103">
        <v>8</v>
      </c>
      <c r="R34" s="75">
        <v>53960</v>
      </c>
      <c r="S34" s="72">
        <f>R34/Q34</f>
        <v>6745</v>
      </c>
      <c r="T34" s="74">
        <v>8</v>
      </c>
      <c r="U34" s="75">
        <v>59220</v>
      </c>
      <c r="V34" s="73">
        <f>U34/T34</f>
        <v>7402.5</v>
      </c>
      <c r="W34" s="103">
        <v>8</v>
      </c>
      <c r="X34" s="75">
        <v>59320</v>
      </c>
      <c r="Y34" s="72">
        <f>X34/W34</f>
        <v>7415</v>
      </c>
      <c r="Z34" s="74">
        <v>7</v>
      </c>
      <c r="AA34" s="75">
        <v>43740</v>
      </c>
      <c r="AB34" s="73">
        <f>AA34/Z34</f>
        <v>6248.571428571428</v>
      </c>
      <c r="AC34" s="103">
        <v>8</v>
      </c>
      <c r="AD34" s="75">
        <v>51950</v>
      </c>
      <c r="AE34" s="72">
        <f>AD34/AC34</f>
        <v>6493.75</v>
      </c>
      <c r="AF34" s="74">
        <v>10</v>
      </c>
      <c r="AG34" s="75">
        <v>67360</v>
      </c>
      <c r="AH34" s="73">
        <f>AG34/AF34</f>
        <v>6736</v>
      </c>
      <c r="AI34" s="103">
        <v>5</v>
      </c>
      <c r="AJ34" s="75">
        <v>35490</v>
      </c>
      <c r="AK34" s="79">
        <f t="shared" si="25"/>
        <v>7098</v>
      </c>
      <c r="AL34" s="90"/>
      <c r="AM34" s="74">
        <f t="shared" si="26"/>
        <v>7</v>
      </c>
      <c r="AN34" s="75">
        <f t="shared" si="26"/>
        <v>48395.833333333336</v>
      </c>
      <c r="AO34" s="73">
        <f>AVERAGE(D34,G34,J34,M34,P34,S34,V34,Y34,AB34,AE34,AH34,AK34)</f>
        <v>6945.791335978836</v>
      </c>
    </row>
    <row r="35" spans="1:41" ht="15.75" thickBot="1">
      <c r="A35" s="106" t="s">
        <v>81</v>
      </c>
      <c r="B35" s="107">
        <v>9</v>
      </c>
      <c r="C35" s="86">
        <v>766670</v>
      </c>
      <c r="D35" s="108">
        <f t="shared" si="14"/>
        <v>85185.55555555556</v>
      </c>
      <c r="E35" s="109">
        <v>6</v>
      </c>
      <c r="F35" s="105">
        <v>137600</v>
      </c>
      <c r="G35" s="72">
        <f>F35/E35</f>
        <v>22933.333333333332</v>
      </c>
      <c r="H35" s="107">
        <v>5</v>
      </c>
      <c r="I35" s="105">
        <v>88890</v>
      </c>
      <c r="J35" s="73">
        <f>I35/H35</f>
        <v>17778</v>
      </c>
      <c r="K35" s="109">
        <v>10</v>
      </c>
      <c r="L35" s="105">
        <v>161020</v>
      </c>
      <c r="M35" s="72">
        <f>L35/K35</f>
        <v>16102</v>
      </c>
      <c r="N35" s="107">
        <v>10</v>
      </c>
      <c r="O35" s="105">
        <v>253950</v>
      </c>
      <c r="P35" s="73">
        <f>O35/N35</f>
        <v>25395</v>
      </c>
      <c r="Q35" s="109">
        <v>11</v>
      </c>
      <c r="R35" s="105">
        <v>332620</v>
      </c>
      <c r="S35" s="72">
        <f>R35/Q35</f>
        <v>30238.18181818182</v>
      </c>
      <c r="T35" s="107">
        <v>12</v>
      </c>
      <c r="U35" s="105">
        <v>290420</v>
      </c>
      <c r="V35" s="73">
        <f>U35/T35</f>
        <v>24201.666666666668</v>
      </c>
      <c r="W35" s="109">
        <v>11</v>
      </c>
      <c r="X35" s="105">
        <v>322710</v>
      </c>
      <c r="Y35" s="72">
        <f>X35/W35</f>
        <v>29337.272727272728</v>
      </c>
      <c r="Z35" s="107">
        <v>11</v>
      </c>
      <c r="AA35" s="105">
        <v>235040</v>
      </c>
      <c r="AB35" s="73">
        <f>AA35/Z35</f>
        <v>21367.272727272728</v>
      </c>
      <c r="AC35" s="109">
        <v>10</v>
      </c>
      <c r="AD35" s="105">
        <v>177600</v>
      </c>
      <c r="AE35" s="72">
        <f>AD35/AC35</f>
        <v>17760</v>
      </c>
      <c r="AF35" s="107">
        <v>11</v>
      </c>
      <c r="AG35" s="105">
        <v>254880</v>
      </c>
      <c r="AH35" s="73">
        <f>AG35/AF35</f>
        <v>23170.909090909092</v>
      </c>
      <c r="AI35" s="109">
        <v>8</v>
      </c>
      <c r="AJ35" s="105">
        <v>224810</v>
      </c>
      <c r="AK35" s="73">
        <f t="shared" si="25"/>
        <v>28101.25</v>
      </c>
      <c r="AL35" s="90"/>
      <c r="AM35" s="74">
        <f t="shared" si="26"/>
        <v>9.5</v>
      </c>
      <c r="AN35" s="75">
        <f t="shared" si="26"/>
        <v>270517.5</v>
      </c>
      <c r="AO35" s="73">
        <f t="shared" si="26"/>
        <v>28464.20349326599</v>
      </c>
    </row>
    <row r="36" spans="1:41" ht="12.75">
      <c r="A36" s="139" t="s">
        <v>82</v>
      </c>
      <c r="B36" s="99">
        <v>1</v>
      </c>
      <c r="C36" s="95">
        <v>460</v>
      </c>
      <c r="D36" s="96">
        <f t="shared" si="14"/>
        <v>460</v>
      </c>
      <c r="E36" s="97">
        <v>1</v>
      </c>
      <c r="F36" s="95">
        <v>310</v>
      </c>
      <c r="G36" s="98">
        <f t="shared" si="15"/>
        <v>310</v>
      </c>
      <c r="H36" s="99">
        <v>1</v>
      </c>
      <c r="I36" s="95">
        <v>0</v>
      </c>
      <c r="J36" s="96">
        <f t="shared" si="16"/>
        <v>0</v>
      </c>
      <c r="K36" s="97">
        <v>1</v>
      </c>
      <c r="L36" s="95">
        <v>400</v>
      </c>
      <c r="M36" s="98">
        <f t="shared" si="17"/>
        <v>400</v>
      </c>
      <c r="N36" s="99">
        <v>1</v>
      </c>
      <c r="O36" s="95">
        <v>40</v>
      </c>
      <c r="P36" s="96">
        <f t="shared" si="18"/>
        <v>40</v>
      </c>
      <c r="Q36" s="97">
        <v>1</v>
      </c>
      <c r="R36" s="95">
        <v>100</v>
      </c>
      <c r="S36" s="98">
        <f t="shared" si="19"/>
        <v>100</v>
      </c>
      <c r="T36" s="99">
        <v>1</v>
      </c>
      <c r="U36" s="95">
        <v>1100</v>
      </c>
      <c r="V36" s="96">
        <f t="shared" si="20"/>
        <v>1100</v>
      </c>
      <c r="W36" s="97">
        <v>1</v>
      </c>
      <c r="X36" s="95">
        <v>0</v>
      </c>
      <c r="Y36" s="98">
        <f t="shared" si="21"/>
        <v>0</v>
      </c>
      <c r="Z36" s="99">
        <v>1</v>
      </c>
      <c r="AA36" s="95">
        <v>0</v>
      </c>
      <c r="AB36" s="96">
        <f t="shared" si="22"/>
        <v>0</v>
      </c>
      <c r="AC36" s="97">
        <v>1</v>
      </c>
      <c r="AD36" s="95">
        <v>40</v>
      </c>
      <c r="AE36" s="98">
        <f t="shared" si="23"/>
        <v>40</v>
      </c>
      <c r="AF36" s="99">
        <v>1</v>
      </c>
      <c r="AG36" s="95">
        <v>60</v>
      </c>
      <c r="AH36" s="96">
        <f t="shared" si="24"/>
        <v>60</v>
      </c>
      <c r="AI36" s="97">
        <v>1</v>
      </c>
      <c r="AJ36" s="95">
        <v>10</v>
      </c>
      <c r="AK36" s="96">
        <f t="shared" si="25"/>
        <v>10</v>
      </c>
      <c r="AL36" s="90"/>
      <c r="AM36" s="74">
        <f t="shared" si="26"/>
        <v>1</v>
      </c>
      <c r="AN36" s="75">
        <f t="shared" si="26"/>
        <v>210</v>
      </c>
      <c r="AO36" s="73">
        <f>AVERAGE(D36,G36,M36,P36,S36,V36,AE36,AH36,AK36)</f>
        <v>280</v>
      </c>
    </row>
    <row r="37" spans="1:41" ht="13.5" thickBot="1">
      <c r="A37" s="140"/>
      <c r="B37" s="85">
        <v>1</v>
      </c>
      <c r="C37" s="86">
        <v>870</v>
      </c>
      <c r="D37" s="88">
        <f t="shared" si="14"/>
        <v>870</v>
      </c>
      <c r="E37" s="110">
        <v>1</v>
      </c>
      <c r="F37" s="86">
        <v>870</v>
      </c>
      <c r="G37" s="84">
        <f t="shared" si="15"/>
        <v>870</v>
      </c>
      <c r="H37" s="85">
        <v>1</v>
      </c>
      <c r="I37" s="86">
        <v>1080</v>
      </c>
      <c r="J37" s="88">
        <f t="shared" si="16"/>
        <v>1080</v>
      </c>
      <c r="K37" s="110">
        <v>1</v>
      </c>
      <c r="L37" s="86">
        <v>1280</v>
      </c>
      <c r="M37" s="84">
        <f t="shared" si="17"/>
        <v>1280</v>
      </c>
      <c r="N37" s="85">
        <v>1</v>
      </c>
      <c r="O37" s="86">
        <v>1090</v>
      </c>
      <c r="P37" s="88">
        <f t="shared" si="18"/>
        <v>1090</v>
      </c>
      <c r="Q37" s="110">
        <v>1</v>
      </c>
      <c r="R37" s="86">
        <v>1130</v>
      </c>
      <c r="S37" s="84">
        <f t="shared" si="19"/>
        <v>1130</v>
      </c>
      <c r="T37" s="85">
        <v>1</v>
      </c>
      <c r="U37" s="86">
        <v>1120</v>
      </c>
      <c r="V37" s="88">
        <f t="shared" si="20"/>
        <v>1120</v>
      </c>
      <c r="W37" s="110">
        <v>1</v>
      </c>
      <c r="X37" s="86">
        <v>1010</v>
      </c>
      <c r="Y37" s="84">
        <f t="shared" si="21"/>
        <v>1010</v>
      </c>
      <c r="Z37" s="85">
        <v>1</v>
      </c>
      <c r="AA37" s="86">
        <v>1060</v>
      </c>
      <c r="AB37" s="88">
        <f t="shared" si="22"/>
        <v>1060</v>
      </c>
      <c r="AC37" s="110">
        <v>1</v>
      </c>
      <c r="AD37" s="86">
        <v>870</v>
      </c>
      <c r="AE37" s="84">
        <f t="shared" si="23"/>
        <v>870</v>
      </c>
      <c r="AF37" s="85">
        <v>1</v>
      </c>
      <c r="AG37" s="86">
        <v>1030</v>
      </c>
      <c r="AH37" s="88">
        <f t="shared" si="24"/>
        <v>1030</v>
      </c>
      <c r="AI37" s="110">
        <v>1</v>
      </c>
      <c r="AJ37" s="86">
        <v>980</v>
      </c>
      <c r="AK37" s="88">
        <f t="shared" si="25"/>
        <v>980</v>
      </c>
      <c r="AL37" s="90"/>
      <c r="AM37" s="74">
        <f t="shared" si="26"/>
        <v>1</v>
      </c>
      <c r="AN37" s="75">
        <f t="shared" si="26"/>
        <v>1032.5</v>
      </c>
      <c r="AO37" s="73">
        <f t="shared" si="26"/>
        <v>1032.5</v>
      </c>
    </row>
    <row r="38" spans="1:41" ht="15.75" hidden="1" thickBot="1">
      <c r="A38" s="139" t="s">
        <v>83</v>
      </c>
      <c r="B38" s="85"/>
      <c r="C38" s="86"/>
      <c r="D38" s="88" t="e">
        <f t="shared" si="14"/>
        <v>#DIV/0!</v>
      </c>
      <c r="E38" s="97"/>
      <c r="F38" s="111"/>
      <c r="G38" s="98" t="e">
        <f t="shared" si="15"/>
        <v>#DIV/0!</v>
      </c>
      <c r="H38" s="99"/>
      <c r="I38" s="111"/>
      <c r="J38" s="96" t="e">
        <f t="shared" si="16"/>
        <v>#DIV/0!</v>
      </c>
      <c r="K38" s="97"/>
      <c r="L38" s="111"/>
      <c r="M38" s="98" t="e">
        <f t="shared" si="17"/>
        <v>#DIV/0!</v>
      </c>
      <c r="N38" s="99"/>
      <c r="O38" s="111"/>
      <c r="P38" s="96" t="e">
        <f t="shared" si="18"/>
        <v>#DIV/0!</v>
      </c>
      <c r="Q38" s="97"/>
      <c r="R38" s="111"/>
      <c r="S38" s="98" t="e">
        <f t="shared" si="19"/>
        <v>#DIV/0!</v>
      </c>
      <c r="T38" s="99"/>
      <c r="U38" s="111"/>
      <c r="V38" s="96" t="e">
        <f t="shared" si="20"/>
        <v>#DIV/0!</v>
      </c>
      <c r="W38" s="97"/>
      <c r="X38" s="111"/>
      <c r="Y38" s="98" t="e">
        <f t="shared" si="21"/>
        <v>#DIV/0!</v>
      </c>
      <c r="Z38" s="99"/>
      <c r="AA38" s="111"/>
      <c r="AB38" s="96" t="e">
        <f t="shared" si="22"/>
        <v>#DIV/0!</v>
      </c>
      <c r="AC38" s="97"/>
      <c r="AD38" s="111"/>
      <c r="AE38" s="98" t="e">
        <f t="shared" si="23"/>
        <v>#DIV/0!</v>
      </c>
      <c r="AF38" s="99"/>
      <c r="AG38" s="111"/>
      <c r="AH38" s="96" t="e">
        <f t="shared" si="24"/>
        <v>#DIV/0!</v>
      </c>
      <c r="AI38" s="97"/>
      <c r="AJ38" s="111"/>
      <c r="AK38" s="96" t="e">
        <f t="shared" si="25"/>
        <v>#DIV/0!</v>
      </c>
      <c r="AL38" s="90"/>
      <c r="AM38" s="74" t="e">
        <f t="shared" si="26"/>
        <v>#DIV/0!</v>
      </c>
      <c r="AN38" s="75" t="e">
        <f t="shared" si="26"/>
        <v>#DIV/0!</v>
      </c>
      <c r="AO38" s="73" t="e">
        <f t="shared" si="26"/>
        <v>#DIV/0!</v>
      </c>
    </row>
    <row r="39" spans="1:41" ht="15.75" hidden="1" thickBot="1">
      <c r="A39" s="140"/>
      <c r="B39" s="85"/>
      <c r="C39" s="83"/>
      <c r="D39" s="88" t="e">
        <f t="shared" si="14"/>
        <v>#DIV/0!</v>
      </c>
      <c r="E39" s="110"/>
      <c r="F39" s="83"/>
      <c r="G39" s="84" t="e">
        <f t="shared" si="15"/>
        <v>#DIV/0!</v>
      </c>
      <c r="H39" s="85"/>
      <c r="I39" s="83"/>
      <c r="J39" s="88" t="e">
        <f t="shared" si="16"/>
        <v>#DIV/0!</v>
      </c>
      <c r="K39" s="110"/>
      <c r="L39" s="83"/>
      <c r="M39" s="84" t="e">
        <f t="shared" si="17"/>
        <v>#DIV/0!</v>
      </c>
      <c r="N39" s="85"/>
      <c r="O39" s="83"/>
      <c r="P39" s="88" t="e">
        <f t="shared" si="18"/>
        <v>#DIV/0!</v>
      </c>
      <c r="Q39" s="110"/>
      <c r="R39" s="83"/>
      <c r="S39" s="84" t="e">
        <f t="shared" si="19"/>
        <v>#DIV/0!</v>
      </c>
      <c r="T39" s="85"/>
      <c r="U39" s="83"/>
      <c r="V39" s="88" t="e">
        <f t="shared" si="20"/>
        <v>#DIV/0!</v>
      </c>
      <c r="W39" s="110"/>
      <c r="X39" s="83"/>
      <c r="Y39" s="84" t="e">
        <f t="shared" si="21"/>
        <v>#DIV/0!</v>
      </c>
      <c r="Z39" s="85"/>
      <c r="AA39" s="83"/>
      <c r="AB39" s="88" t="e">
        <f t="shared" si="22"/>
        <v>#DIV/0!</v>
      </c>
      <c r="AC39" s="110"/>
      <c r="AD39" s="83"/>
      <c r="AE39" s="84" t="e">
        <f t="shared" si="23"/>
        <v>#DIV/0!</v>
      </c>
      <c r="AF39" s="85"/>
      <c r="AG39" s="83"/>
      <c r="AH39" s="88" t="e">
        <f t="shared" si="24"/>
        <v>#DIV/0!</v>
      </c>
      <c r="AI39" s="110"/>
      <c r="AJ39" s="83"/>
      <c r="AK39" s="88" t="e">
        <f t="shared" si="25"/>
        <v>#DIV/0!</v>
      </c>
      <c r="AL39" s="90"/>
      <c r="AM39" s="74" t="e">
        <f t="shared" si="26"/>
        <v>#DIV/0!</v>
      </c>
      <c r="AN39" s="75" t="e">
        <f t="shared" si="26"/>
        <v>#DIV/0!</v>
      </c>
      <c r="AO39" s="73" t="e">
        <f t="shared" si="26"/>
        <v>#DIV/0!</v>
      </c>
    </row>
    <row r="40" spans="1:41" ht="15">
      <c r="A40" s="139" t="s">
        <v>84</v>
      </c>
      <c r="B40" s="99">
        <v>1</v>
      </c>
      <c r="C40" s="111">
        <v>16000</v>
      </c>
      <c r="D40" s="96">
        <f>C40/B40</f>
        <v>16000</v>
      </c>
      <c r="E40" s="97">
        <v>1</v>
      </c>
      <c r="F40" s="95">
        <v>27000</v>
      </c>
      <c r="G40" s="98">
        <f t="shared" si="15"/>
        <v>27000</v>
      </c>
      <c r="H40" s="99">
        <v>1</v>
      </c>
      <c r="I40" s="95">
        <v>27000</v>
      </c>
      <c r="J40" s="96">
        <f t="shared" si="16"/>
        <v>27000</v>
      </c>
      <c r="K40" s="97">
        <v>1</v>
      </c>
      <c r="L40" s="95">
        <v>24000</v>
      </c>
      <c r="M40" s="98">
        <f t="shared" si="17"/>
        <v>24000</v>
      </c>
      <c r="N40" s="99">
        <v>1</v>
      </c>
      <c r="O40" s="111">
        <v>7700</v>
      </c>
      <c r="P40" s="96">
        <f t="shared" si="18"/>
        <v>7700</v>
      </c>
      <c r="Q40" s="97">
        <v>1</v>
      </c>
      <c r="R40" s="111">
        <v>14400</v>
      </c>
      <c r="S40" s="98">
        <f t="shared" si="19"/>
        <v>14400</v>
      </c>
      <c r="T40" s="99">
        <v>1</v>
      </c>
      <c r="U40" s="111">
        <v>19000</v>
      </c>
      <c r="V40" s="96">
        <f t="shared" si="20"/>
        <v>19000</v>
      </c>
      <c r="W40" s="97">
        <v>1</v>
      </c>
      <c r="X40" s="111">
        <v>29000</v>
      </c>
      <c r="Y40" s="96">
        <f t="shared" si="21"/>
        <v>29000</v>
      </c>
      <c r="Z40" s="99">
        <v>1</v>
      </c>
      <c r="AA40" s="111">
        <v>28000</v>
      </c>
      <c r="AB40" s="96">
        <f t="shared" si="22"/>
        <v>28000</v>
      </c>
      <c r="AC40" s="97">
        <v>1</v>
      </c>
      <c r="AD40" s="111">
        <v>36000</v>
      </c>
      <c r="AE40" s="98">
        <f t="shared" si="23"/>
        <v>36000</v>
      </c>
      <c r="AF40" s="99">
        <v>1</v>
      </c>
      <c r="AG40" s="111">
        <v>47000</v>
      </c>
      <c r="AH40" s="96">
        <f t="shared" si="24"/>
        <v>47000</v>
      </c>
      <c r="AI40" s="97">
        <v>1</v>
      </c>
      <c r="AJ40" s="111">
        <v>14800</v>
      </c>
      <c r="AK40" s="96">
        <f t="shared" si="25"/>
        <v>14800</v>
      </c>
      <c r="AL40" s="90"/>
      <c r="AM40" s="74">
        <f t="shared" si="26"/>
        <v>1</v>
      </c>
      <c r="AN40" s="75">
        <f t="shared" si="26"/>
        <v>24158.333333333332</v>
      </c>
      <c r="AO40" s="73">
        <f t="shared" si="26"/>
        <v>24158.333333333332</v>
      </c>
    </row>
    <row r="41" spans="1:41" ht="15.75" thickBot="1">
      <c r="A41" s="140"/>
      <c r="B41" s="112">
        <v>1</v>
      </c>
      <c r="C41" s="113">
        <v>81500</v>
      </c>
      <c r="D41" s="108">
        <f>C41/B41</f>
        <v>81500</v>
      </c>
      <c r="E41" s="114">
        <v>1</v>
      </c>
      <c r="F41" s="113">
        <v>120400</v>
      </c>
      <c r="G41" s="115">
        <f t="shared" si="15"/>
        <v>120400</v>
      </c>
      <c r="H41" s="112">
        <v>1</v>
      </c>
      <c r="I41" s="113">
        <v>100200</v>
      </c>
      <c r="J41" s="108">
        <f t="shared" si="16"/>
        <v>100200</v>
      </c>
      <c r="K41" s="114">
        <v>1</v>
      </c>
      <c r="L41" s="113">
        <v>56200</v>
      </c>
      <c r="M41" s="115">
        <f t="shared" si="17"/>
        <v>56200</v>
      </c>
      <c r="N41" s="112">
        <v>1</v>
      </c>
      <c r="O41" s="116">
        <v>19000</v>
      </c>
      <c r="P41" s="108">
        <f t="shared" si="18"/>
        <v>19000</v>
      </c>
      <c r="Q41" s="114">
        <v>1</v>
      </c>
      <c r="R41" s="116">
        <v>18000</v>
      </c>
      <c r="S41" s="115">
        <f t="shared" si="19"/>
        <v>18000</v>
      </c>
      <c r="T41" s="112">
        <v>1</v>
      </c>
      <c r="U41" s="116">
        <v>28500</v>
      </c>
      <c r="V41" s="108">
        <f t="shared" si="20"/>
        <v>28500</v>
      </c>
      <c r="W41" s="114">
        <v>1</v>
      </c>
      <c r="X41" s="116">
        <v>37500</v>
      </c>
      <c r="Y41" s="115">
        <f t="shared" si="21"/>
        <v>37500</v>
      </c>
      <c r="Z41" s="112">
        <v>1</v>
      </c>
      <c r="AA41" s="116">
        <v>39100</v>
      </c>
      <c r="AB41" s="108">
        <f t="shared" si="22"/>
        <v>39100</v>
      </c>
      <c r="AC41" s="114">
        <v>1</v>
      </c>
      <c r="AD41" s="116">
        <v>42900</v>
      </c>
      <c r="AE41" s="115">
        <f t="shared" si="23"/>
        <v>42900</v>
      </c>
      <c r="AF41" s="112">
        <v>1</v>
      </c>
      <c r="AG41" s="116">
        <v>65200</v>
      </c>
      <c r="AH41" s="108">
        <f t="shared" si="24"/>
        <v>65200</v>
      </c>
      <c r="AI41" s="114">
        <v>1</v>
      </c>
      <c r="AJ41" s="116">
        <v>31000</v>
      </c>
      <c r="AK41" s="108">
        <f t="shared" si="25"/>
        <v>31000</v>
      </c>
      <c r="AL41" s="90"/>
      <c r="AM41" s="112">
        <f t="shared" si="26"/>
        <v>1</v>
      </c>
      <c r="AN41" s="113">
        <f t="shared" si="26"/>
        <v>53291.666666666664</v>
      </c>
      <c r="AO41" s="108">
        <f t="shared" si="26"/>
        <v>53291.666666666664</v>
      </c>
    </row>
    <row r="42" spans="2:39" ht="12.75">
      <c r="B42" s="90">
        <f>SUM(B32:B41)</f>
        <v>36</v>
      </c>
      <c r="E42" s="90">
        <f>SUM(E32:E41)</f>
        <v>39</v>
      </c>
      <c r="H42" s="90">
        <f>SUM(H32:H41)</f>
        <v>39</v>
      </c>
      <c r="K42" s="90">
        <f>SUM(K32:K41)</f>
        <v>40</v>
      </c>
      <c r="N42" s="90">
        <f>SUM(N32:N41)</f>
        <v>42</v>
      </c>
      <c r="Q42" s="90">
        <f>SUM(Q32:Q41)</f>
        <v>43</v>
      </c>
      <c r="T42" s="90">
        <f>SUM(T32:T41)</f>
        <v>43</v>
      </c>
      <c r="W42" s="90">
        <f>SUM(W32:W41)</f>
        <v>43</v>
      </c>
      <c r="Z42" s="90">
        <f>SUM(Z32:Z41)</f>
        <v>43</v>
      </c>
      <c r="AC42" s="90">
        <f>SUM(AC32:AC41)</f>
        <v>43</v>
      </c>
      <c r="AF42" s="90">
        <f>SUM(AF32:AF41)</f>
        <v>43</v>
      </c>
      <c r="AI42" s="90">
        <f>SUM(AI32:AI41)</f>
        <v>42</v>
      </c>
      <c r="AM42" s="90">
        <f>AVERAGE(B42,E42,H42,K42,N42,Q42,T42,W42,Z42,AC42,AF42,AI42)</f>
        <v>41.333333333333336</v>
      </c>
    </row>
    <row r="44" spans="1:39" ht="12.75">
      <c r="A44" t="s">
        <v>85</v>
      </c>
      <c r="B44" s="90">
        <f>B29+B42</f>
        <v>3619</v>
      </c>
      <c r="E44" s="90">
        <f>E29+E42</f>
        <v>3663</v>
      </c>
      <c r="H44" s="90">
        <f>H29+H42</f>
        <v>3659</v>
      </c>
      <c r="K44" s="90">
        <f>K29+K42</f>
        <v>3653</v>
      </c>
      <c r="N44" s="90">
        <f>N29+N42</f>
        <v>3676</v>
      </c>
      <c r="Q44" s="90">
        <f>Q29+Q42</f>
        <v>3692</v>
      </c>
      <c r="T44" s="90">
        <f>T29+T42</f>
        <v>3698</v>
      </c>
      <c r="W44" s="90">
        <f>W29+W42</f>
        <v>3710</v>
      </c>
      <c r="Z44" s="90">
        <f>Z29+Z42</f>
        <v>3709</v>
      </c>
      <c r="AC44" s="90">
        <f>AC29+AC42</f>
        <v>3750</v>
      </c>
      <c r="AF44" s="90">
        <f>AF29+AF42</f>
        <v>3711</v>
      </c>
      <c r="AI44" s="90">
        <f>AI29+AI42</f>
        <v>3773</v>
      </c>
      <c r="AM44" s="90">
        <f>AVERAGE(B44,E44,H44,K44,N44,Q44,T44,W44,Z44,AC44,AF44,AI44)</f>
        <v>3692.75</v>
      </c>
    </row>
  </sheetData>
  <sheetProtection/>
  <mergeCells count="17">
    <mergeCell ref="AM1:AO1"/>
    <mergeCell ref="AM30:AO30"/>
    <mergeCell ref="A36:A37"/>
    <mergeCell ref="A38:A39"/>
    <mergeCell ref="A40:A4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7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2.8515625" style="2" customWidth="1"/>
    <col min="2" max="3" width="6.7109375" style="2" customWidth="1"/>
    <col min="4" max="4" width="9.7109375" style="2" customWidth="1"/>
    <col min="5" max="5" width="7.7109375" style="2" customWidth="1"/>
    <col min="6" max="6" width="12.28125" style="2" customWidth="1"/>
    <col min="7" max="7" width="14.421875" style="2" bestFit="1" customWidth="1"/>
    <col min="8" max="8" width="2.8515625" style="2" customWidth="1"/>
    <col min="9" max="10" width="6.7109375" style="2" customWidth="1"/>
    <col min="11" max="11" width="9.7109375" style="2" customWidth="1"/>
    <col min="12" max="12" width="7.7109375" style="2" customWidth="1"/>
    <col min="13" max="13" width="9.8515625" style="2" customWidth="1"/>
    <col min="14" max="14" width="13.7109375" style="2" customWidth="1"/>
    <col min="15" max="16" width="2.8515625" style="2" customWidth="1"/>
    <col min="17" max="17" width="11.7109375" style="2" customWidth="1"/>
    <col min="18" max="18" width="10.7109375" style="2" bestFit="1" customWidth="1"/>
    <col min="19" max="19" width="10.7109375" style="2" customWidth="1"/>
    <col min="20" max="16384" width="9.140625" style="2" customWidth="1"/>
  </cols>
  <sheetData>
    <row r="1" spans="2:14" ht="21" customHeight="1">
      <c r="B1" s="152" t="s">
        <v>33</v>
      </c>
      <c r="C1" s="152"/>
      <c r="D1" s="152"/>
      <c r="E1" s="152"/>
      <c r="F1" s="152"/>
      <c r="G1" s="152"/>
      <c r="I1" s="153"/>
      <c r="J1" s="153"/>
      <c r="K1" s="153"/>
      <c r="L1" s="153"/>
      <c r="M1" s="153"/>
      <c r="N1" s="153"/>
    </row>
    <row r="2" spans="2:14" ht="21" customHeight="1">
      <c r="B2" s="39"/>
      <c r="C2" s="39"/>
      <c r="D2" s="39"/>
      <c r="E2" s="39"/>
      <c r="F2" s="39"/>
      <c r="G2" s="39"/>
      <c r="I2" s="1"/>
      <c r="J2" s="1"/>
      <c r="K2" s="1"/>
      <c r="L2" s="1"/>
      <c r="M2" s="1"/>
      <c r="N2" s="1"/>
    </row>
    <row r="3" spans="2:14" ht="21" customHeight="1">
      <c r="B3" s="40" t="s">
        <v>32</v>
      </c>
      <c r="C3" s="39"/>
      <c r="D3" s="39"/>
      <c r="E3" s="39"/>
      <c r="F3" s="39"/>
      <c r="G3" s="39"/>
      <c r="I3" s="1"/>
      <c r="J3" s="1"/>
      <c r="K3" s="1"/>
      <c r="L3" s="1"/>
      <c r="M3" s="1"/>
      <c r="N3" s="1"/>
    </row>
    <row r="4" spans="2:17" ht="18.75" customHeight="1" thickBot="1">
      <c r="B4" s="46" t="s">
        <v>86</v>
      </c>
      <c r="C4" s="1"/>
      <c r="D4" s="1"/>
      <c r="E4" s="1"/>
      <c r="F4" s="1"/>
      <c r="G4" s="1"/>
      <c r="I4" s="117"/>
      <c r="J4" s="118"/>
      <c r="K4" s="118"/>
      <c r="L4" s="118"/>
      <c r="M4" s="118"/>
      <c r="N4" s="118"/>
      <c r="P4" s="1"/>
      <c r="Q4" s="1"/>
    </row>
    <row r="5" spans="2:21" ht="13.5" thickBot="1">
      <c r="B5" s="9"/>
      <c r="C5" s="7"/>
      <c r="D5" s="10" t="s">
        <v>26</v>
      </c>
      <c r="E5" s="16">
        <v>17.17</v>
      </c>
      <c r="F5" s="11" t="s">
        <v>18</v>
      </c>
      <c r="G5" s="12"/>
      <c r="I5" s="6"/>
      <c r="J5" s="6"/>
      <c r="K5" s="14"/>
      <c r="L5"/>
      <c r="M5" s="15"/>
      <c r="N5" s="119"/>
      <c r="U5" s="50"/>
    </row>
    <row r="6" spans="2:21" ht="13.5" thickBot="1">
      <c r="B6" s="13"/>
      <c r="C6" s="6"/>
      <c r="D6" s="14" t="s">
        <v>27</v>
      </c>
      <c r="E6" s="16">
        <v>7.95</v>
      </c>
      <c r="F6" s="15" t="s">
        <v>6</v>
      </c>
      <c r="G6" s="4"/>
      <c r="I6" s="6"/>
      <c r="J6" s="6"/>
      <c r="K6" s="14"/>
      <c r="L6"/>
      <c r="M6" s="15"/>
      <c r="N6" s="120"/>
      <c r="U6" s="50"/>
    </row>
    <row r="7" spans="2:21" ht="13.5" thickBot="1">
      <c r="B7" s="13"/>
      <c r="C7" s="6"/>
      <c r="D7" s="14" t="s">
        <v>12</v>
      </c>
      <c r="E7" s="16">
        <v>7.1</v>
      </c>
      <c r="F7" s="15" t="s">
        <v>6</v>
      </c>
      <c r="G7" s="4"/>
      <c r="I7" s="6"/>
      <c r="J7" s="6"/>
      <c r="K7" s="14"/>
      <c r="L7"/>
      <c r="M7" s="15"/>
      <c r="N7" s="120"/>
      <c r="U7" s="50"/>
    </row>
    <row r="8" spans="2:21" ht="13.5" thickBot="1">
      <c r="B8" s="13"/>
      <c r="C8" s="6"/>
      <c r="D8" s="14" t="s">
        <v>25</v>
      </c>
      <c r="E8" s="16">
        <v>5.8</v>
      </c>
      <c r="F8" s="15" t="s">
        <v>6</v>
      </c>
      <c r="G8" s="4"/>
      <c r="I8" s="6"/>
      <c r="J8" s="6"/>
      <c r="K8" s="14"/>
      <c r="L8"/>
      <c r="M8" s="15"/>
      <c r="N8" s="120"/>
      <c r="O8" s="49"/>
      <c r="P8" s="49"/>
      <c r="Q8" s="49"/>
      <c r="R8" s="49"/>
      <c r="S8" s="49"/>
      <c r="T8" s="49"/>
      <c r="U8" s="50"/>
    </row>
    <row r="9" spans="2:21" s="3" customFormat="1" ht="38.25" customHeight="1" thickBot="1">
      <c r="B9" s="154" t="s">
        <v>0</v>
      </c>
      <c r="C9" s="155"/>
      <c r="D9" s="143" t="s">
        <v>1</v>
      </c>
      <c r="E9" s="143" t="s">
        <v>2</v>
      </c>
      <c r="F9" s="143" t="s">
        <v>7</v>
      </c>
      <c r="G9" s="143" t="s">
        <v>3</v>
      </c>
      <c r="H9" s="8"/>
      <c r="I9" s="129"/>
      <c r="J9" s="129"/>
      <c r="K9" s="129"/>
      <c r="L9" s="129"/>
      <c r="M9" s="129"/>
      <c r="N9" s="129"/>
      <c r="U9" s="51"/>
    </row>
    <row r="10" spans="2:14" ht="13.5" thickBot="1">
      <c r="B10" s="29" t="s">
        <v>4</v>
      </c>
      <c r="C10" s="29" t="s">
        <v>5</v>
      </c>
      <c r="D10" s="144"/>
      <c r="E10" s="144"/>
      <c r="F10" s="144"/>
      <c r="G10" s="144"/>
      <c r="H10" s="6"/>
      <c r="I10" s="118"/>
      <c r="J10" s="118"/>
      <c r="K10" s="129"/>
      <c r="L10" s="129"/>
      <c r="M10" s="129"/>
      <c r="N10" s="129"/>
    </row>
    <row r="11" spans="2:14" ht="12.75">
      <c r="B11" s="21">
        <v>0</v>
      </c>
      <c r="C11" s="22">
        <v>1000</v>
      </c>
      <c r="D11" s="23">
        <f>Data!AO3</f>
        <v>353.7085485141112</v>
      </c>
      <c r="E11" s="24">
        <f>Data!AM3</f>
        <v>621</v>
      </c>
      <c r="F11" s="25">
        <f>Data!AN3</f>
        <v>219669.41666666666</v>
      </c>
      <c r="G11" s="26">
        <f>E11*$E$5</f>
        <v>10662.570000000002</v>
      </c>
      <c r="H11" s="5"/>
      <c r="I11" s="121"/>
      <c r="J11" s="121"/>
      <c r="K11" s="122"/>
      <c r="L11" s="52"/>
      <c r="M11" s="123"/>
      <c r="N11" s="5"/>
    </row>
    <row r="12" spans="2:14" ht="12.75">
      <c r="B12" s="27">
        <v>1000</v>
      </c>
      <c r="C12" s="17">
        <v>2000</v>
      </c>
      <c r="D12" s="18">
        <f>Data!AO4</f>
        <v>1532.087229971837</v>
      </c>
      <c r="E12" s="19">
        <f>Data!AM4</f>
        <v>584.9166666666666</v>
      </c>
      <c r="F12" s="20">
        <f>Data!AN4</f>
        <v>896168.8333333334</v>
      </c>
      <c r="G12" s="28">
        <f>(E12*$E$5)+(((D12-1000)*E12/1000)*$E$6)</f>
        <v>12517.27134366833</v>
      </c>
      <c r="H12" s="5"/>
      <c r="I12" s="121"/>
      <c r="J12" s="121"/>
      <c r="K12" s="122"/>
      <c r="L12" s="52"/>
      <c r="M12" s="123"/>
      <c r="N12" s="5"/>
    </row>
    <row r="13" spans="2:14" ht="12.75">
      <c r="B13" s="43">
        <v>2000</v>
      </c>
      <c r="C13" s="44">
        <v>3000</v>
      </c>
      <c r="D13" s="18">
        <f>Data!AO5</f>
        <v>2500.713623612987</v>
      </c>
      <c r="E13" s="19">
        <f>Data!AM5</f>
        <v>645.3333333333334</v>
      </c>
      <c r="F13" s="20">
        <f>Data!AN5</f>
        <v>1613741.6666666667</v>
      </c>
      <c r="G13" s="28">
        <f>(E13*$E$5)+(((D13-1000)*E13/1000)*$E$6)</f>
        <v>18779.634507917403</v>
      </c>
      <c r="H13" s="5"/>
      <c r="I13" s="124"/>
      <c r="J13" s="124"/>
      <c r="K13" s="122"/>
      <c r="L13" s="52"/>
      <c r="M13" s="123"/>
      <c r="N13" s="5"/>
    </row>
    <row r="14" spans="2:14" ht="12.75">
      <c r="B14" s="27">
        <v>3000</v>
      </c>
      <c r="C14" s="17">
        <v>4000</v>
      </c>
      <c r="D14" s="18">
        <f>Data!AO6</f>
        <v>3484.6863451835743</v>
      </c>
      <c r="E14" s="19">
        <f>Data!AM6</f>
        <v>567.1666666666666</v>
      </c>
      <c r="F14" s="20">
        <f>Data!AN6</f>
        <v>1976305.5</v>
      </c>
      <c r="G14" s="28">
        <f>(E14*$E$5)+(((D14-1000)*E14/1000)*$E$6)</f>
        <v>20941.640279940773</v>
      </c>
      <c r="H14" s="5"/>
      <c r="I14" s="121"/>
      <c r="J14" s="121"/>
      <c r="K14" s="122"/>
      <c r="L14" s="52"/>
      <c r="M14" s="123"/>
      <c r="N14" s="5"/>
    </row>
    <row r="15" spans="2:14" ht="12.75">
      <c r="B15" s="27">
        <v>4000</v>
      </c>
      <c r="C15" s="17">
        <v>5000</v>
      </c>
      <c r="D15" s="18">
        <f>Data!AO7</f>
        <v>4466.207561701809</v>
      </c>
      <c r="E15" s="19">
        <f>Data!AM7</f>
        <v>409.25</v>
      </c>
      <c r="F15" s="20">
        <f>Data!AN7</f>
        <v>1827831.6666666667</v>
      </c>
      <c r="G15" s="28">
        <f>(E15*$E$5)+(((D15-1000)*E15/1000)*$E$6)</f>
        <v>18304.258784780402</v>
      </c>
      <c r="H15" s="5"/>
      <c r="I15" s="121"/>
      <c r="J15" s="121"/>
      <c r="K15" s="122"/>
      <c r="L15" s="52"/>
      <c r="M15" s="123"/>
      <c r="N15" s="5"/>
    </row>
    <row r="16" spans="2:14" ht="12.75">
      <c r="B16" s="27">
        <v>5000</v>
      </c>
      <c r="C16" s="17">
        <v>6000</v>
      </c>
      <c r="D16" s="18">
        <f>Data!AO8</f>
        <v>5471.047338969478</v>
      </c>
      <c r="E16" s="19">
        <f>Data!AM8</f>
        <v>272.5</v>
      </c>
      <c r="F16" s="20">
        <f>Data!AN8</f>
        <v>1491077.5</v>
      </c>
      <c r="G16" s="28">
        <f>($E$5+$E$6*4+((D16-5000)/1000)*$E$7)*E16</f>
        <v>14255.683839071196</v>
      </c>
      <c r="H16" s="5"/>
      <c r="I16" s="121"/>
      <c r="J16" s="121"/>
      <c r="K16" s="122"/>
      <c r="L16" s="52"/>
      <c r="M16" s="123"/>
      <c r="N16" s="5"/>
    </row>
    <row r="17" spans="2:14" ht="12.75">
      <c r="B17" s="27">
        <v>6000</v>
      </c>
      <c r="C17" s="17">
        <v>7000</v>
      </c>
      <c r="D17" s="18">
        <f>Data!AO9</f>
        <v>6471.488420661248</v>
      </c>
      <c r="E17" s="19">
        <f>Data!AM9</f>
        <v>170</v>
      </c>
      <c r="F17" s="20">
        <f>Data!AN9</f>
        <v>1100531.6666666667</v>
      </c>
      <c r="G17" s="28">
        <f>($E$5+$E$6*4+((D17-5000)/1000)*$E$7)*E17</f>
        <v>10100.986523738125</v>
      </c>
      <c r="H17" s="5"/>
      <c r="I17" s="121"/>
      <c r="J17" s="121"/>
      <c r="K17" s="122"/>
      <c r="L17" s="52"/>
      <c r="M17" s="123"/>
      <c r="N17" s="5"/>
    </row>
    <row r="18" spans="2:14" ht="12.75">
      <c r="B18" s="27">
        <v>7000</v>
      </c>
      <c r="C18" s="17">
        <v>8000</v>
      </c>
      <c r="D18" s="18">
        <f>Data!AO10</f>
        <v>7475.934212237479</v>
      </c>
      <c r="E18" s="19">
        <f>Data!AM10</f>
        <v>112.91666666666667</v>
      </c>
      <c r="F18" s="20">
        <f>Data!AN10</f>
        <v>844620.8333333334</v>
      </c>
      <c r="G18" s="28">
        <f>($E$5+$E$6*4+((D18-5000)/1000)*$E$7)*E18</f>
        <v>7514.506257402556</v>
      </c>
      <c r="H18" s="5"/>
      <c r="I18" s="121"/>
      <c r="J18" s="121"/>
      <c r="K18" s="122"/>
      <c r="L18" s="52"/>
      <c r="M18" s="123"/>
      <c r="N18" s="5"/>
    </row>
    <row r="19" spans="2:14" ht="12.75">
      <c r="B19" s="27">
        <v>8000</v>
      </c>
      <c r="C19" s="17">
        <v>9000</v>
      </c>
      <c r="D19" s="18">
        <f>Data!AO11</f>
        <v>8468.43911610649</v>
      </c>
      <c r="E19" s="19">
        <f>Data!AM11</f>
        <v>73.75</v>
      </c>
      <c r="F19" s="20">
        <f>Data!AN11</f>
        <v>625120.8333333334</v>
      </c>
      <c r="G19" s="28">
        <f>($E$5+$E$6*4+((D19-5000)/1000)*$E$7)*E19</f>
        <v>5427.698932171261</v>
      </c>
      <c r="H19" s="5"/>
      <c r="I19" s="121"/>
      <c r="J19" s="121"/>
      <c r="K19" s="122"/>
      <c r="L19" s="52"/>
      <c r="M19" s="123"/>
      <c r="N19" s="5"/>
    </row>
    <row r="20" spans="2:14" ht="12.75">
      <c r="B20" s="27">
        <v>9000</v>
      </c>
      <c r="C20" s="17">
        <v>10000</v>
      </c>
      <c r="D20" s="18">
        <f>Data!AO12</f>
        <v>9472.823856080775</v>
      </c>
      <c r="E20" s="19">
        <f>Data!AM12</f>
        <v>48.416666666666664</v>
      </c>
      <c r="F20" s="20">
        <f>Data!AN12</f>
        <v>458655.8333333333</v>
      </c>
      <c r="G20" s="28">
        <f>($E$5+$E$6*4+((D20-5000)/1000)*$E$7)*E20</f>
        <v>3908.534640726567</v>
      </c>
      <c r="H20" s="5"/>
      <c r="I20" s="121"/>
      <c r="J20" s="121"/>
      <c r="K20" s="122"/>
      <c r="L20" s="52"/>
      <c r="M20" s="123"/>
      <c r="N20" s="5"/>
    </row>
    <row r="21" spans="2:14" ht="12.75">
      <c r="B21" s="27">
        <v>10000</v>
      </c>
      <c r="C21" s="17">
        <v>11000</v>
      </c>
      <c r="D21" s="18">
        <f>Data!AO13</f>
        <v>10479.980302502821</v>
      </c>
      <c r="E21" s="19">
        <f>Data!AM13</f>
        <v>32.583333333333336</v>
      </c>
      <c r="F21" s="20">
        <f>Data!AN13</f>
        <v>341491.6666666667</v>
      </c>
      <c r="G21" s="28">
        <f>($E$5+$E$6*4+$E$7*5+(((D21-10000)/1000)*$E$8))*E21</f>
        <v>2843.0224441679916</v>
      </c>
      <c r="H21" s="5"/>
      <c r="I21" s="121"/>
      <c r="J21" s="121"/>
      <c r="K21" s="122"/>
      <c r="L21" s="52"/>
      <c r="M21" s="123"/>
      <c r="N21" s="5"/>
    </row>
    <row r="22" spans="2:14" ht="12.75">
      <c r="B22" s="54">
        <f>C21</f>
        <v>11000</v>
      </c>
      <c r="C22" s="55">
        <f>C21+1000</f>
        <v>12000</v>
      </c>
      <c r="D22" s="18">
        <f>Data!AO14</f>
        <v>11486.613293353284</v>
      </c>
      <c r="E22" s="19">
        <f>Data!AM14</f>
        <v>21</v>
      </c>
      <c r="F22" s="20">
        <f>Data!AN14</f>
        <v>241179.16666666666</v>
      </c>
      <c r="G22" s="28">
        <f aca="true" t="shared" si="0" ref="G22:G35">($E$5+$E$6*4+$E$7*5+(((D22-10000)/1000)*$E$8))*E22</f>
        <v>1954.93949913043</v>
      </c>
      <c r="H22" s="5"/>
      <c r="I22" s="121"/>
      <c r="J22" s="121"/>
      <c r="K22" s="122"/>
      <c r="L22" s="52"/>
      <c r="M22" s="123"/>
      <c r="N22" s="5"/>
    </row>
    <row r="23" spans="2:14" ht="12.75">
      <c r="B23" s="54">
        <f aca="true" t="shared" si="1" ref="B23:B36">C22</f>
        <v>12000</v>
      </c>
      <c r="C23" s="55">
        <f aca="true" t="shared" si="2" ref="C23:C35">C22+1000</f>
        <v>13000</v>
      </c>
      <c r="D23" s="18">
        <f>Data!AO15</f>
        <v>12509.317426400761</v>
      </c>
      <c r="E23" s="19">
        <f>Data!AM15</f>
        <v>13.916666666666666</v>
      </c>
      <c r="F23" s="20">
        <f>Data!AN15</f>
        <v>174090.83333333334</v>
      </c>
      <c r="G23" s="28">
        <f t="shared" si="0"/>
        <v>1378.0845716009812</v>
      </c>
      <c r="H23" s="5"/>
      <c r="I23" s="121"/>
      <c r="J23" s="121"/>
      <c r="K23" s="122"/>
      <c r="L23" s="52"/>
      <c r="M23" s="123"/>
      <c r="N23" s="5"/>
    </row>
    <row r="24" spans="2:14" ht="12.75">
      <c r="B24" s="54">
        <f t="shared" si="1"/>
        <v>13000</v>
      </c>
      <c r="C24" s="55">
        <f t="shared" si="2"/>
        <v>14000</v>
      </c>
      <c r="D24" s="18">
        <f>Data!AO16</f>
        <v>13502.71417964092</v>
      </c>
      <c r="E24" s="19">
        <f>Data!AM16</f>
        <v>10.583333333333334</v>
      </c>
      <c r="F24" s="20">
        <f>Data!AN16</f>
        <v>142793.33333333334</v>
      </c>
      <c r="G24" s="28">
        <f t="shared" si="0"/>
        <v>1108.9824387269584</v>
      </c>
      <c r="H24" s="5"/>
      <c r="I24" s="121"/>
      <c r="J24" s="121"/>
      <c r="K24" s="122"/>
      <c r="L24" s="52"/>
      <c r="M24" s="123"/>
      <c r="N24" s="5"/>
    </row>
    <row r="25" spans="2:14" ht="12.75">
      <c r="B25" s="54">
        <f t="shared" si="1"/>
        <v>14000</v>
      </c>
      <c r="C25" s="55">
        <f t="shared" si="2"/>
        <v>15000</v>
      </c>
      <c r="D25" s="18">
        <f>Data!AO17</f>
        <v>14530.179864117366</v>
      </c>
      <c r="E25" s="19">
        <f>Data!AM17</f>
        <v>10.75</v>
      </c>
      <c r="F25" s="20">
        <f>Data!AN17</f>
        <v>156188.33333333334</v>
      </c>
      <c r="G25" s="28">
        <f t="shared" si="0"/>
        <v>1190.5092145277179</v>
      </c>
      <c r="H25" s="5"/>
      <c r="I25" s="121"/>
      <c r="J25" s="121"/>
      <c r="K25" s="122"/>
      <c r="L25" s="52"/>
      <c r="M25" s="123"/>
      <c r="N25" s="5"/>
    </row>
    <row r="26" spans="2:14" ht="12.75">
      <c r="B26" s="54">
        <f t="shared" si="1"/>
        <v>15000</v>
      </c>
      <c r="C26" s="55">
        <f t="shared" si="2"/>
        <v>16000</v>
      </c>
      <c r="D26" s="18">
        <f>Data!AO18</f>
        <v>15531.518793706293</v>
      </c>
      <c r="E26" s="19">
        <f>Data!AM18</f>
        <v>7.75</v>
      </c>
      <c r="F26" s="20">
        <f>Data!AN18</f>
        <v>120100.83333333333</v>
      </c>
      <c r="G26" s="28">
        <f t="shared" si="0"/>
        <v>903.2842697770978</v>
      </c>
      <c r="H26" s="5"/>
      <c r="I26" s="121"/>
      <c r="J26" s="121"/>
      <c r="K26" s="122"/>
      <c r="L26" s="52"/>
      <c r="M26" s="123"/>
      <c r="N26" s="5"/>
    </row>
    <row r="27" spans="2:14" ht="12.75">
      <c r="B27" s="54">
        <f t="shared" si="1"/>
        <v>16000</v>
      </c>
      <c r="C27" s="55">
        <f t="shared" si="2"/>
        <v>17000</v>
      </c>
      <c r="D27" s="18">
        <f>Data!AO19</f>
        <v>16478.10199175824</v>
      </c>
      <c r="E27" s="19">
        <f>Data!AM19</f>
        <v>6.416666666666667</v>
      </c>
      <c r="F27" s="20">
        <f>Data!AN19</f>
        <v>105861.66666666667</v>
      </c>
      <c r="G27" s="28">
        <f t="shared" si="0"/>
        <v>783.1091957932692</v>
      </c>
      <c r="H27" s="5"/>
      <c r="I27" s="121"/>
      <c r="J27" s="121"/>
      <c r="K27" s="122"/>
      <c r="L27" s="52"/>
      <c r="M27" s="123"/>
      <c r="N27" s="5"/>
    </row>
    <row r="28" spans="2:14" ht="12.75">
      <c r="B28" s="54">
        <f t="shared" si="1"/>
        <v>17000</v>
      </c>
      <c r="C28" s="55">
        <f t="shared" si="2"/>
        <v>18000</v>
      </c>
      <c r="D28" s="18">
        <f>Data!AO20</f>
        <v>17448.295965608468</v>
      </c>
      <c r="E28" s="19">
        <f>Data!AM20</f>
        <v>5.166666666666667</v>
      </c>
      <c r="F28" s="20">
        <f>Data!AN20</f>
        <v>90330</v>
      </c>
      <c r="G28" s="28">
        <f t="shared" si="0"/>
        <v>659.6289357694004</v>
      </c>
      <c r="H28" s="5"/>
      <c r="I28" s="121"/>
      <c r="J28" s="121"/>
      <c r="K28" s="122"/>
      <c r="L28" s="52"/>
      <c r="M28" s="123"/>
      <c r="N28" s="5"/>
    </row>
    <row r="29" spans="2:14" ht="12.75">
      <c r="B29" s="54">
        <f t="shared" si="1"/>
        <v>18000</v>
      </c>
      <c r="C29" s="55">
        <f t="shared" si="2"/>
        <v>19000</v>
      </c>
      <c r="D29" s="18">
        <f>Data!AO21</f>
        <v>18457.916666666664</v>
      </c>
      <c r="E29" s="19">
        <f>Data!AM21</f>
        <v>4.25</v>
      </c>
      <c r="F29" s="20">
        <f>Data!AN21</f>
        <v>78431.66666666667</v>
      </c>
      <c r="G29" s="28">
        <f t="shared" si="0"/>
        <v>567.4851458333333</v>
      </c>
      <c r="H29" s="5"/>
      <c r="I29" s="121"/>
      <c r="J29" s="121"/>
      <c r="K29" s="122"/>
      <c r="L29" s="52"/>
      <c r="M29" s="123"/>
      <c r="N29" s="5"/>
    </row>
    <row r="30" spans="2:14" ht="12.75">
      <c r="B30" s="54">
        <f t="shared" si="1"/>
        <v>19000</v>
      </c>
      <c r="C30" s="55">
        <f t="shared" si="2"/>
        <v>20000</v>
      </c>
      <c r="D30" s="18">
        <f>Data!AO22</f>
        <v>19518.031680440774</v>
      </c>
      <c r="E30" s="19">
        <f>Data!AM22</f>
        <v>4.583333333333333</v>
      </c>
      <c r="F30" s="20">
        <f>Data!AN22</f>
        <v>89396.66666666667</v>
      </c>
      <c r="G30" s="28">
        <f t="shared" si="0"/>
        <v>640.1751755050506</v>
      </c>
      <c r="H30" s="5"/>
      <c r="I30" s="121"/>
      <c r="J30" s="121"/>
      <c r="K30" s="122"/>
      <c r="L30" s="52"/>
      <c r="M30" s="123"/>
      <c r="N30" s="5"/>
    </row>
    <row r="31" spans="2:14" ht="12.75">
      <c r="B31" s="54">
        <f t="shared" si="1"/>
        <v>20000</v>
      </c>
      <c r="C31" s="55">
        <f t="shared" si="2"/>
        <v>21000</v>
      </c>
      <c r="D31" s="18">
        <f>Data!AO23</f>
        <v>20454.686507936505</v>
      </c>
      <c r="E31" s="19">
        <f>Data!AM23</f>
        <v>3</v>
      </c>
      <c r="F31" s="20">
        <f>Data!AN23</f>
        <v>61430</v>
      </c>
      <c r="G31" s="28">
        <f t="shared" si="0"/>
        <v>435.32154523809515</v>
      </c>
      <c r="H31" s="5"/>
      <c r="I31" s="121"/>
      <c r="J31" s="121"/>
      <c r="K31" s="122"/>
      <c r="L31" s="52"/>
      <c r="M31" s="123"/>
      <c r="N31" s="5"/>
    </row>
    <row r="32" spans="2:14" ht="12.75">
      <c r="B32" s="54">
        <f t="shared" si="1"/>
        <v>21000</v>
      </c>
      <c r="C32" s="55">
        <f t="shared" si="2"/>
        <v>22000</v>
      </c>
      <c r="D32" s="18">
        <f>Data!AO24</f>
        <v>21557.65367965368</v>
      </c>
      <c r="E32" s="19">
        <f>Data!AM24</f>
        <v>3.0833333333333335</v>
      </c>
      <c r="F32" s="20">
        <f>Data!AN24</f>
        <v>66534.16666666667</v>
      </c>
      <c r="G32" s="28">
        <f t="shared" si="0"/>
        <v>467.13853997113995</v>
      </c>
      <c r="H32" s="5"/>
      <c r="I32" s="121"/>
      <c r="J32" s="121"/>
      <c r="K32" s="122"/>
      <c r="L32" s="52"/>
      <c r="M32" s="123"/>
      <c r="N32" s="5"/>
    </row>
    <row r="33" spans="2:14" ht="12.75">
      <c r="B33" s="54">
        <f t="shared" si="1"/>
        <v>22000</v>
      </c>
      <c r="C33" s="55">
        <f t="shared" si="2"/>
        <v>23000</v>
      </c>
      <c r="D33" s="18">
        <f>Data!AO25</f>
        <v>22558.636363636364</v>
      </c>
      <c r="E33" s="19">
        <f>Data!AM25</f>
        <v>2.25</v>
      </c>
      <c r="F33" s="20">
        <f>Data!AN25</f>
        <v>50785</v>
      </c>
      <c r="G33" s="28">
        <f t="shared" si="0"/>
        <v>353.9477045454545</v>
      </c>
      <c r="H33" s="5"/>
      <c r="I33" s="121"/>
      <c r="J33" s="121"/>
      <c r="K33" s="122"/>
      <c r="L33" s="52"/>
      <c r="M33" s="123"/>
      <c r="N33" s="5"/>
    </row>
    <row r="34" spans="2:14" ht="12.75">
      <c r="B34" s="54">
        <f t="shared" si="1"/>
        <v>23000</v>
      </c>
      <c r="C34" s="55">
        <f t="shared" si="2"/>
        <v>24000</v>
      </c>
      <c r="D34" s="18">
        <f>Data!AO26</f>
        <v>23508.958333333332</v>
      </c>
      <c r="E34" s="19">
        <f>Data!AM26</f>
        <v>1.9166666666666667</v>
      </c>
      <c r="F34" s="20">
        <f>Data!AN26</f>
        <v>44974.166666666664</v>
      </c>
      <c r="G34" s="28">
        <f t="shared" si="0"/>
        <v>312.0754201388889</v>
      </c>
      <c r="H34" s="5"/>
      <c r="I34" s="121"/>
      <c r="J34" s="121"/>
      <c r="K34" s="122"/>
      <c r="L34" s="52"/>
      <c r="M34" s="123"/>
      <c r="N34" s="5"/>
    </row>
    <row r="35" spans="2:14" ht="12.75">
      <c r="B35" s="54">
        <f t="shared" si="1"/>
        <v>24000</v>
      </c>
      <c r="C35" s="55">
        <f t="shared" si="2"/>
        <v>25000</v>
      </c>
      <c r="D35" s="18">
        <f>Data!AO27</f>
        <v>24456.851851851854</v>
      </c>
      <c r="E35" s="19">
        <f>Data!AM27</f>
        <v>1.5</v>
      </c>
      <c r="F35" s="20">
        <f>Data!AN27</f>
        <v>36673.333333333336</v>
      </c>
      <c r="G35" s="28">
        <f t="shared" si="0"/>
        <v>252.47961111111113</v>
      </c>
      <c r="H35" s="5"/>
      <c r="I35" s="121"/>
      <c r="J35" s="121"/>
      <c r="K35" s="122"/>
      <c r="L35" s="52"/>
      <c r="M35" s="123"/>
      <c r="N35" s="5"/>
    </row>
    <row r="36" spans="2:14" ht="13.5" thickBot="1">
      <c r="B36" s="54">
        <f t="shared" si="1"/>
        <v>25000</v>
      </c>
      <c r="C36" s="55" t="s">
        <v>13</v>
      </c>
      <c r="D36" s="56">
        <f>Data!AO28</f>
        <v>38082.83115803472</v>
      </c>
      <c r="E36" s="57">
        <f>Data!AM28</f>
        <v>17.416666666666668</v>
      </c>
      <c r="F36" s="58">
        <f>Data!AN28</f>
        <v>669211.6666666666</v>
      </c>
      <c r="G36" s="28">
        <f>($E$5+$E$6*4+$E$7*5+(((D36-10000)/1000)*$E$8))*E36</f>
        <v>4308.019827480807</v>
      </c>
      <c r="H36" s="5"/>
      <c r="I36" s="121"/>
      <c r="J36" s="121"/>
      <c r="K36" s="122"/>
      <c r="L36" s="52"/>
      <c r="M36" s="123"/>
      <c r="N36" s="5"/>
    </row>
    <row r="37" spans="2:14" ht="13.5" thickBot="1">
      <c r="B37" s="145" t="s">
        <v>8</v>
      </c>
      <c r="C37" s="146"/>
      <c r="D37" s="30"/>
      <c r="E37" s="31">
        <f>SUM(E11:E36)</f>
        <v>3651.416666666666</v>
      </c>
      <c r="F37" s="32">
        <f>SUM(F11:F36)</f>
        <v>13523196.25</v>
      </c>
      <c r="G37" s="33">
        <f>SUM(G11:G36)</f>
        <v>140570.98864873435</v>
      </c>
      <c r="H37" s="6"/>
      <c r="I37" s="147"/>
      <c r="J37" s="147"/>
      <c r="K37" s="125"/>
      <c r="L37" s="126"/>
      <c r="M37" s="127"/>
      <c r="N37" s="127"/>
    </row>
    <row r="38" spans="9:14" ht="13.5" thickBot="1">
      <c r="I38" s="6"/>
      <c r="J38" s="6"/>
      <c r="K38" s="6"/>
      <c r="L38" s="6"/>
      <c r="M38" s="6"/>
      <c r="N38" s="6"/>
    </row>
    <row r="39" spans="4:14" ht="13.5" thickBot="1">
      <c r="D39" s="148" t="s">
        <v>17</v>
      </c>
      <c r="E39" s="149"/>
      <c r="F39" s="149"/>
      <c r="G39" s="41">
        <f>G37*12</f>
        <v>1686851.8637848122</v>
      </c>
      <c r="I39" s="6"/>
      <c r="J39" s="150"/>
      <c r="K39" s="151"/>
      <c r="L39" s="151"/>
      <c r="M39" s="151"/>
      <c r="N39" s="128"/>
    </row>
    <row r="40" spans="9:14" ht="13.5" thickBot="1">
      <c r="I40" s="6"/>
      <c r="J40" s="6"/>
      <c r="K40" s="6"/>
      <c r="L40" s="6"/>
      <c r="M40" s="6"/>
      <c r="N40" s="6"/>
    </row>
    <row r="41" spans="2:7" ht="13.5" thickBot="1">
      <c r="B41" s="148" t="s">
        <v>14</v>
      </c>
      <c r="C41" s="149"/>
      <c r="D41" s="149"/>
      <c r="E41" s="149"/>
      <c r="F41" s="149"/>
      <c r="G41" s="42">
        <f>G43*1.06</f>
        <v>172020885392.64</v>
      </c>
    </row>
    <row r="42" ht="13.5" thickBot="1"/>
    <row r="43" spans="4:7" ht="13.5" thickBot="1">
      <c r="D43" s="148" t="s">
        <v>15</v>
      </c>
      <c r="E43" s="149"/>
      <c r="F43" s="149"/>
      <c r="G43" s="42">
        <f>(F37+M37+'.75" and 1.0"'!F20+'.75" and 1.0"'!M14+'1.5" and 2.0"'!F13+'1.5" and 2.0"'!M13)*1000*12</f>
        <v>162283854144</v>
      </c>
    </row>
    <row r="44" ht="13.5" thickBot="1"/>
    <row r="45" spans="4:7" ht="13.5" thickBot="1">
      <c r="D45" s="160" t="s">
        <v>16</v>
      </c>
      <c r="E45" s="149"/>
      <c r="F45" s="149"/>
      <c r="G45" s="161"/>
    </row>
    <row r="46" spans="4:7" ht="12.75">
      <c r="D46" s="162"/>
      <c r="E46" s="163"/>
      <c r="F46" s="163"/>
      <c r="G46" s="34"/>
    </row>
    <row r="47" spans="4:7" ht="12.75">
      <c r="D47" s="156" t="s">
        <v>9</v>
      </c>
      <c r="E47" s="157"/>
      <c r="F47" s="157"/>
      <c r="G47" s="36">
        <f>E37+'.75" and 1.0"'!E20+'.75" and 1.0"'!L14+'1.5" and 2.0"'!E13+'1.5" and 2.0"'!L13</f>
        <v>3693.416666666666</v>
      </c>
    </row>
    <row r="48" spans="4:10" ht="12.75">
      <c r="D48" s="156" t="s">
        <v>10</v>
      </c>
      <c r="E48" s="157"/>
      <c r="F48" s="157"/>
      <c r="G48" s="37">
        <f>G39+'.75" and 1.0"'!G22+'.75" and 1.0"'!N16+'1.5" and 2.0"'!G15+'1.5" and 2.0"'!N15</f>
        <v>1737114.7061848121</v>
      </c>
      <c r="J48" s="47"/>
    </row>
    <row r="49" spans="4:7" ht="12.75">
      <c r="D49" s="156" t="s">
        <v>11</v>
      </c>
      <c r="E49" s="157"/>
      <c r="F49" s="157"/>
      <c r="G49" s="37">
        <f>G48/12/G47</f>
        <v>39.19394206323892</v>
      </c>
    </row>
    <row r="50" spans="4:7" ht="12.75">
      <c r="D50" s="156" t="s">
        <v>19</v>
      </c>
      <c r="E50" s="157"/>
      <c r="F50" s="157"/>
      <c r="G50" s="45">
        <f>G43/12/G47</f>
        <v>3661556.691951897</v>
      </c>
    </row>
    <row r="51" spans="4:7" ht="13.5" thickBot="1">
      <c r="D51" s="158"/>
      <c r="E51" s="159"/>
      <c r="F51" s="159"/>
      <c r="G51" s="38"/>
    </row>
    <row r="56" spans="3:6" ht="12.75">
      <c r="C56" s="6"/>
      <c r="D56" s="6"/>
      <c r="E56" s="6"/>
      <c r="F56" s="6"/>
    </row>
    <row r="57" spans="3:6" ht="12.75">
      <c r="C57" s="6"/>
      <c r="D57" s="6"/>
      <c r="E57" s="6"/>
      <c r="F57" s="6"/>
    </row>
    <row r="58" spans="3:6" ht="12.75">
      <c r="C58" s="6"/>
      <c r="D58" s="52"/>
      <c r="E58" s="52"/>
      <c r="F58" s="53"/>
    </row>
    <row r="59" spans="3:6" ht="12.75">
      <c r="C59" s="6"/>
      <c r="D59" s="52"/>
      <c r="E59" s="52"/>
      <c r="F59" s="53"/>
    </row>
    <row r="60" spans="3:6" ht="12.75">
      <c r="C60" s="6"/>
      <c r="D60" s="52"/>
      <c r="E60" s="52"/>
      <c r="F60" s="53"/>
    </row>
    <row r="61" spans="3:6" ht="12.75">
      <c r="C61" s="6"/>
      <c r="D61" s="52"/>
      <c r="E61" s="52"/>
      <c r="F61" s="53"/>
    </row>
    <row r="62" spans="3:6" ht="12.75">
      <c r="C62" s="6"/>
      <c r="D62" s="52"/>
      <c r="E62" s="52"/>
      <c r="F62" s="53"/>
    </row>
    <row r="63" spans="3:6" ht="12.75">
      <c r="C63" s="6"/>
      <c r="D63" s="52"/>
      <c r="E63" s="52"/>
      <c r="F63" s="53"/>
    </row>
    <row r="64" spans="3:6" ht="12.75">
      <c r="C64" s="6"/>
      <c r="D64" s="52"/>
      <c r="E64" s="52"/>
      <c r="F64" s="53"/>
    </row>
    <row r="65" spans="3:6" ht="12.75">
      <c r="C65" s="6"/>
      <c r="D65" s="52"/>
      <c r="E65" s="52"/>
      <c r="F65" s="53"/>
    </row>
    <row r="66" spans="3:6" ht="12.75">
      <c r="C66" s="6"/>
      <c r="D66" s="52"/>
      <c r="E66" s="52"/>
      <c r="F66" s="53"/>
    </row>
    <row r="67" spans="3:6" ht="12.75">
      <c r="C67" s="6"/>
      <c r="D67" s="52"/>
      <c r="E67" s="52"/>
      <c r="F67" s="53"/>
    </row>
    <row r="68" spans="3:6" ht="12.75">
      <c r="C68" s="6"/>
      <c r="D68" s="52"/>
      <c r="E68" s="52"/>
      <c r="F68" s="53"/>
    </row>
    <row r="69" spans="3:6" ht="12.75">
      <c r="C69" s="6"/>
      <c r="D69" s="52"/>
      <c r="E69" s="52"/>
      <c r="F69" s="53"/>
    </row>
    <row r="70" spans="3:6" ht="12.75">
      <c r="C70" s="6"/>
      <c r="D70" s="52"/>
      <c r="E70" s="52"/>
      <c r="F70" s="53"/>
    </row>
    <row r="71" spans="3:6" ht="12.75">
      <c r="C71" s="6"/>
      <c r="D71" s="52"/>
      <c r="E71" s="52"/>
      <c r="F71" s="53"/>
    </row>
    <row r="72" spans="3:6" ht="12.75">
      <c r="C72" s="6"/>
      <c r="D72" s="52"/>
      <c r="E72" s="52"/>
      <c r="F72" s="53"/>
    </row>
    <row r="73" spans="3:6" ht="12.75">
      <c r="C73" s="6"/>
      <c r="D73" s="6"/>
      <c r="E73" s="6"/>
      <c r="F73" s="53"/>
    </row>
    <row r="74" spans="3:6" ht="12.75">
      <c r="C74" s="6"/>
      <c r="D74" s="6"/>
      <c r="E74" s="6"/>
      <c r="F74" s="6"/>
    </row>
    <row r="75" spans="3:6" ht="12.75">
      <c r="C75" s="6"/>
      <c r="D75" s="6"/>
      <c r="E75" s="6"/>
      <c r="F75" s="6"/>
    </row>
    <row r="76" spans="3:6" ht="12.75">
      <c r="C76" s="6"/>
      <c r="D76" s="6"/>
      <c r="E76" s="6"/>
      <c r="F76" s="6"/>
    </row>
    <row r="77" spans="3:6" ht="12.75">
      <c r="C77" s="6"/>
      <c r="D77" s="6"/>
      <c r="E77" s="6"/>
      <c r="F77" s="6"/>
    </row>
  </sheetData>
  <sheetProtection/>
  <mergeCells count="20">
    <mergeCell ref="F9:F10"/>
    <mergeCell ref="D49:F49"/>
    <mergeCell ref="D50:F50"/>
    <mergeCell ref="D51:F51"/>
    <mergeCell ref="B41:F41"/>
    <mergeCell ref="D43:F43"/>
    <mergeCell ref="D45:G45"/>
    <mergeCell ref="D46:F46"/>
    <mergeCell ref="D47:F47"/>
    <mergeCell ref="D48:F48"/>
    <mergeCell ref="G9:G10"/>
    <mergeCell ref="B37:C37"/>
    <mergeCell ref="I37:J37"/>
    <mergeCell ref="D39:F39"/>
    <mergeCell ref="J39:M39"/>
    <mergeCell ref="B1:G1"/>
    <mergeCell ref="I1:N1"/>
    <mergeCell ref="B9:C9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9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.8515625" style="2" customWidth="1"/>
    <col min="2" max="3" width="6.7109375" style="2" customWidth="1"/>
    <col min="4" max="4" width="9.7109375" style="2" customWidth="1"/>
    <col min="5" max="5" width="7.7109375" style="2" customWidth="1"/>
    <col min="6" max="6" width="12.28125" style="2" customWidth="1"/>
    <col min="7" max="7" width="13.7109375" style="2" customWidth="1"/>
    <col min="8" max="8" width="2.8515625" style="2" customWidth="1"/>
    <col min="9" max="10" width="6.7109375" style="2" customWidth="1"/>
    <col min="11" max="11" width="9.7109375" style="2" customWidth="1"/>
    <col min="12" max="12" width="7.7109375" style="2" customWidth="1"/>
    <col min="13" max="13" width="9.8515625" style="2" customWidth="1"/>
    <col min="14" max="14" width="13.7109375" style="2" customWidth="1"/>
    <col min="15" max="16" width="2.8515625" style="2" customWidth="1"/>
    <col min="17" max="17" width="11.7109375" style="2" customWidth="1"/>
    <col min="18" max="16384" width="9.140625" style="2" customWidth="1"/>
  </cols>
  <sheetData>
    <row r="1" spans="2:14" ht="21" customHeight="1">
      <c r="B1" s="39"/>
      <c r="C1" s="39"/>
      <c r="D1" s="39"/>
      <c r="E1" s="39"/>
      <c r="F1" s="39"/>
      <c r="G1" s="39"/>
      <c r="I1" s="1"/>
      <c r="J1" s="1"/>
      <c r="K1" s="1"/>
      <c r="L1" s="1"/>
      <c r="M1" s="1"/>
      <c r="N1" s="1"/>
    </row>
    <row r="2" spans="2:14" ht="21" customHeight="1">
      <c r="B2" s="40" t="s">
        <v>32</v>
      </c>
      <c r="C2" s="39"/>
      <c r="D2" s="39"/>
      <c r="E2" s="39"/>
      <c r="F2" s="39"/>
      <c r="G2" s="39"/>
      <c r="I2" s="1"/>
      <c r="J2" s="1"/>
      <c r="K2" s="1"/>
      <c r="L2" s="1"/>
      <c r="M2" s="1"/>
      <c r="N2" s="1"/>
    </row>
    <row r="3" spans="2:17" ht="18.75" customHeight="1" thickBot="1">
      <c r="B3" s="46" t="s">
        <v>90</v>
      </c>
      <c r="C3" s="1"/>
      <c r="D3" s="1"/>
      <c r="E3" s="1"/>
      <c r="F3" s="1"/>
      <c r="G3" s="1"/>
      <c r="I3" s="46" t="s">
        <v>91</v>
      </c>
      <c r="J3" s="1"/>
      <c r="K3" s="1"/>
      <c r="L3" s="1"/>
      <c r="M3" s="1"/>
      <c r="N3" s="1"/>
      <c r="P3" s="1"/>
      <c r="Q3" s="1"/>
    </row>
    <row r="4" spans="2:14" ht="13.5" thickBot="1">
      <c r="B4" s="9"/>
      <c r="C4" s="7"/>
      <c r="D4" s="10" t="s">
        <v>28</v>
      </c>
      <c r="E4" s="16">
        <v>33.03</v>
      </c>
      <c r="F4" s="11" t="s">
        <v>18</v>
      </c>
      <c r="G4" s="12"/>
      <c r="I4" s="9"/>
      <c r="J4" s="7"/>
      <c r="K4" s="10" t="s">
        <v>20</v>
      </c>
      <c r="L4" s="16">
        <v>48.9</v>
      </c>
      <c r="M4" s="11" t="s">
        <v>18</v>
      </c>
      <c r="N4" s="12"/>
    </row>
    <row r="5" spans="2:14" ht="13.5" thickBot="1">
      <c r="B5" s="13"/>
      <c r="C5" s="6"/>
      <c r="D5" s="14" t="s">
        <v>29</v>
      </c>
      <c r="E5" s="16">
        <f>Residential!E6</f>
        <v>7.95</v>
      </c>
      <c r="F5" s="15" t="s">
        <v>6</v>
      </c>
      <c r="G5" s="4"/>
      <c r="I5" s="13"/>
      <c r="J5" s="6"/>
      <c r="K5" s="14" t="s">
        <v>12</v>
      </c>
      <c r="L5" s="16">
        <f>Residential!E7</f>
        <v>7.1</v>
      </c>
      <c r="M5" s="15" t="s">
        <v>6</v>
      </c>
      <c r="N5" s="4"/>
    </row>
    <row r="6" spans="2:14" ht="13.5" thickBot="1">
      <c r="B6" s="13"/>
      <c r="C6" s="6"/>
      <c r="D6" s="14" t="s">
        <v>12</v>
      </c>
      <c r="E6" s="16">
        <f>Residential!E7</f>
        <v>7.1</v>
      </c>
      <c r="F6" s="15" t="s">
        <v>6</v>
      </c>
      <c r="G6" s="4"/>
      <c r="I6" s="13"/>
      <c r="J6" s="6"/>
      <c r="K6" s="14"/>
      <c r="L6" s="16"/>
      <c r="M6" s="15"/>
      <c r="N6" s="4"/>
    </row>
    <row r="7" spans="2:14" ht="13.5" thickBot="1">
      <c r="B7" s="13"/>
      <c r="C7" s="6"/>
      <c r="D7" s="14"/>
      <c r="E7" s="16"/>
      <c r="F7" s="15"/>
      <c r="G7" s="4"/>
      <c r="I7" s="13"/>
      <c r="J7" s="6"/>
      <c r="K7" s="14"/>
      <c r="L7" s="16"/>
      <c r="M7" s="15"/>
      <c r="N7" s="4"/>
    </row>
    <row r="8" spans="2:14" ht="13.5" thickBot="1">
      <c r="B8" s="13"/>
      <c r="C8" s="6"/>
      <c r="D8" s="14" t="s">
        <v>25</v>
      </c>
      <c r="E8" s="16">
        <f>Residential!E8</f>
        <v>5.8</v>
      </c>
      <c r="F8" s="15" t="s">
        <v>6</v>
      </c>
      <c r="G8" s="4"/>
      <c r="I8" s="13"/>
      <c r="J8" s="6"/>
      <c r="K8" s="14" t="s">
        <v>25</v>
      </c>
      <c r="L8" s="16">
        <f>Residential!E8</f>
        <v>5.8</v>
      </c>
      <c r="M8" s="15"/>
      <c r="N8" s="4"/>
    </row>
    <row r="9" spans="2:14" s="3" customFormat="1" ht="38.25" customHeight="1" thickBot="1">
      <c r="B9" s="154" t="s">
        <v>0</v>
      </c>
      <c r="C9" s="155"/>
      <c r="D9" s="143" t="s">
        <v>1</v>
      </c>
      <c r="E9" s="143" t="s">
        <v>2</v>
      </c>
      <c r="F9" s="143" t="s">
        <v>7</v>
      </c>
      <c r="G9" s="143" t="s">
        <v>3</v>
      </c>
      <c r="H9" s="8"/>
      <c r="I9" s="154" t="s">
        <v>0</v>
      </c>
      <c r="J9" s="164"/>
      <c r="K9" s="143" t="s">
        <v>1</v>
      </c>
      <c r="L9" s="143" t="s">
        <v>2</v>
      </c>
      <c r="M9" s="143" t="s">
        <v>7</v>
      </c>
      <c r="N9" s="143" t="s">
        <v>3</v>
      </c>
    </row>
    <row r="10" spans="2:14" ht="13.5" thickBot="1">
      <c r="B10" s="29" t="s">
        <v>4</v>
      </c>
      <c r="C10" s="29" t="s">
        <v>5</v>
      </c>
      <c r="D10" s="144"/>
      <c r="E10" s="144"/>
      <c r="F10" s="144"/>
      <c r="G10" s="144"/>
      <c r="H10" s="6"/>
      <c r="I10" s="29" t="s">
        <v>4</v>
      </c>
      <c r="J10" s="29" t="s">
        <v>5</v>
      </c>
      <c r="K10" s="144"/>
      <c r="L10" s="144"/>
      <c r="M10" s="144"/>
      <c r="N10" s="144"/>
    </row>
    <row r="11" spans="2:14" ht="12.75">
      <c r="B11" s="27">
        <v>0</v>
      </c>
      <c r="C11" s="17">
        <v>3000</v>
      </c>
      <c r="D11" s="18">
        <v>990</v>
      </c>
      <c r="E11" s="19">
        <v>2</v>
      </c>
      <c r="F11" s="20">
        <f aca="true" t="shared" si="0" ref="F11:F19">(D11*E11)/1000</f>
        <v>1.98</v>
      </c>
      <c r="G11" s="28">
        <f>E11*$E$4</f>
        <v>66.06</v>
      </c>
      <c r="H11" s="5"/>
      <c r="I11" s="21">
        <v>0</v>
      </c>
      <c r="J11" s="22">
        <v>5000</v>
      </c>
      <c r="K11" s="23">
        <v>2170</v>
      </c>
      <c r="L11" s="24">
        <v>21</v>
      </c>
      <c r="M11" s="20">
        <f>(K11*L11)/1000</f>
        <v>45.57</v>
      </c>
      <c r="N11" s="26">
        <f>($L$4*L11)</f>
        <v>1026.8999999999999</v>
      </c>
    </row>
    <row r="12" spans="2:14" ht="12.75">
      <c r="B12" s="27">
        <f aca="true" t="shared" si="1" ref="B12:B19">C11</f>
        <v>3000</v>
      </c>
      <c r="C12" s="17">
        <f aca="true" t="shared" si="2" ref="C12:C18">C11+1000</f>
        <v>4000</v>
      </c>
      <c r="D12" s="18">
        <v>0</v>
      </c>
      <c r="E12" s="19">
        <v>0</v>
      </c>
      <c r="F12" s="20">
        <f t="shared" si="0"/>
        <v>0</v>
      </c>
      <c r="G12" s="28">
        <f>($E$4+((D12-3000)/1000)*$E$5)*E12</f>
        <v>0</v>
      </c>
      <c r="H12" s="5"/>
      <c r="I12" s="27">
        <f>J11</f>
        <v>5000</v>
      </c>
      <c r="J12" s="17">
        <v>10000</v>
      </c>
      <c r="K12" s="18">
        <v>6946</v>
      </c>
      <c r="L12" s="48">
        <v>7</v>
      </c>
      <c r="M12" s="20">
        <f>(K12*L12)/1000</f>
        <v>48.622</v>
      </c>
      <c r="N12" s="28">
        <f>($L$4+(K12-5000)/1000*$L$5)*L12</f>
        <v>439.0162</v>
      </c>
    </row>
    <row r="13" spans="2:14" ht="13.5" thickBot="1">
      <c r="B13" s="27">
        <f t="shared" si="1"/>
        <v>4000</v>
      </c>
      <c r="C13" s="17">
        <f t="shared" si="2"/>
        <v>5000</v>
      </c>
      <c r="D13" s="18">
        <v>0</v>
      </c>
      <c r="E13" s="19">
        <v>0</v>
      </c>
      <c r="F13" s="20">
        <f t="shared" si="0"/>
        <v>0</v>
      </c>
      <c r="G13" s="28">
        <f>($E$4+((D13-3000)/1000)*$E$5)*E13</f>
        <v>0</v>
      </c>
      <c r="H13" s="5"/>
      <c r="I13" s="27">
        <f>J12</f>
        <v>10000</v>
      </c>
      <c r="J13" s="17" t="s">
        <v>13</v>
      </c>
      <c r="K13" s="18">
        <v>28464</v>
      </c>
      <c r="L13" s="48">
        <v>10</v>
      </c>
      <c r="M13" s="20">
        <f>(K13*L13)/1000</f>
        <v>284.64</v>
      </c>
      <c r="N13" s="28">
        <f>($L$4+(K13-5000)/1000*$L$5)*L13</f>
        <v>2154.944</v>
      </c>
    </row>
    <row r="14" spans="2:14" ht="13.5" thickBot="1">
      <c r="B14" s="27">
        <f t="shared" si="1"/>
        <v>5000</v>
      </c>
      <c r="C14" s="17">
        <f t="shared" si="2"/>
        <v>6000</v>
      </c>
      <c r="D14" s="18">
        <v>0</v>
      </c>
      <c r="E14" s="19">
        <v>0</v>
      </c>
      <c r="F14" s="20">
        <f t="shared" si="0"/>
        <v>0</v>
      </c>
      <c r="G14" s="28">
        <f>($E$4+$E$5*2+((D14-5000)/1000)*$E$6)*E14</f>
        <v>0</v>
      </c>
      <c r="H14" s="5"/>
      <c r="I14" s="145" t="s">
        <v>8</v>
      </c>
      <c r="J14" s="146"/>
      <c r="K14" s="30"/>
      <c r="L14" s="31">
        <f>SUM(L11:L13)</f>
        <v>38</v>
      </c>
      <c r="M14" s="32">
        <f>SUM(M11:M13)</f>
        <v>378.832</v>
      </c>
      <c r="N14" s="33">
        <f>SUM(N11:N13)</f>
        <v>3620.8602</v>
      </c>
    </row>
    <row r="15" spans="2:8" ht="13.5" thickBot="1">
      <c r="B15" s="27">
        <f t="shared" si="1"/>
        <v>6000</v>
      </c>
      <c r="C15" s="17">
        <f t="shared" si="2"/>
        <v>7000</v>
      </c>
      <c r="D15" s="18">
        <v>0</v>
      </c>
      <c r="E15" s="19">
        <v>0</v>
      </c>
      <c r="F15" s="20">
        <f t="shared" si="0"/>
        <v>0</v>
      </c>
      <c r="G15" s="28">
        <f>($E$4+$E$5*2+((D15-5000)/1000)*$E$6)*E15</f>
        <v>0</v>
      </c>
      <c r="H15" s="5"/>
    </row>
    <row r="16" spans="2:14" ht="13.5" thickBot="1">
      <c r="B16" s="27">
        <f t="shared" si="1"/>
        <v>7000</v>
      </c>
      <c r="C16" s="17">
        <f t="shared" si="2"/>
        <v>8000</v>
      </c>
      <c r="D16" s="18">
        <v>0</v>
      </c>
      <c r="E16" s="19">
        <v>0</v>
      </c>
      <c r="F16" s="20">
        <f t="shared" si="0"/>
        <v>0</v>
      </c>
      <c r="G16" s="28">
        <f>($E$4+$E$5*2+((D16-5000)/1000)*$E$6)*E16</f>
        <v>0</v>
      </c>
      <c r="H16" s="5"/>
      <c r="J16" s="148" t="s">
        <v>24</v>
      </c>
      <c r="K16" s="149"/>
      <c r="L16" s="149"/>
      <c r="M16" s="149"/>
      <c r="N16" s="35">
        <f>N14*12</f>
        <v>43450.322400000005</v>
      </c>
    </row>
    <row r="17" spans="2:8" ht="12.75">
      <c r="B17" s="27">
        <f t="shared" si="1"/>
        <v>8000</v>
      </c>
      <c r="C17" s="17">
        <f t="shared" si="2"/>
        <v>9000</v>
      </c>
      <c r="D17" s="18">
        <v>0</v>
      </c>
      <c r="E17" s="19">
        <v>0</v>
      </c>
      <c r="F17" s="20">
        <f t="shared" si="0"/>
        <v>0</v>
      </c>
      <c r="G17" s="28">
        <f>($E$4+$E$5*2+((D17-5000)/1000)*$E$6)*E17</f>
        <v>0</v>
      </c>
      <c r="H17" s="5"/>
    </row>
    <row r="18" spans="2:8" ht="12.75">
      <c r="B18" s="27">
        <f t="shared" si="1"/>
        <v>9000</v>
      </c>
      <c r="C18" s="17">
        <f t="shared" si="2"/>
        <v>10000</v>
      </c>
      <c r="D18" s="18">
        <v>0</v>
      </c>
      <c r="E18" s="19">
        <v>0</v>
      </c>
      <c r="F18" s="20">
        <f t="shared" si="0"/>
        <v>0</v>
      </c>
      <c r="G18" s="28">
        <f>($E$4+$E$5*2+((D18-5000)/1000)*$E$6)*E18</f>
        <v>0</v>
      </c>
      <c r="H18" s="5"/>
    </row>
    <row r="19" spans="2:8" ht="13.5" thickBot="1">
      <c r="B19" s="27">
        <f t="shared" si="1"/>
        <v>10000</v>
      </c>
      <c r="C19" s="17" t="s">
        <v>13</v>
      </c>
      <c r="D19" s="18">
        <v>0</v>
      </c>
      <c r="E19" s="19">
        <v>0</v>
      </c>
      <c r="F19" s="20">
        <f t="shared" si="0"/>
        <v>0</v>
      </c>
      <c r="G19" s="28">
        <f>($E$4+2*$E$5+5*$E$6+((D19-10000)/1000)*$E$8)*E19</f>
        <v>0</v>
      </c>
      <c r="H19" s="5"/>
    </row>
    <row r="20" spans="2:8" ht="13.5" thickBot="1">
      <c r="B20" s="145" t="s">
        <v>8</v>
      </c>
      <c r="C20" s="146"/>
      <c r="D20" s="30"/>
      <c r="E20" s="31">
        <f>SUM(E11:E19)</f>
        <v>2</v>
      </c>
      <c r="F20" s="32">
        <f>SUM(F11:F19)</f>
        <v>1.98</v>
      </c>
      <c r="G20" s="33">
        <f>SUM(G11:G19)</f>
        <v>66.06</v>
      </c>
      <c r="H20" s="5"/>
    </row>
    <row r="21" ht="13.5" thickBot="1">
      <c r="H21" s="5"/>
    </row>
    <row r="22" spans="3:8" ht="13.5" thickBot="1">
      <c r="C22" s="148" t="s">
        <v>24</v>
      </c>
      <c r="D22" s="149"/>
      <c r="E22" s="149"/>
      <c r="F22" s="149"/>
      <c r="G22" s="41">
        <f>G20*12</f>
        <v>792.72</v>
      </c>
      <c r="H22" s="6"/>
    </row>
    <row r="23" ht="13.5" thickBot="1"/>
    <row r="24" spans="2:7" ht="13.5" thickBot="1">
      <c r="B24" s="148" t="s">
        <v>14</v>
      </c>
      <c r="C24" s="149"/>
      <c r="D24" s="149"/>
      <c r="E24" s="149"/>
      <c r="F24" s="149"/>
      <c r="G24" s="42">
        <f>G26*1.06</f>
        <v>4843928.640000001</v>
      </c>
    </row>
    <row r="25" ht="13.5" thickBot="1"/>
    <row r="26" spans="4:7" ht="13.5" thickBot="1">
      <c r="D26" s="148" t="s">
        <v>15</v>
      </c>
      <c r="E26" s="149"/>
      <c r="F26" s="149"/>
      <c r="G26" s="42">
        <f>F20*12*1000+M14*12*1000</f>
        <v>4569744</v>
      </c>
    </row>
    <row r="27" ht="13.5" thickBot="1"/>
    <row r="28" spans="4:7" ht="13.5" thickBot="1">
      <c r="D28" s="160" t="s">
        <v>16</v>
      </c>
      <c r="E28" s="149"/>
      <c r="F28" s="149"/>
      <c r="G28" s="161"/>
    </row>
    <row r="29" spans="4:7" ht="12.75">
      <c r="D29" s="162"/>
      <c r="E29" s="163"/>
      <c r="F29" s="163"/>
      <c r="G29" s="34"/>
    </row>
    <row r="30" spans="4:7" ht="12.75">
      <c r="D30" s="156" t="s">
        <v>9</v>
      </c>
      <c r="E30" s="157"/>
      <c r="F30" s="157"/>
      <c r="G30" s="36">
        <f>E20+L14</f>
        <v>40</v>
      </c>
    </row>
    <row r="31" spans="4:7" ht="12.75">
      <c r="D31" s="156" t="s">
        <v>10</v>
      </c>
      <c r="E31" s="157"/>
      <c r="F31" s="157"/>
      <c r="G31" s="37">
        <f>G22+N16</f>
        <v>44243.042400000006</v>
      </c>
    </row>
    <row r="32" spans="4:7" ht="12.75">
      <c r="D32" s="156" t="s">
        <v>11</v>
      </c>
      <c r="E32" s="157"/>
      <c r="F32" s="157"/>
      <c r="G32" s="37">
        <f>G31/12/G30</f>
        <v>92.17300500000002</v>
      </c>
    </row>
    <row r="33" spans="4:7" ht="12.75">
      <c r="D33" s="156" t="s">
        <v>19</v>
      </c>
      <c r="E33" s="157"/>
      <c r="F33" s="157"/>
      <c r="G33" s="45">
        <f>G26/12/G30</f>
        <v>9520.3</v>
      </c>
    </row>
    <row r="34" spans="4:9" ht="13.5" thickBot="1">
      <c r="D34" s="158"/>
      <c r="E34" s="159"/>
      <c r="F34" s="159"/>
      <c r="G34" s="38"/>
      <c r="I34" s="6"/>
    </row>
    <row r="35" ht="12.75">
      <c r="I35" s="6"/>
    </row>
    <row r="36" ht="12.75">
      <c r="I36" s="6"/>
    </row>
    <row r="37" ht="12.75">
      <c r="I37" s="6"/>
    </row>
    <row r="38" spans="4:9" ht="12.75">
      <c r="D38" s="6"/>
      <c r="E38" s="6"/>
      <c r="F38" s="6"/>
      <c r="G38" s="6"/>
      <c r="H38" s="6"/>
      <c r="I38" s="6"/>
    </row>
    <row r="39" spans="4:9" ht="12.75">
      <c r="D39" s="6"/>
      <c r="E39" s="6"/>
      <c r="F39" s="6"/>
      <c r="G39" s="6"/>
      <c r="H39" s="6"/>
      <c r="I39" s="6"/>
    </row>
    <row r="40" spans="4:9" ht="12.75">
      <c r="D40" s="6"/>
      <c r="E40" s="6"/>
      <c r="F40" s="6"/>
      <c r="G40" s="6"/>
      <c r="H40" s="6"/>
      <c r="I40" s="6"/>
    </row>
    <row r="41" spans="4:9" ht="12.75">
      <c r="D41" s="52"/>
      <c r="E41" s="52"/>
      <c r="F41" s="53"/>
      <c r="G41" s="6"/>
      <c r="H41" s="6"/>
      <c r="I41" s="6"/>
    </row>
    <row r="42" spans="4:9" ht="12.75">
      <c r="D42" s="52"/>
      <c r="E42" s="52"/>
      <c r="F42" s="53"/>
      <c r="G42" s="6"/>
      <c r="H42" s="6"/>
      <c r="I42" s="6"/>
    </row>
    <row r="43" spans="4:9" ht="12.75">
      <c r="D43" s="52"/>
      <c r="E43" s="52"/>
      <c r="F43" s="53"/>
      <c r="G43" s="6"/>
      <c r="H43" s="6"/>
      <c r="I43" s="6"/>
    </row>
    <row r="44" spans="4:9" ht="12.75">
      <c r="D44" s="52"/>
      <c r="E44" s="52"/>
      <c r="F44" s="53"/>
      <c r="G44" s="6"/>
      <c r="H44" s="6"/>
      <c r="I44" s="6"/>
    </row>
    <row r="45" spans="4:9" ht="12.75">
      <c r="D45" s="52"/>
      <c r="E45" s="52"/>
      <c r="F45" s="53"/>
      <c r="G45" s="6"/>
      <c r="H45" s="6"/>
      <c r="I45" s="6"/>
    </row>
    <row r="46" spans="4:9" ht="12.75">
      <c r="D46" s="52"/>
      <c r="E46" s="52"/>
      <c r="F46" s="53"/>
      <c r="G46" s="6"/>
      <c r="H46" s="6"/>
      <c r="I46" s="6"/>
    </row>
    <row r="47" spans="4:9" ht="12.75">
      <c r="D47" s="52"/>
      <c r="E47" s="52"/>
      <c r="F47" s="53"/>
      <c r="G47" s="6"/>
      <c r="H47" s="6"/>
      <c r="I47" s="6"/>
    </row>
    <row r="48" spans="4:9" ht="12.75">
      <c r="D48" s="52"/>
      <c r="E48" s="52"/>
      <c r="F48" s="53"/>
      <c r="G48" s="6"/>
      <c r="H48" s="6"/>
      <c r="I48" s="6"/>
    </row>
    <row r="49" spans="4:9" ht="12.75">
      <c r="D49" s="52"/>
      <c r="E49" s="52"/>
      <c r="F49" s="53"/>
      <c r="G49" s="6"/>
      <c r="H49" s="6"/>
      <c r="I49" s="6"/>
    </row>
    <row r="50" spans="4:9" ht="12.75">
      <c r="D50" s="52"/>
      <c r="E50" s="52"/>
      <c r="F50" s="53"/>
      <c r="G50" s="6"/>
      <c r="H50" s="6"/>
      <c r="I50" s="6"/>
    </row>
    <row r="51" spans="4:9" ht="12.75">
      <c r="D51" s="52"/>
      <c r="E51" s="52"/>
      <c r="F51" s="53"/>
      <c r="G51" s="6"/>
      <c r="H51" s="6"/>
      <c r="I51" s="6"/>
    </row>
    <row r="52" spans="4:9" ht="12.75">
      <c r="D52" s="52"/>
      <c r="E52" s="52"/>
      <c r="F52" s="53"/>
      <c r="G52" s="6"/>
      <c r="H52" s="6"/>
      <c r="I52" s="6"/>
    </row>
    <row r="53" spans="4:9" ht="12.75">
      <c r="D53" s="52"/>
      <c r="E53" s="52"/>
      <c r="F53" s="53"/>
      <c r="G53" s="6"/>
      <c r="H53" s="6"/>
      <c r="I53" s="6"/>
    </row>
    <row r="54" spans="4:9" ht="12.75">
      <c r="D54" s="52"/>
      <c r="E54" s="52"/>
      <c r="F54" s="53"/>
      <c r="G54" s="6"/>
      <c r="H54" s="6"/>
      <c r="I54" s="6"/>
    </row>
    <row r="55" spans="4:9" ht="12.75">
      <c r="D55" s="52"/>
      <c r="E55" s="52"/>
      <c r="F55" s="53"/>
      <c r="G55" s="6"/>
      <c r="H55" s="6"/>
      <c r="I55" s="6"/>
    </row>
    <row r="56" spans="4:8" ht="12.75">
      <c r="D56" s="6"/>
      <c r="E56" s="6"/>
      <c r="F56" s="53"/>
      <c r="G56" s="6"/>
      <c r="H56" s="6"/>
    </row>
    <row r="57" spans="4:8" ht="12.75">
      <c r="D57" s="6"/>
      <c r="E57" s="6"/>
      <c r="F57" s="6"/>
      <c r="G57" s="6"/>
      <c r="H57" s="6"/>
    </row>
    <row r="58" spans="4:8" ht="12.75">
      <c r="D58" s="6"/>
      <c r="E58" s="6"/>
      <c r="F58" s="6"/>
      <c r="G58" s="6"/>
      <c r="H58" s="6"/>
    </row>
    <row r="59" spans="4:8" ht="12.75">
      <c r="D59" s="6"/>
      <c r="E59" s="6"/>
      <c r="F59" s="6"/>
      <c r="G59" s="6"/>
      <c r="H59" s="6"/>
    </row>
  </sheetData>
  <sheetProtection/>
  <mergeCells count="23">
    <mergeCell ref="D33:F33"/>
    <mergeCell ref="D34:F34"/>
    <mergeCell ref="D26:F26"/>
    <mergeCell ref="D28:G28"/>
    <mergeCell ref="D29:F29"/>
    <mergeCell ref="D30:F30"/>
    <mergeCell ref="D31:F31"/>
    <mergeCell ref="D32:F32"/>
    <mergeCell ref="C22:F22"/>
    <mergeCell ref="B24:F24"/>
    <mergeCell ref="B9:C9"/>
    <mergeCell ref="D9:D10"/>
    <mergeCell ref="E9:E10"/>
    <mergeCell ref="F9:F10"/>
    <mergeCell ref="K9:K10"/>
    <mergeCell ref="L9:L10"/>
    <mergeCell ref="M9:M10"/>
    <mergeCell ref="N9:N10"/>
    <mergeCell ref="I14:J14"/>
    <mergeCell ref="B20:C20"/>
    <mergeCell ref="J16:M16"/>
    <mergeCell ref="G9:G10"/>
    <mergeCell ref="I9:J9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zoomScalePageLayoutView="0" workbookViewId="0" topLeftCell="B1">
      <selection activeCell="G18" sqref="G18"/>
    </sheetView>
  </sheetViews>
  <sheetFormatPr defaultColWidth="9.140625" defaultRowHeight="12.75"/>
  <cols>
    <col min="1" max="1" width="2.8515625" style="2" customWidth="1"/>
    <col min="2" max="3" width="6.7109375" style="2" customWidth="1"/>
    <col min="4" max="4" width="9.7109375" style="2" customWidth="1"/>
    <col min="5" max="5" width="7.7109375" style="2" customWidth="1"/>
    <col min="6" max="6" width="12.28125" style="2" customWidth="1"/>
    <col min="7" max="7" width="13.7109375" style="2" customWidth="1"/>
    <col min="8" max="8" width="2.8515625" style="2" customWidth="1"/>
    <col min="9" max="10" width="6.7109375" style="2" customWidth="1"/>
    <col min="11" max="11" width="9.7109375" style="2" customWidth="1"/>
    <col min="12" max="12" width="7.7109375" style="2" customWidth="1"/>
    <col min="13" max="13" width="9.8515625" style="2" customWidth="1"/>
    <col min="14" max="14" width="13.7109375" style="2" customWidth="1"/>
    <col min="15" max="16" width="2.8515625" style="2" customWidth="1"/>
    <col min="17" max="17" width="11.7109375" style="2" customWidth="1"/>
    <col min="18" max="16384" width="9.140625" style="2" customWidth="1"/>
  </cols>
  <sheetData>
    <row r="1" spans="2:14" ht="21" customHeight="1">
      <c r="B1" s="39"/>
      <c r="C1" s="39"/>
      <c r="D1" s="39"/>
      <c r="E1" s="39"/>
      <c r="F1" s="39"/>
      <c r="G1" s="39"/>
      <c r="I1" s="1"/>
      <c r="J1" s="1"/>
      <c r="K1" s="1"/>
      <c r="L1" s="1"/>
      <c r="M1" s="1"/>
      <c r="N1" s="1"/>
    </row>
    <row r="2" spans="2:14" ht="21" customHeight="1">
      <c r="B2" s="40" t="s">
        <v>32</v>
      </c>
      <c r="C2" s="39"/>
      <c r="D2" s="39"/>
      <c r="E2" s="39"/>
      <c r="F2" s="39"/>
      <c r="G2" s="39"/>
      <c r="I2" s="1"/>
      <c r="J2" s="1"/>
      <c r="K2" s="1"/>
      <c r="L2" s="1"/>
      <c r="M2" s="1"/>
      <c r="N2" s="1"/>
    </row>
    <row r="3" spans="2:17" ht="18.75" customHeight="1" thickBot="1">
      <c r="B3" s="46" t="s">
        <v>89</v>
      </c>
      <c r="C3" s="1"/>
      <c r="D3" s="1"/>
      <c r="E3" s="1"/>
      <c r="F3" s="1"/>
      <c r="G3" s="1"/>
      <c r="I3" s="46" t="s">
        <v>88</v>
      </c>
      <c r="J3" s="1"/>
      <c r="K3" s="1"/>
      <c r="L3" s="1"/>
      <c r="M3" s="1"/>
      <c r="N3" s="1"/>
      <c r="P3" s="1"/>
      <c r="Q3" s="1"/>
    </row>
    <row r="4" spans="2:14" ht="13.5" thickBot="1">
      <c r="B4" s="9"/>
      <c r="C4" s="7"/>
      <c r="D4" s="10" t="s">
        <v>21</v>
      </c>
      <c r="E4" s="16">
        <v>84.33</v>
      </c>
      <c r="F4" s="11" t="s">
        <v>18</v>
      </c>
      <c r="G4" s="12"/>
      <c r="I4" s="9"/>
      <c r="J4" s="7"/>
      <c r="K4" s="10" t="s">
        <v>30</v>
      </c>
      <c r="L4" s="16">
        <v>142.22</v>
      </c>
      <c r="M4" s="11" t="s">
        <v>18</v>
      </c>
      <c r="N4" s="12"/>
    </row>
    <row r="5" spans="2:14" ht="13.5" thickBot="1">
      <c r="B5" s="13"/>
      <c r="C5" s="6"/>
      <c r="D5" s="14" t="s">
        <v>25</v>
      </c>
      <c r="E5" s="16">
        <f>Residential!E8</f>
        <v>5.8</v>
      </c>
      <c r="F5" s="15" t="s">
        <v>6</v>
      </c>
      <c r="G5" s="4"/>
      <c r="I5" s="13"/>
      <c r="J5" s="6"/>
      <c r="K5" s="14" t="s">
        <v>31</v>
      </c>
      <c r="L5" s="16">
        <f>Residential!E8</f>
        <v>5.8</v>
      </c>
      <c r="M5" s="15" t="s">
        <v>6</v>
      </c>
      <c r="N5" s="4"/>
    </row>
    <row r="6" spans="2:14" ht="13.5" thickBot="1">
      <c r="B6" s="13"/>
      <c r="C6" s="6"/>
      <c r="D6" s="14"/>
      <c r="E6" s="16"/>
      <c r="F6" s="15"/>
      <c r="G6" s="4"/>
      <c r="I6" s="13"/>
      <c r="J6" s="6"/>
      <c r="K6" s="14"/>
      <c r="L6" s="16"/>
      <c r="M6" s="15"/>
      <c r="N6" s="4"/>
    </row>
    <row r="7" spans="2:14" ht="13.5" thickBot="1">
      <c r="B7" s="13"/>
      <c r="C7" s="6"/>
      <c r="D7" s="14"/>
      <c r="E7" s="16"/>
      <c r="G7" s="4"/>
      <c r="I7" s="13"/>
      <c r="J7" s="6"/>
      <c r="K7" s="14"/>
      <c r="L7" s="16"/>
      <c r="M7" s="15"/>
      <c r="N7" s="4"/>
    </row>
    <row r="8" spans="2:14" ht="13.5" thickBot="1">
      <c r="B8" s="13"/>
      <c r="C8" s="6"/>
      <c r="E8" s="16"/>
      <c r="F8" s="15"/>
      <c r="G8" s="4"/>
      <c r="I8" s="13"/>
      <c r="J8" s="6"/>
      <c r="K8" s="14"/>
      <c r="L8" s="16"/>
      <c r="M8" s="15"/>
      <c r="N8" s="4"/>
    </row>
    <row r="9" spans="2:14" s="3" customFormat="1" ht="38.25" customHeight="1" thickBot="1">
      <c r="B9" s="154" t="s">
        <v>0</v>
      </c>
      <c r="C9" s="155"/>
      <c r="D9" s="143" t="s">
        <v>1</v>
      </c>
      <c r="E9" s="143" t="s">
        <v>2</v>
      </c>
      <c r="F9" s="143" t="s">
        <v>7</v>
      </c>
      <c r="G9" s="143" t="s">
        <v>3</v>
      </c>
      <c r="H9" s="8"/>
      <c r="I9" s="154" t="s">
        <v>0</v>
      </c>
      <c r="J9" s="164"/>
      <c r="K9" s="143" t="s">
        <v>1</v>
      </c>
      <c r="L9" s="143" t="s">
        <v>2</v>
      </c>
      <c r="M9" s="143" t="s">
        <v>7</v>
      </c>
      <c r="N9" s="143" t="s">
        <v>3</v>
      </c>
    </row>
    <row r="10" spans="2:14" ht="13.5" thickBot="1">
      <c r="B10" s="29" t="s">
        <v>4</v>
      </c>
      <c r="C10" s="29" t="s">
        <v>5</v>
      </c>
      <c r="D10" s="144"/>
      <c r="E10" s="144"/>
      <c r="F10" s="144"/>
      <c r="G10" s="144"/>
      <c r="H10" s="6"/>
      <c r="I10" s="29" t="s">
        <v>4</v>
      </c>
      <c r="J10" s="29" t="s">
        <v>5</v>
      </c>
      <c r="K10" s="144"/>
      <c r="L10" s="144"/>
      <c r="M10" s="144"/>
      <c r="N10" s="144"/>
    </row>
    <row r="11" spans="2:14" ht="12.75">
      <c r="B11" s="21">
        <v>0</v>
      </c>
      <c r="C11" s="22">
        <v>10000</v>
      </c>
      <c r="D11" s="23">
        <v>10000</v>
      </c>
      <c r="E11" s="24">
        <v>0</v>
      </c>
      <c r="F11" s="25">
        <f>(D11*E11)/1000</f>
        <v>0</v>
      </c>
      <c r="G11" s="26">
        <f>E11*$E$4</f>
        <v>0</v>
      </c>
      <c r="H11" s="5"/>
      <c r="I11" s="21">
        <v>0</v>
      </c>
      <c r="J11" s="22">
        <v>20000</v>
      </c>
      <c r="K11" s="23">
        <f>D11*2</f>
        <v>20000</v>
      </c>
      <c r="L11" s="24">
        <v>0</v>
      </c>
      <c r="M11" s="25">
        <f>(K11*L11)/1000</f>
        <v>0</v>
      </c>
      <c r="N11" s="26">
        <f>L11*$L$4</f>
        <v>0</v>
      </c>
    </row>
    <row r="12" spans="2:14" ht="13.5" thickBot="1">
      <c r="B12" s="27">
        <f>C11</f>
        <v>10000</v>
      </c>
      <c r="C12" s="17" t="s">
        <v>13</v>
      </c>
      <c r="D12" s="18">
        <v>10500</v>
      </c>
      <c r="E12" s="19">
        <v>0</v>
      </c>
      <c r="F12" s="20">
        <f>(D12*E12)/1000</f>
        <v>0</v>
      </c>
      <c r="G12" s="28">
        <f>E12*($E$4+(D12-10000)/1000*E5)</f>
        <v>0</v>
      </c>
      <c r="H12" s="5"/>
      <c r="I12" s="27">
        <f>J11</f>
        <v>20000</v>
      </c>
      <c r="J12" s="17" t="s">
        <v>13</v>
      </c>
      <c r="K12" s="18">
        <v>38725</v>
      </c>
      <c r="L12" s="19">
        <v>2</v>
      </c>
      <c r="M12" s="20">
        <f>(K12*L12)/1000</f>
        <v>77.45</v>
      </c>
      <c r="N12" s="28">
        <f>L12*($L$4+(K12-20000)/1000*L5)</f>
        <v>501.65</v>
      </c>
    </row>
    <row r="13" spans="2:14" ht="13.5" thickBot="1">
      <c r="B13" s="145" t="s">
        <v>8</v>
      </c>
      <c r="C13" s="146"/>
      <c r="D13" s="30"/>
      <c r="E13" s="31">
        <f>SUM(E11:E12)</f>
        <v>0</v>
      </c>
      <c r="F13" s="32">
        <f>SUM(F11:F12)</f>
        <v>0</v>
      </c>
      <c r="G13" s="33">
        <f>SUM(G11:G12)</f>
        <v>0</v>
      </c>
      <c r="H13" s="6"/>
      <c r="I13" s="145" t="s">
        <v>8</v>
      </c>
      <c r="J13" s="146"/>
      <c r="K13" s="30"/>
      <c r="L13" s="31">
        <f>SUM(L11:L12)</f>
        <v>2</v>
      </c>
      <c r="M13" s="32">
        <f>SUM(M11:M12)</f>
        <v>77.45</v>
      </c>
      <c r="N13" s="33">
        <f>SUM(N11:N12)</f>
        <v>501.65</v>
      </c>
    </row>
    <row r="14" ht="13.5" thickBot="1"/>
    <row r="15" spans="3:14" ht="13.5" thickBot="1">
      <c r="C15" s="148" t="s">
        <v>22</v>
      </c>
      <c r="D15" s="149"/>
      <c r="E15" s="149"/>
      <c r="F15" s="149"/>
      <c r="G15" s="41">
        <f>G13*12</f>
        <v>0</v>
      </c>
      <c r="J15" s="148" t="s">
        <v>23</v>
      </c>
      <c r="K15" s="149"/>
      <c r="L15" s="149"/>
      <c r="M15" s="149"/>
      <c r="N15" s="35">
        <f>N13*12</f>
        <v>6019.799999999999</v>
      </c>
    </row>
    <row r="16" spans="3:7" ht="13.5" thickBot="1">
      <c r="C16" s="165"/>
      <c r="D16" s="165"/>
      <c r="E16" s="165"/>
      <c r="F16" s="165"/>
      <c r="G16" s="165"/>
    </row>
    <row r="17" spans="2:7" ht="13.5" thickBot="1">
      <c r="B17" s="148" t="s">
        <v>14</v>
      </c>
      <c r="C17" s="149"/>
      <c r="D17" s="149"/>
      <c r="E17" s="149"/>
      <c r="F17" s="149"/>
      <c r="G17" s="42">
        <f>G19*1.06</f>
        <v>985164.0000000001</v>
      </c>
    </row>
    <row r="18" ht="13.5" thickBot="1"/>
    <row r="19" spans="4:7" ht="13.5" thickBot="1">
      <c r="D19" s="148" t="s">
        <v>15</v>
      </c>
      <c r="E19" s="149"/>
      <c r="F19" s="149"/>
      <c r="G19" s="42">
        <f>F13*12*1000+M13*12*1000</f>
        <v>929400.0000000001</v>
      </c>
    </row>
    <row r="20" ht="13.5" thickBot="1"/>
    <row r="21" spans="4:7" ht="13.5" thickBot="1">
      <c r="D21" s="160" t="s">
        <v>16</v>
      </c>
      <c r="E21" s="149"/>
      <c r="F21" s="149"/>
      <c r="G21" s="161"/>
    </row>
    <row r="22" spans="4:7" ht="12.75">
      <c r="D22" s="162"/>
      <c r="E22" s="163"/>
      <c r="F22" s="163"/>
      <c r="G22" s="34"/>
    </row>
    <row r="23" spans="4:16" ht="12.75">
      <c r="D23" s="156" t="s">
        <v>9</v>
      </c>
      <c r="E23" s="157"/>
      <c r="F23" s="157"/>
      <c r="G23" s="36">
        <f>Residential!G47</f>
        <v>3693.416666666666</v>
      </c>
      <c r="P23" s="6"/>
    </row>
    <row r="24" spans="4:16" ht="12.75">
      <c r="D24" s="156" t="s">
        <v>10</v>
      </c>
      <c r="E24" s="157"/>
      <c r="F24" s="157"/>
      <c r="G24" s="37">
        <f>Residential!G48</f>
        <v>1737114.7061848121</v>
      </c>
      <c r="P24" s="6"/>
    </row>
    <row r="25" spans="4:16" ht="12.75">
      <c r="D25" s="156" t="s">
        <v>11</v>
      </c>
      <c r="E25" s="157"/>
      <c r="F25" s="157"/>
      <c r="G25" s="37">
        <f>Residential!G49</f>
        <v>39.19394206323892</v>
      </c>
      <c r="P25" s="6"/>
    </row>
    <row r="26" spans="4:16" ht="12.75">
      <c r="D26" s="156" t="s">
        <v>19</v>
      </c>
      <c r="E26" s="157"/>
      <c r="F26" s="157"/>
      <c r="G26" s="45">
        <f>Residential!G50</f>
        <v>3661556.691951897</v>
      </c>
      <c r="P26" s="6"/>
    </row>
    <row r="27" spans="4:7" ht="13.5" thickBot="1">
      <c r="D27" s="158"/>
      <c r="E27" s="159"/>
      <c r="F27" s="159"/>
      <c r="G27" s="38"/>
    </row>
    <row r="33" spans="4:9" ht="12.75">
      <c r="D33" s="6"/>
      <c r="E33" s="6"/>
      <c r="F33" s="6"/>
      <c r="G33" s="6"/>
      <c r="H33" s="6"/>
      <c r="I33" s="6"/>
    </row>
    <row r="34" spans="4:9" ht="12.75">
      <c r="D34" s="52"/>
      <c r="E34" s="52"/>
      <c r="F34" s="53"/>
      <c r="G34" s="6"/>
      <c r="H34" s="6"/>
      <c r="I34" s="6"/>
    </row>
    <row r="35" spans="4:9" ht="12.75">
      <c r="D35" s="52"/>
      <c r="E35" s="52"/>
      <c r="F35" s="53"/>
      <c r="G35" s="6"/>
      <c r="H35" s="6"/>
      <c r="I35" s="6"/>
    </row>
    <row r="36" spans="4:9" ht="12.75">
      <c r="D36" s="52"/>
      <c r="E36" s="52"/>
      <c r="F36" s="53"/>
      <c r="G36" s="6"/>
      <c r="H36" s="6"/>
      <c r="I36" s="6"/>
    </row>
    <row r="37" spans="4:9" ht="12.75">
      <c r="D37" s="52"/>
      <c r="E37" s="52"/>
      <c r="F37" s="53"/>
      <c r="G37" s="6"/>
      <c r="H37" s="6"/>
      <c r="I37" s="6"/>
    </row>
    <row r="38" spans="4:9" ht="12.75">
      <c r="D38" s="52"/>
      <c r="E38" s="52"/>
      <c r="F38" s="53"/>
      <c r="G38" s="6"/>
      <c r="H38" s="6"/>
      <c r="I38" s="6"/>
    </row>
    <row r="39" spans="4:9" ht="12.75">
      <c r="D39" s="52"/>
      <c r="E39" s="52"/>
      <c r="F39" s="53"/>
      <c r="G39" s="6"/>
      <c r="H39" s="6"/>
      <c r="I39" s="6"/>
    </row>
    <row r="40" spans="4:9" ht="12.75">
      <c r="D40" s="52"/>
      <c r="E40" s="52"/>
      <c r="F40" s="53"/>
      <c r="G40" s="6"/>
      <c r="H40" s="6"/>
      <c r="I40" s="6"/>
    </row>
    <row r="41" spans="4:9" ht="12.75">
      <c r="D41" s="52"/>
      <c r="E41" s="52"/>
      <c r="F41" s="53"/>
      <c r="G41" s="6"/>
      <c r="H41" s="6"/>
      <c r="I41" s="6"/>
    </row>
    <row r="42" spans="4:9" ht="12.75">
      <c r="D42" s="52"/>
      <c r="E42" s="52"/>
      <c r="F42" s="53"/>
      <c r="G42" s="6"/>
      <c r="H42" s="6"/>
      <c r="I42" s="6"/>
    </row>
    <row r="43" spans="4:9" ht="12.75">
      <c r="D43" s="52"/>
      <c r="E43" s="52"/>
      <c r="F43" s="53"/>
      <c r="G43" s="6"/>
      <c r="H43" s="6"/>
      <c r="I43" s="6"/>
    </row>
    <row r="44" spans="4:9" ht="12.75">
      <c r="D44" s="52"/>
      <c r="E44" s="52"/>
      <c r="F44" s="53"/>
      <c r="G44" s="6"/>
      <c r="H44" s="6"/>
      <c r="I44" s="6"/>
    </row>
    <row r="45" spans="4:9" ht="12.75">
      <c r="D45" s="52"/>
      <c r="E45" s="52"/>
      <c r="F45" s="53"/>
      <c r="G45" s="6"/>
      <c r="H45" s="6"/>
      <c r="I45" s="6"/>
    </row>
    <row r="46" spans="4:9" ht="12.75">
      <c r="D46" s="52"/>
      <c r="E46" s="52"/>
      <c r="F46" s="53"/>
      <c r="G46" s="6"/>
      <c r="H46" s="6"/>
      <c r="I46" s="6"/>
    </row>
    <row r="47" spans="4:9" ht="12.75">
      <c r="D47" s="52"/>
      <c r="E47" s="52"/>
      <c r="F47" s="53"/>
      <c r="G47" s="6"/>
      <c r="H47" s="6"/>
      <c r="I47" s="6"/>
    </row>
    <row r="48" spans="4:9" ht="12.75">
      <c r="D48" s="52"/>
      <c r="E48" s="52"/>
      <c r="F48" s="53"/>
      <c r="G48" s="6"/>
      <c r="H48" s="6"/>
      <c r="I48" s="6"/>
    </row>
    <row r="49" spans="4:9" ht="12.75">
      <c r="D49" s="6"/>
      <c r="E49" s="6"/>
      <c r="F49" s="53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</sheetData>
  <sheetProtection/>
  <mergeCells count="24">
    <mergeCell ref="D25:F25"/>
    <mergeCell ref="D26:F26"/>
    <mergeCell ref="D27:F27"/>
    <mergeCell ref="B17:F17"/>
    <mergeCell ref="D19:F19"/>
    <mergeCell ref="D21:G21"/>
    <mergeCell ref="D22:F22"/>
    <mergeCell ref="D23:F23"/>
    <mergeCell ref="D24:F24"/>
    <mergeCell ref="C16:G16"/>
    <mergeCell ref="B9:C9"/>
    <mergeCell ref="D9:D10"/>
    <mergeCell ref="E9:E10"/>
    <mergeCell ref="F9:F10"/>
    <mergeCell ref="G9:G10"/>
    <mergeCell ref="L9:L10"/>
    <mergeCell ref="M9:M10"/>
    <mergeCell ref="N9:N10"/>
    <mergeCell ref="B13:C13"/>
    <mergeCell ref="I13:J13"/>
    <mergeCell ref="C15:F15"/>
    <mergeCell ref="J15:M15"/>
    <mergeCell ref="I9:J9"/>
    <mergeCell ref="K9:K10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8515625" style="2" customWidth="1"/>
    <col min="2" max="3" width="6.7109375" style="2" customWidth="1"/>
    <col min="4" max="4" width="9.7109375" style="2" customWidth="1"/>
    <col min="5" max="5" width="7.7109375" style="2" customWidth="1"/>
    <col min="6" max="6" width="12.28125" style="2" customWidth="1"/>
    <col min="7" max="7" width="14.421875" style="2" bestFit="1" customWidth="1"/>
    <col min="8" max="8" width="2.8515625" style="2" customWidth="1"/>
    <col min="9" max="10" width="6.7109375" style="2" customWidth="1"/>
    <col min="11" max="11" width="9.7109375" style="2" customWidth="1"/>
    <col min="12" max="12" width="7.7109375" style="2" customWidth="1"/>
    <col min="13" max="13" width="9.8515625" style="2" customWidth="1"/>
    <col min="14" max="14" width="13.7109375" style="2" customWidth="1"/>
    <col min="15" max="16" width="2.8515625" style="2" customWidth="1"/>
    <col min="17" max="17" width="11.7109375" style="2" customWidth="1"/>
    <col min="18" max="18" width="10.7109375" style="2" bestFit="1" customWidth="1"/>
    <col min="19" max="19" width="10.7109375" style="2" customWidth="1"/>
    <col min="20" max="16384" width="9.140625" style="2" customWidth="1"/>
  </cols>
  <sheetData>
    <row r="1" spans="2:14" ht="21" customHeight="1">
      <c r="B1" s="152" t="s">
        <v>92</v>
      </c>
      <c r="C1" s="152"/>
      <c r="D1" s="152"/>
      <c r="E1" s="152"/>
      <c r="F1" s="152"/>
      <c r="G1" s="152"/>
      <c r="I1" s="153"/>
      <c r="J1" s="153"/>
      <c r="K1" s="153"/>
      <c r="L1" s="153"/>
      <c r="M1" s="153"/>
      <c r="N1" s="153"/>
    </row>
    <row r="2" spans="2:14" ht="21" customHeight="1">
      <c r="B2" s="39"/>
      <c r="C2" s="39"/>
      <c r="D2" s="39"/>
      <c r="E2" s="39"/>
      <c r="F2" s="39"/>
      <c r="G2" s="39"/>
      <c r="I2" s="1"/>
      <c r="J2" s="1"/>
      <c r="K2" s="1"/>
      <c r="L2" s="1"/>
      <c r="M2" s="1"/>
      <c r="N2" s="1"/>
    </row>
    <row r="3" spans="2:14" ht="21" customHeight="1">
      <c r="B3" s="40" t="s">
        <v>93</v>
      </c>
      <c r="C3" s="39"/>
      <c r="D3" s="39"/>
      <c r="E3" s="39"/>
      <c r="F3" s="39"/>
      <c r="G3" s="39"/>
      <c r="I3" s="1"/>
      <c r="J3" s="1"/>
      <c r="K3" s="1"/>
      <c r="L3" s="1"/>
      <c r="M3" s="1"/>
      <c r="N3" s="1"/>
    </row>
    <row r="4" spans="2:17" ht="18.75" customHeight="1" thickBot="1">
      <c r="B4" s="46" t="s">
        <v>86</v>
      </c>
      <c r="C4" s="1"/>
      <c r="D4" s="1"/>
      <c r="E4" s="1"/>
      <c r="F4" s="1"/>
      <c r="G4" s="1"/>
      <c r="I4" s="117"/>
      <c r="J4" s="118"/>
      <c r="K4" s="118"/>
      <c r="L4" s="118"/>
      <c r="M4" s="118"/>
      <c r="N4" s="118"/>
      <c r="P4" s="1"/>
      <c r="Q4" s="1"/>
    </row>
    <row r="5" spans="2:21" ht="13.5" thickBot="1">
      <c r="B5" s="9"/>
      <c r="C5" s="7"/>
      <c r="D5" s="10" t="s">
        <v>26</v>
      </c>
      <c r="E5" s="16">
        <f>Residential!E5*Data!AQ2</f>
        <v>19.230400000000003</v>
      </c>
      <c r="F5" s="11" t="s">
        <v>18</v>
      </c>
      <c r="G5" s="12"/>
      <c r="I5" s="6"/>
      <c r="J5" s="6"/>
      <c r="K5" s="14"/>
      <c r="L5"/>
      <c r="M5" s="15"/>
      <c r="N5" s="119"/>
      <c r="U5" s="50"/>
    </row>
    <row r="6" spans="2:21" ht="13.5" thickBot="1">
      <c r="B6" s="13"/>
      <c r="C6" s="6"/>
      <c r="D6" s="14" t="s">
        <v>27</v>
      </c>
      <c r="E6" s="16">
        <f>Residential!E6*Data!AQ2</f>
        <v>8.904000000000002</v>
      </c>
      <c r="F6" s="15" t="s">
        <v>6</v>
      </c>
      <c r="G6" s="4"/>
      <c r="I6" s="6"/>
      <c r="J6" s="6"/>
      <c r="K6" s="14"/>
      <c r="L6"/>
      <c r="M6" s="15"/>
      <c r="N6" s="120"/>
      <c r="U6" s="50"/>
    </row>
    <row r="7" spans="2:21" ht="13.5" thickBot="1">
      <c r="B7" s="13"/>
      <c r="C7" s="6"/>
      <c r="D7" s="14" t="s">
        <v>12</v>
      </c>
      <c r="E7" s="16">
        <f>Residential!E7*Data!AQ2</f>
        <v>7.952</v>
      </c>
      <c r="F7" s="15" t="s">
        <v>6</v>
      </c>
      <c r="G7" s="4"/>
      <c r="I7" s="6"/>
      <c r="J7" s="6"/>
      <c r="K7" s="14"/>
      <c r="L7"/>
      <c r="M7" s="15"/>
      <c r="N7" s="120"/>
      <c r="U7" s="50"/>
    </row>
    <row r="8" spans="2:21" ht="13.5" thickBot="1">
      <c r="B8" s="13"/>
      <c r="C8" s="6"/>
      <c r="D8" s="14" t="s">
        <v>25</v>
      </c>
      <c r="E8" s="16">
        <f>Residential!E8*Data!AQ2</f>
        <v>6.496</v>
      </c>
      <c r="F8" s="15" t="s">
        <v>6</v>
      </c>
      <c r="G8" s="4"/>
      <c r="I8" s="6"/>
      <c r="J8" s="6"/>
      <c r="K8" s="14"/>
      <c r="L8"/>
      <c r="M8" s="15"/>
      <c r="N8" s="120"/>
      <c r="O8" s="49"/>
      <c r="P8" s="49"/>
      <c r="Q8" s="49"/>
      <c r="R8" s="49"/>
      <c r="S8" s="49"/>
      <c r="T8" s="49"/>
      <c r="U8" s="50"/>
    </row>
    <row r="9" spans="2:21" s="3" customFormat="1" ht="38.25" customHeight="1" thickBot="1">
      <c r="B9" s="154" t="s">
        <v>0</v>
      </c>
      <c r="C9" s="155"/>
      <c r="D9" s="143" t="s">
        <v>1</v>
      </c>
      <c r="E9" s="143" t="s">
        <v>2</v>
      </c>
      <c r="F9" s="143" t="s">
        <v>7</v>
      </c>
      <c r="G9" s="143" t="s">
        <v>3</v>
      </c>
      <c r="H9" s="8"/>
      <c r="I9" s="129"/>
      <c r="J9" s="129"/>
      <c r="K9" s="129"/>
      <c r="L9" s="129"/>
      <c r="M9" s="129"/>
      <c r="N9" s="129"/>
      <c r="U9" s="51"/>
    </row>
    <row r="10" spans="2:14" ht="13.5" thickBot="1">
      <c r="B10" s="29" t="s">
        <v>4</v>
      </c>
      <c r="C10" s="29" t="s">
        <v>5</v>
      </c>
      <c r="D10" s="144"/>
      <c r="E10" s="144"/>
      <c r="F10" s="144"/>
      <c r="G10" s="144"/>
      <c r="H10" s="6"/>
      <c r="I10" s="118"/>
      <c r="J10" s="118"/>
      <c r="K10" s="129"/>
      <c r="L10" s="129"/>
      <c r="M10" s="129"/>
      <c r="N10" s="129"/>
    </row>
    <row r="11" spans="2:14" ht="12.75">
      <c r="B11" s="21">
        <v>0</v>
      </c>
      <c r="C11" s="22">
        <v>1000</v>
      </c>
      <c r="D11" s="23">
        <f>Data!AO3</f>
        <v>353.7085485141112</v>
      </c>
      <c r="E11" s="24">
        <f>Data!AM3</f>
        <v>621</v>
      </c>
      <c r="F11" s="25">
        <f>Data!AN3</f>
        <v>219669.41666666666</v>
      </c>
      <c r="G11" s="26">
        <f>E11*$E$5</f>
        <v>11942.078400000002</v>
      </c>
      <c r="H11" s="5"/>
      <c r="I11" s="121"/>
      <c r="J11" s="121"/>
      <c r="K11" s="122"/>
      <c r="L11" s="52"/>
      <c r="M11" s="123"/>
      <c r="N11" s="5"/>
    </row>
    <row r="12" spans="2:14" ht="12.75">
      <c r="B12" s="27">
        <v>1000</v>
      </c>
      <c r="C12" s="17">
        <v>2000</v>
      </c>
      <c r="D12" s="18">
        <f>Data!AO4</f>
        <v>1532.087229971837</v>
      </c>
      <c r="E12" s="19">
        <f>Data!AM4</f>
        <v>584.9166666666666</v>
      </c>
      <c r="F12" s="20">
        <f>Data!AN4</f>
        <v>896168.8333333334</v>
      </c>
      <c r="G12" s="28">
        <f>(E12*$E$5)+(((D12-1000)*E12/1000)*$E$6)</f>
        <v>14019.343904908532</v>
      </c>
      <c r="H12" s="5"/>
      <c r="I12" s="121"/>
      <c r="J12" s="121"/>
      <c r="K12" s="122"/>
      <c r="L12" s="52"/>
      <c r="M12" s="123"/>
      <c r="N12" s="5"/>
    </row>
    <row r="13" spans="2:14" ht="12.75">
      <c r="B13" s="43">
        <v>2000</v>
      </c>
      <c r="C13" s="44">
        <v>3000</v>
      </c>
      <c r="D13" s="18">
        <f>Data!AO5</f>
        <v>2500.713623612987</v>
      </c>
      <c r="E13" s="19">
        <f>Data!AM5</f>
        <v>645.3333333333334</v>
      </c>
      <c r="F13" s="20">
        <f>Data!AN5</f>
        <v>1613741.6666666667</v>
      </c>
      <c r="G13" s="28">
        <f>(E13*$E$5)+(((D13-1000)*E13/1000)*$E$6)</f>
        <v>21033.190648867494</v>
      </c>
      <c r="H13" s="5"/>
      <c r="I13" s="124"/>
      <c r="J13" s="124"/>
      <c r="K13" s="122"/>
      <c r="L13" s="52"/>
      <c r="M13" s="123"/>
      <c r="N13" s="5"/>
    </row>
    <row r="14" spans="2:14" ht="12.75">
      <c r="B14" s="27">
        <v>3000</v>
      </c>
      <c r="C14" s="17">
        <v>4000</v>
      </c>
      <c r="D14" s="18">
        <f>Data!AO6</f>
        <v>3484.6863451835743</v>
      </c>
      <c r="E14" s="19">
        <f>Data!AM6</f>
        <v>567.1666666666666</v>
      </c>
      <c r="F14" s="20">
        <f>Data!AN6</f>
        <v>1976305.5</v>
      </c>
      <c r="G14" s="28">
        <f>(E14*$E$5)+(((D14-1000)*E14/1000)*$E$6)</f>
        <v>23454.637113533667</v>
      </c>
      <c r="H14" s="5"/>
      <c r="I14" s="121"/>
      <c r="J14" s="121"/>
      <c r="K14" s="122"/>
      <c r="L14" s="52"/>
      <c r="M14" s="123"/>
      <c r="N14" s="5"/>
    </row>
    <row r="15" spans="2:14" ht="12.75">
      <c r="B15" s="27">
        <v>4000</v>
      </c>
      <c r="C15" s="17">
        <v>5000</v>
      </c>
      <c r="D15" s="18">
        <f>Data!AO7</f>
        <v>4466.207561701809</v>
      </c>
      <c r="E15" s="19">
        <f>Data!AM7</f>
        <v>409.25</v>
      </c>
      <c r="F15" s="20">
        <f>Data!AN7</f>
        <v>1827831.6666666667</v>
      </c>
      <c r="G15" s="28">
        <f>(E15*$E$5)+(((D15-1000)*E15/1000)*$E$6)</f>
        <v>20500.769838954053</v>
      </c>
      <c r="H15" s="5"/>
      <c r="I15" s="121"/>
      <c r="J15" s="121"/>
      <c r="K15" s="122"/>
      <c r="L15" s="52"/>
      <c r="M15" s="123"/>
      <c r="N15" s="5"/>
    </row>
    <row r="16" spans="2:14" ht="12.75">
      <c r="B16" s="27">
        <v>5000</v>
      </c>
      <c r="C16" s="17">
        <v>6000</v>
      </c>
      <c r="D16" s="18">
        <f>Data!AO8</f>
        <v>5471.047338969478</v>
      </c>
      <c r="E16" s="19">
        <f>Data!AM8</f>
        <v>272.5</v>
      </c>
      <c r="F16" s="20">
        <f>Data!AN8</f>
        <v>1491077.5</v>
      </c>
      <c r="G16" s="28">
        <f>($E$5+$E$6*4+((D16-5000)/1000)*$E$7)*E16</f>
        <v>15966.365899759743</v>
      </c>
      <c r="H16" s="5"/>
      <c r="I16" s="121"/>
      <c r="J16" s="121"/>
      <c r="K16" s="122"/>
      <c r="L16" s="52"/>
      <c r="M16" s="123"/>
      <c r="N16" s="5"/>
    </row>
    <row r="17" spans="2:14" ht="12.75">
      <c r="B17" s="27">
        <v>6000</v>
      </c>
      <c r="C17" s="17">
        <v>7000</v>
      </c>
      <c r="D17" s="18">
        <f>Data!AO9</f>
        <v>6471.488420661248</v>
      </c>
      <c r="E17" s="19">
        <f>Data!AM9</f>
        <v>170</v>
      </c>
      <c r="F17" s="20">
        <f>Data!AN9</f>
        <v>1100531.6666666667</v>
      </c>
      <c r="G17" s="28">
        <f>($E$5+$E$6*4+((D17-5000)/1000)*$E$7)*E17</f>
        <v>11313.104906586703</v>
      </c>
      <c r="H17" s="5"/>
      <c r="I17" s="121"/>
      <c r="J17" s="121"/>
      <c r="K17" s="122"/>
      <c r="L17" s="52"/>
      <c r="M17" s="123"/>
      <c r="N17" s="5"/>
    </row>
    <row r="18" spans="2:14" ht="12.75">
      <c r="B18" s="27">
        <v>7000</v>
      </c>
      <c r="C18" s="17">
        <v>8000</v>
      </c>
      <c r="D18" s="18">
        <f>Data!AO10</f>
        <v>7475.934212237479</v>
      </c>
      <c r="E18" s="19">
        <f>Data!AM10</f>
        <v>112.91666666666667</v>
      </c>
      <c r="F18" s="20">
        <f>Data!AN10</f>
        <v>844620.8333333334</v>
      </c>
      <c r="G18" s="28">
        <f>($E$5+$E$6*4+((D18-5000)/1000)*$E$7)*E18</f>
        <v>8416.247008290864</v>
      </c>
      <c r="H18" s="5"/>
      <c r="I18" s="121"/>
      <c r="J18" s="121"/>
      <c r="K18" s="122"/>
      <c r="L18" s="52"/>
      <c r="M18" s="123"/>
      <c r="N18" s="5"/>
    </row>
    <row r="19" spans="2:14" ht="12.75">
      <c r="B19" s="27">
        <v>8000</v>
      </c>
      <c r="C19" s="17">
        <v>9000</v>
      </c>
      <c r="D19" s="18">
        <f>Data!AO11</f>
        <v>8468.43911610649</v>
      </c>
      <c r="E19" s="19">
        <f>Data!AM11</f>
        <v>73.75</v>
      </c>
      <c r="F19" s="20">
        <f>Data!AN11</f>
        <v>625120.8333333334</v>
      </c>
      <c r="G19" s="28">
        <f>($E$5+$E$6*4+((D19-5000)/1000)*$E$7)*E19</f>
        <v>6079.022804031813</v>
      </c>
      <c r="H19" s="5"/>
      <c r="I19" s="121"/>
      <c r="J19" s="121"/>
      <c r="K19" s="122"/>
      <c r="L19" s="52"/>
      <c r="M19" s="123"/>
      <c r="N19" s="5"/>
    </row>
    <row r="20" spans="2:14" ht="12.75">
      <c r="B20" s="27">
        <v>9000</v>
      </c>
      <c r="C20" s="17">
        <v>10000</v>
      </c>
      <c r="D20" s="18">
        <f>Data!AO12</f>
        <v>9472.823856080775</v>
      </c>
      <c r="E20" s="19">
        <f>Data!AM12</f>
        <v>48.416666666666664</v>
      </c>
      <c r="F20" s="20">
        <f>Data!AN12</f>
        <v>458655.8333333333</v>
      </c>
      <c r="G20" s="28">
        <f>($E$5+$E$6*4+((D20-5000)/1000)*$E$7)*E20</f>
        <v>4377.558797613755</v>
      </c>
      <c r="H20" s="5"/>
      <c r="I20" s="121"/>
      <c r="J20" s="121"/>
      <c r="K20" s="122"/>
      <c r="L20" s="52"/>
      <c r="M20" s="123"/>
      <c r="N20" s="5"/>
    </row>
    <row r="21" spans="2:14" ht="12.75">
      <c r="B21" s="27">
        <v>10000</v>
      </c>
      <c r="C21" s="17">
        <v>11000</v>
      </c>
      <c r="D21" s="18">
        <f>Data!AO13</f>
        <v>10479.980302502821</v>
      </c>
      <c r="E21" s="19">
        <f>Data!AM13</f>
        <v>32.583333333333336</v>
      </c>
      <c r="F21" s="20">
        <f>Data!AN13</f>
        <v>341491.6666666667</v>
      </c>
      <c r="G21" s="28">
        <f>($E$5+$E$6*4+$E$7*5+(((D21-10000)/1000)*$E$8))*E21</f>
        <v>3184.185137468151</v>
      </c>
      <c r="H21" s="5"/>
      <c r="I21" s="121"/>
      <c r="J21" s="121"/>
      <c r="K21" s="122"/>
      <c r="L21" s="52"/>
      <c r="M21" s="123"/>
      <c r="N21" s="5"/>
    </row>
    <row r="22" spans="2:14" ht="12.75">
      <c r="B22" s="54">
        <f>C21</f>
        <v>11000</v>
      </c>
      <c r="C22" s="55">
        <f>C21+1000</f>
        <v>12000</v>
      </c>
      <c r="D22" s="18">
        <f>Data!AO14</f>
        <v>11486.613293353284</v>
      </c>
      <c r="E22" s="19">
        <f>Data!AM14</f>
        <v>21</v>
      </c>
      <c r="F22" s="20">
        <f>Data!AN14</f>
        <v>241179.16666666666</v>
      </c>
      <c r="G22" s="28">
        <f aca="true" t="shared" si="0" ref="G22:G35">($E$5+$E$6*4+$E$7*5+(((D22-10000)/1000)*$E$8))*E22</f>
        <v>2189.532239026082</v>
      </c>
      <c r="H22" s="5"/>
      <c r="I22" s="121"/>
      <c r="J22" s="121"/>
      <c r="K22" s="122"/>
      <c r="L22" s="52"/>
      <c r="M22" s="123"/>
      <c r="N22" s="5"/>
    </row>
    <row r="23" spans="2:14" ht="12.75">
      <c r="B23" s="54">
        <f aca="true" t="shared" si="1" ref="B23:B36">C22</f>
        <v>12000</v>
      </c>
      <c r="C23" s="55">
        <f aca="true" t="shared" si="2" ref="C23:C35">C22+1000</f>
        <v>13000</v>
      </c>
      <c r="D23" s="18">
        <f>Data!AO15</f>
        <v>12509.317426400761</v>
      </c>
      <c r="E23" s="19">
        <f>Data!AM15</f>
        <v>13.916666666666666</v>
      </c>
      <c r="F23" s="20">
        <f>Data!AN15</f>
        <v>174090.83333333334</v>
      </c>
      <c r="G23" s="28">
        <f t="shared" si="0"/>
        <v>1543.4547201930993</v>
      </c>
      <c r="H23" s="5"/>
      <c r="I23" s="121"/>
      <c r="J23" s="121"/>
      <c r="K23" s="122"/>
      <c r="L23" s="52"/>
      <c r="M23" s="123"/>
      <c r="N23" s="5"/>
    </row>
    <row r="24" spans="2:14" ht="12.75">
      <c r="B24" s="54">
        <f t="shared" si="1"/>
        <v>13000</v>
      </c>
      <c r="C24" s="55">
        <f t="shared" si="2"/>
        <v>14000</v>
      </c>
      <c r="D24" s="18">
        <f>Data!AO16</f>
        <v>13502.71417964092</v>
      </c>
      <c r="E24" s="19">
        <f>Data!AM16</f>
        <v>10.583333333333334</v>
      </c>
      <c r="F24" s="20">
        <f>Data!AN16</f>
        <v>142793.33333333334</v>
      </c>
      <c r="G24" s="28">
        <f t="shared" si="0"/>
        <v>1242.0603313741935</v>
      </c>
      <c r="H24" s="5"/>
      <c r="I24" s="121"/>
      <c r="J24" s="121"/>
      <c r="K24" s="122"/>
      <c r="L24" s="52"/>
      <c r="M24" s="123"/>
      <c r="N24" s="5"/>
    </row>
    <row r="25" spans="2:14" ht="12.75">
      <c r="B25" s="54">
        <f t="shared" si="1"/>
        <v>14000</v>
      </c>
      <c r="C25" s="55">
        <f t="shared" si="2"/>
        <v>15000</v>
      </c>
      <c r="D25" s="18">
        <f>Data!AO17</f>
        <v>14530.179864117366</v>
      </c>
      <c r="E25" s="19">
        <f>Data!AM17</f>
        <v>10.75</v>
      </c>
      <c r="F25" s="20">
        <f>Data!AN17</f>
        <v>156188.33333333334</v>
      </c>
      <c r="G25" s="28">
        <f t="shared" si="0"/>
        <v>1333.370320271044</v>
      </c>
      <c r="H25" s="5"/>
      <c r="I25" s="121"/>
      <c r="J25" s="121"/>
      <c r="K25" s="122"/>
      <c r="L25" s="52"/>
      <c r="M25" s="123"/>
      <c r="N25" s="5"/>
    </row>
    <row r="26" spans="2:14" ht="12.75">
      <c r="B26" s="54">
        <f t="shared" si="1"/>
        <v>15000</v>
      </c>
      <c r="C26" s="55">
        <f t="shared" si="2"/>
        <v>16000</v>
      </c>
      <c r="D26" s="18">
        <f>Data!AO18</f>
        <v>15531.518793706293</v>
      </c>
      <c r="E26" s="19">
        <f>Data!AM18</f>
        <v>7.75</v>
      </c>
      <c r="F26" s="20">
        <f>Data!AN18</f>
        <v>120100.83333333333</v>
      </c>
      <c r="G26" s="28">
        <f t="shared" si="0"/>
        <v>1011.6783821503496</v>
      </c>
      <c r="H26" s="5"/>
      <c r="I26" s="121"/>
      <c r="J26" s="121"/>
      <c r="K26" s="122"/>
      <c r="L26" s="52"/>
      <c r="M26" s="123"/>
      <c r="N26" s="5"/>
    </row>
    <row r="27" spans="2:14" ht="12.75">
      <c r="B27" s="54">
        <f t="shared" si="1"/>
        <v>16000</v>
      </c>
      <c r="C27" s="55">
        <f t="shared" si="2"/>
        <v>17000</v>
      </c>
      <c r="D27" s="18">
        <f>Data!AO19</f>
        <v>16478.10199175824</v>
      </c>
      <c r="E27" s="19">
        <f>Data!AM19</f>
        <v>6.416666666666667</v>
      </c>
      <c r="F27" s="20">
        <f>Data!AN19</f>
        <v>105861.66666666667</v>
      </c>
      <c r="G27" s="28">
        <f t="shared" si="0"/>
        <v>877.0822992884616</v>
      </c>
      <c r="H27" s="5"/>
      <c r="I27" s="121"/>
      <c r="J27" s="121"/>
      <c r="K27" s="122"/>
      <c r="L27" s="52"/>
      <c r="M27" s="123"/>
      <c r="N27" s="5"/>
    </row>
    <row r="28" spans="2:14" ht="12.75">
      <c r="B28" s="54">
        <f t="shared" si="1"/>
        <v>17000</v>
      </c>
      <c r="C28" s="55">
        <f t="shared" si="2"/>
        <v>18000</v>
      </c>
      <c r="D28" s="18">
        <f>Data!AO20</f>
        <v>17448.295965608468</v>
      </c>
      <c r="E28" s="19">
        <f>Data!AM20</f>
        <v>5.166666666666667</v>
      </c>
      <c r="F28" s="20">
        <f>Data!AN20</f>
        <v>90330</v>
      </c>
      <c r="G28" s="28">
        <f t="shared" si="0"/>
        <v>738.7844080617285</v>
      </c>
      <c r="H28" s="5"/>
      <c r="I28" s="121"/>
      <c r="J28" s="121"/>
      <c r="K28" s="122"/>
      <c r="L28" s="52"/>
      <c r="M28" s="123"/>
      <c r="N28" s="5"/>
    </row>
    <row r="29" spans="2:14" ht="12.75">
      <c r="B29" s="54">
        <f t="shared" si="1"/>
        <v>18000</v>
      </c>
      <c r="C29" s="55">
        <f t="shared" si="2"/>
        <v>19000</v>
      </c>
      <c r="D29" s="18">
        <f>Data!AO21</f>
        <v>18457.916666666664</v>
      </c>
      <c r="E29" s="19">
        <f>Data!AM21</f>
        <v>4.25</v>
      </c>
      <c r="F29" s="20">
        <f>Data!AN21</f>
        <v>78431.66666666667</v>
      </c>
      <c r="G29" s="28">
        <f t="shared" si="0"/>
        <v>635.5833633333333</v>
      </c>
      <c r="H29" s="5"/>
      <c r="I29" s="121"/>
      <c r="J29" s="121"/>
      <c r="K29" s="122"/>
      <c r="L29" s="52"/>
      <c r="M29" s="123"/>
      <c r="N29" s="5"/>
    </row>
    <row r="30" spans="2:14" ht="12.75">
      <c r="B30" s="54">
        <f t="shared" si="1"/>
        <v>19000</v>
      </c>
      <c r="C30" s="55">
        <f t="shared" si="2"/>
        <v>20000</v>
      </c>
      <c r="D30" s="18">
        <f>Data!AO22</f>
        <v>19518.031680440774</v>
      </c>
      <c r="E30" s="19">
        <f>Data!AM22</f>
        <v>4.583333333333333</v>
      </c>
      <c r="F30" s="20">
        <f>Data!AN22</f>
        <v>89396.66666666667</v>
      </c>
      <c r="G30" s="28">
        <f t="shared" si="0"/>
        <v>716.9961965656566</v>
      </c>
      <c r="H30" s="5"/>
      <c r="I30" s="121"/>
      <c r="J30" s="121"/>
      <c r="K30" s="122"/>
      <c r="L30" s="52"/>
      <c r="M30" s="123"/>
      <c r="N30" s="5"/>
    </row>
    <row r="31" spans="2:14" ht="12.75">
      <c r="B31" s="54">
        <f t="shared" si="1"/>
        <v>20000</v>
      </c>
      <c r="C31" s="55">
        <f t="shared" si="2"/>
        <v>21000</v>
      </c>
      <c r="D31" s="18">
        <f>Data!AO23</f>
        <v>20454.686507936505</v>
      </c>
      <c r="E31" s="19">
        <f>Data!AM23</f>
        <v>3</v>
      </c>
      <c r="F31" s="20">
        <f>Data!AN23</f>
        <v>61430</v>
      </c>
      <c r="G31" s="28">
        <f t="shared" si="0"/>
        <v>487.5601306666667</v>
      </c>
      <c r="H31" s="5"/>
      <c r="I31" s="121"/>
      <c r="J31" s="121"/>
      <c r="K31" s="122"/>
      <c r="L31" s="52"/>
      <c r="M31" s="123"/>
      <c r="N31" s="5"/>
    </row>
    <row r="32" spans="2:14" ht="12.75">
      <c r="B32" s="54">
        <f t="shared" si="1"/>
        <v>21000</v>
      </c>
      <c r="C32" s="55">
        <f t="shared" si="2"/>
        <v>22000</v>
      </c>
      <c r="D32" s="18">
        <f>Data!AO24</f>
        <v>21557.65367965368</v>
      </c>
      <c r="E32" s="19">
        <f>Data!AM24</f>
        <v>3.0833333333333335</v>
      </c>
      <c r="F32" s="20">
        <f>Data!AN24</f>
        <v>66534.16666666667</v>
      </c>
      <c r="G32" s="28">
        <f t="shared" si="0"/>
        <v>523.1951647676768</v>
      </c>
      <c r="H32" s="5"/>
      <c r="I32" s="121"/>
      <c r="J32" s="121"/>
      <c r="K32" s="122"/>
      <c r="L32" s="52"/>
      <c r="M32" s="123"/>
      <c r="N32" s="5"/>
    </row>
    <row r="33" spans="2:14" ht="12.75">
      <c r="B33" s="54">
        <f t="shared" si="1"/>
        <v>22000</v>
      </c>
      <c r="C33" s="55">
        <f t="shared" si="2"/>
        <v>23000</v>
      </c>
      <c r="D33" s="18">
        <f>Data!AO25</f>
        <v>22558.636363636364</v>
      </c>
      <c r="E33" s="19">
        <f>Data!AM25</f>
        <v>2.25</v>
      </c>
      <c r="F33" s="20">
        <f>Data!AN25</f>
        <v>50785</v>
      </c>
      <c r="G33" s="28">
        <f t="shared" si="0"/>
        <v>396.4214290909091</v>
      </c>
      <c r="H33" s="5"/>
      <c r="I33" s="121"/>
      <c r="J33" s="121"/>
      <c r="K33" s="122"/>
      <c r="L33" s="52"/>
      <c r="M33" s="123"/>
      <c r="N33" s="5"/>
    </row>
    <row r="34" spans="2:14" ht="12.75">
      <c r="B34" s="54">
        <f t="shared" si="1"/>
        <v>23000</v>
      </c>
      <c r="C34" s="55">
        <f t="shared" si="2"/>
        <v>24000</v>
      </c>
      <c r="D34" s="18">
        <f>Data!AO26</f>
        <v>23508.958333333332</v>
      </c>
      <c r="E34" s="19">
        <f>Data!AM26</f>
        <v>1.9166666666666667</v>
      </c>
      <c r="F34" s="20">
        <f>Data!AN26</f>
        <v>44974.166666666664</v>
      </c>
      <c r="G34" s="28">
        <f t="shared" si="0"/>
        <v>349.5244705555556</v>
      </c>
      <c r="H34" s="5"/>
      <c r="I34" s="121"/>
      <c r="J34" s="121"/>
      <c r="K34" s="122"/>
      <c r="L34" s="52"/>
      <c r="M34" s="123"/>
      <c r="N34" s="5"/>
    </row>
    <row r="35" spans="2:14" ht="12.75">
      <c r="B35" s="54">
        <f t="shared" si="1"/>
        <v>24000</v>
      </c>
      <c r="C35" s="55">
        <f t="shared" si="2"/>
        <v>25000</v>
      </c>
      <c r="D35" s="18">
        <f>Data!AO27</f>
        <v>24456.851851851854</v>
      </c>
      <c r="E35" s="19">
        <f>Data!AM27</f>
        <v>1.5</v>
      </c>
      <c r="F35" s="20">
        <f>Data!AN27</f>
        <v>36673.333333333336</v>
      </c>
      <c r="G35" s="28">
        <f t="shared" si="0"/>
        <v>282.77716444444445</v>
      </c>
      <c r="H35" s="5"/>
      <c r="I35" s="121"/>
      <c r="J35" s="121"/>
      <c r="K35" s="122"/>
      <c r="L35" s="52"/>
      <c r="M35" s="123"/>
      <c r="N35" s="5"/>
    </row>
    <row r="36" spans="2:14" ht="13.5" thickBot="1">
      <c r="B36" s="54">
        <f t="shared" si="1"/>
        <v>25000</v>
      </c>
      <c r="C36" s="55" t="s">
        <v>13</v>
      </c>
      <c r="D36" s="56">
        <f>Data!AO28</f>
        <v>38082.83115803472</v>
      </c>
      <c r="E36" s="57">
        <f>Data!AM28</f>
        <v>17.416666666666668</v>
      </c>
      <c r="F36" s="58">
        <f>Data!AN28</f>
        <v>669211.6666666666</v>
      </c>
      <c r="G36" s="28">
        <f>($E$5+$E$6*4+$E$7*5+(((D36-10000)/1000)*$E$8))*E36</f>
        <v>4824.982206778505</v>
      </c>
      <c r="H36" s="5"/>
      <c r="I36" s="121"/>
      <c r="J36" s="121"/>
      <c r="K36" s="122"/>
      <c r="L36" s="52"/>
      <c r="M36" s="123"/>
      <c r="N36" s="5"/>
    </row>
    <row r="37" spans="2:14" ht="13.5" thickBot="1">
      <c r="B37" s="145" t="s">
        <v>8</v>
      </c>
      <c r="C37" s="146"/>
      <c r="D37" s="30"/>
      <c r="E37" s="31">
        <f>SUM(E11:E36)</f>
        <v>3651.416666666666</v>
      </c>
      <c r="F37" s="32">
        <f>SUM(F11:F36)</f>
        <v>13523196.25</v>
      </c>
      <c r="G37" s="33">
        <f>SUM(G11:G36)</f>
        <v>157439.5072865825</v>
      </c>
      <c r="H37" s="6"/>
      <c r="I37" s="147"/>
      <c r="J37" s="147"/>
      <c r="K37" s="125"/>
      <c r="L37" s="126"/>
      <c r="M37" s="127"/>
      <c r="N37" s="127"/>
    </row>
    <row r="38" spans="9:14" ht="13.5" thickBot="1">
      <c r="I38" s="6"/>
      <c r="J38" s="6"/>
      <c r="K38" s="6"/>
      <c r="L38" s="6"/>
      <c r="M38" s="6"/>
      <c r="N38" s="6"/>
    </row>
    <row r="39" spans="4:14" ht="13.5" thickBot="1">
      <c r="D39" s="148" t="s">
        <v>17</v>
      </c>
      <c r="E39" s="149"/>
      <c r="F39" s="149"/>
      <c r="G39" s="41">
        <f>G37*12</f>
        <v>1889274.08743899</v>
      </c>
      <c r="I39" s="6"/>
      <c r="J39" s="150"/>
      <c r="K39" s="151"/>
      <c r="L39" s="151"/>
      <c r="M39" s="151"/>
      <c r="N39" s="128"/>
    </row>
    <row r="40" spans="9:14" ht="13.5" thickBot="1">
      <c r="I40" s="6"/>
      <c r="J40" s="6"/>
      <c r="K40" s="6"/>
      <c r="L40" s="6"/>
      <c r="M40" s="6"/>
      <c r="N40" s="6"/>
    </row>
    <row r="41" spans="2:7" ht="13.5" thickBot="1">
      <c r="B41" s="148" t="s">
        <v>14</v>
      </c>
      <c r="C41" s="149"/>
      <c r="D41" s="149"/>
      <c r="E41" s="149"/>
      <c r="F41" s="149"/>
      <c r="G41" s="42">
        <f>G43*1.06</f>
        <v>172020885392.64</v>
      </c>
    </row>
    <row r="42" ht="13.5" thickBot="1"/>
    <row r="43" spans="4:7" ht="13.5" thickBot="1">
      <c r="D43" s="148" t="s">
        <v>15</v>
      </c>
      <c r="E43" s="149"/>
      <c r="F43" s="149"/>
      <c r="G43" s="42">
        <f>(F37+M37+'.75" and 1.0"'!F20+'.75" and 1.0"'!M14+'1.5" and 2.0"'!F13+'1.5" and 2.0"'!M13)*1000*12</f>
        <v>162283854144</v>
      </c>
    </row>
    <row r="44" ht="13.5" thickBot="1"/>
    <row r="45" spans="4:7" ht="13.5" thickBot="1">
      <c r="D45" s="160" t="s">
        <v>16</v>
      </c>
      <c r="E45" s="149"/>
      <c r="F45" s="149"/>
      <c r="G45" s="161"/>
    </row>
    <row r="46" spans="4:7" ht="12.75">
      <c r="D46" s="162"/>
      <c r="E46" s="163"/>
      <c r="F46" s="163"/>
      <c r="G46" s="34"/>
    </row>
    <row r="47" spans="4:7" ht="12.75">
      <c r="D47" s="156" t="s">
        <v>9</v>
      </c>
      <c r="E47" s="157"/>
      <c r="F47" s="157"/>
      <c r="G47" s="36">
        <f>E37+'.75" and 1.0"'!E20+'.75" and 1.0"'!L14+'1.5" and 2.0"'!E13+'1.5" and 2.0"'!L13</f>
        <v>3693.416666666666</v>
      </c>
    </row>
    <row r="48" spans="4:10" ht="12.75">
      <c r="D48" s="156" t="s">
        <v>10</v>
      </c>
      <c r="E48" s="157"/>
      <c r="F48" s="157"/>
      <c r="G48" s="37">
        <f>G39+'.75" and 1.0"'!G22+'.75" and 1.0"'!N16+'1.5" and 2.0"'!G15+'1.5" and 2.0"'!N15</f>
        <v>1939536.9298389899</v>
      </c>
      <c r="J48" s="47"/>
    </row>
    <row r="49" spans="4:7" ht="12.75">
      <c r="D49" s="156" t="s">
        <v>11</v>
      </c>
      <c r="E49" s="157"/>
      <c r="F49" s="157"/>
      <c r="G49" s="37">
        <f>G48/12/G47</f>
        <v>43.761127452877645</v>
      </c>
    </row>
    <row r="50" spans="4:7" ht="12.75">
      <c r="D50" s="156" t="s">
        <v>19</v>
      </c>
      <c r="E50" s="157"/>
      <c r="F50" s="157"/>
      <c r="G50" s="45">
        <f>G43/12/G47</f>
        <v>3661556.691951897</v>
      </c>
    </row>
    <row r="51" spans="4:7" ht="13.5" thickBot="1">
      <c r="D51" s="158"/>
      <c r="E51" s="159"/>
      <c r="F51" s="159"/>
      <c r="G51" s="38"/>
    </row>
    <row r="56" spans="3:6" ht="12.75">
      <c r="C56" s="6"/>
      <c r="D56" s="6"/>
      <c r="E56" s="6"/>
      <c r="F56" s="6"/>
    </row>
    <row r="57" spans="3:6" ht="12.75">
      <c r="C57" s="6"/>
      <c r="D57" s="6"/>
      <c r="E57" s="6"/>
      <c r="F57" s="6"/>
    </row>
    <row r="58" spans="3:6" ht="12.75">
      <c r="C58" s="6"/>
      <c r="D58" s="52"/>
      <c r="E58" s="52"/>
      <c r="F58" s="53"/>
    </row>
    <row r="59" spans="3:6" ht="12.75">
      <c r="C59" s="6"/>
      <c r="D59" s="52"/>
      <c r="E59" s="52"/>
      <c r="F59" s="53"/>
    </row>
    <row r="60" spans="3:6" ht="12.75">
      <c r="C60" s="6"/>
      <c r="D60" s="52"/>
      <c r="E60" s="52"/>
      <c r="F60" s="53"/>
    </row>
    <row r="61" spans="3:6" ht="12.75">
      <c r="C61" s="6"/>
      <c r="D61" s="52"/>
      <c r="E61" s="52"/>
      <c r="F61" s="53"/>
    </row>
    <row r="62" spans="3:6" ht="12.75">
      <c r="C62" s="6"/>
      <c r="D62" s="52"/>
      <c r="E62" s="52"/>
      <c r="F62" s="53"/>
    </row>
    <row r="63" spans="3:6" ht="12.75">
      <c r="C63" s="6"/>
      <c r="D63" s="52"/>
      <c r="E63" s="52"/>
      <c r="F63" s="53"/>
    </row>
    <row r="64" spans="3:6" ht="12.75">
      <c r="C64" s="6"/>
      <c r="D64" s="52"/>
      <c r="E64" s="52"/>
      <c r="F64" s="53"/>
    </row>
    <row r="65" spans="3:6" ht="12.75">
      <c r="C65" s="6"/>
      <c r="D65" s="52"/>
      <c r="E65" s="52"/>
      <c r="F65" s="53"/>
    </row>
    <row r="66" spans="3:6" ht="12.75">
      <c r="C66" s="6"/>
      <c r="D66" s="52"/>
      <c r="E66" s="52"/>
      <c r="F66" s="53"/>
    </row>
    <row r="67" spans="3:6" ht="12.75">
      <c r="C67" s="6"/>
      <c r="D67" s="52"/>
      <c r="E67" s="52"/>
      <c r="F67" s="53"/>
    </row>
    <row r="68" spans="3:6" ht="12.75">
      <c r="C68" s="6"/>
      <c r="D68" s="52"/>
      <c r="E68" s="52"/>
      <c r="F68" s="53"/>
    </row>
    <row r="69" spans="3:6" ht="12.75">
      <c r="C69" s="6"/>
      <c r="D69" s="52"/>
      <c r="E69" s="52"/>
      <c r="F69" s="53"/>
    </row>
    <row r="70" spans="3:6" ht="12.75">
      <c r="C70" s="6"/>
      <c r="D70" s="52"/>
      <c r="E70" s="52"/>
      <c r="F70" s="53"/>
    </row>
    <row r="71" spans="3:6" ht="12.75">
      <c r="C71" s="6"/>
      <c r="D71" s="52"/>
      <c r="E71" s="52"/>
      <c r="F71" s="53"/>
    </row>
    <row r="72" spans="3:6" ht="12.75">
      <c r="C72" s="6"/>
      <c r="D72" s="52"/>
      <c r="E72" s="52"/>
      <c r="F72" s="53"/>
    </row>
    <row r="73" spans="3:6" ht="12.75">
      <c r="C73" s="6"/>
      <c r="D73" s="6"/>
      <c r="E73" s="6"/>
      <c r="F73" s="53"/>
    </row>
    <row r="74" spans="3:6" ht="12.75">
      <c r="C74" s="6"/>
      <c r="D74" s="6"/>
      <c r="E74" s="6"/>
      <c r="F74" s="6"/>
    </row>
    <row r="75" spans="3:6" ht="12.75">
      <c r="C75" s="6"/>
      <c r="D75" s="6"/>
      <c r="E75" s="6"/>
      <c r="F75" s="6"/>
    </row>
    <row r="76" spans="3:6" ht="12.75">
      <c r="C76" s="6"/>
      <c r="D76" s="6"/>
      <c r="E76" s="6"/>
      <c r="F76" s="6"/>
    </row>
    <row r="77" spans="3:6" ht="12.75">
      <c r="C77" s="6"/>
      <c r="D77" s="6"/>
      <c r="E77" s="6"/>
      <c r="F77" s="6"/>
    </row>
  </sheetData>
  <sheetProtection/>
  <mergeCells count="20">
    <mergeCell ref="B1:G1"/>
    <mergeCell ref="I1:N1"/>
    <mergeCell ref="B9:C9"/>
    <mergeCell ref="D9:D10"/>
    <mergeCell ref="E9:E10"/>
    <mergeCell ref="F9:F10"/>
    <mergeCell ref="G9:G10"/>
    <mergeCell ref="B37:C37"/>
    <mergeCell ref="I37:J37"/>
    <mergeCell ref="D39:F39"/>
    <mergeCell ref="J39:M39"/>
    <mergeCell ref="B41:F41"/>
    <mergeCell ref="D43:F43"/>
    <mergeCell ref="D51:F51"/>
    <mergeCell ref="D45:G45"/>
    <mergeCell ref="D46:F46"/>
    <mergeCell ref="D47:F47"/>
    <mergeCell ref="D48:F48"/>
    <mergeCell ref="D49:F49"/>
    <mergeCell ref="D50:F50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9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.8515625" style="2" customWidth="1"/>
    <col min="2" max="3" width="6.7109375" style="2" customWidth="1"/>
    <col min="4" max="4" width="9.7109375" style="2" customWidth="1"/>
    <col min="5" max="5" width="7.7109375" style="2" customWidth="1"/>
    <col min="6" max="6" width="12.28125" style="2" customWidth="1"/>
    <col min="7" max="7" width="13.7109375" style="2" customWidth="1"/>
    <col min="8" max="8" width="2.8515625" style="2" customWidth="1"/>
    <col min="9" max="10" width="6.7109375" style="2" customWidth="1"/>
    <col min="11" max="11" width="9.7109375" style="2" customWidth="1"/>
    <col min="12" max="12" width="7.7109375" style="2" customWidth="1"/>
    <col min="13" max="13" width="9.8515625" style="2" customWidth="1"/>
    <col min="14" max="14" width="13.7109375" style="2" customWidth="1"/>
    <col min="15" max="16" width="2.8515625" style="2" customWidth="1"/>
    <col min="17" max="17" width="11.7109375" style="2" customWidth="1"/>
    <col min="18" max="16384" width="9.140625" style="2" customWidth="1"/>
  </cols>
  <sheetData>
    <row r="1" spans="2:14" ht="21" customHeight="1">
      <c r="B1" s="39"/>
      <c r="C1" s="39"/>
      <c r="D1" s="39"/>
      <c r="E1" s="39"/>
      <c r="F1" s="39"/>
      <c r="G1" s="39"/>
      <c r="I1" s="1"/>
      <c r="J1" s="1"/>
      <c r="K1" s="1"/>
      <c r="L1" s="1"/>
      <c r="M1" s="1"/>
      <c r="N1" s="1"/>
    </row>
    <row r="2" spans="2:14" ht="21" customHeight="1">
      <c r="B2" s="40" t="str">
        <f>'Residential Proposed Rate'!B3</f>
        <v>Projected Income with 12% Increase</v>
      </c>
      <c r="C2" s="39"/>
      <c r="D2" s="39"/>
      <c r="E2" s="39"/>
      <c r="F2" s="39"/>
      <c r="G2" s="39"/>
      <c r="I2" s="1"/>
      <c r="J2" s="1"/>
      <c r="K2" s="1"/>
      <c r="L2" s="1"/>
      <c r="M2" s="1"/>
      <c r="N2" s="1"/>
    </row>
    <row r="3" spans="2:17" ht="18.75" customHeight="1" thickBot="1">
      <c r="B3" s="46" t="s">
        <v>90</v>
      </c>
      <c r="C3" s="1"/>
      <c r="D3" s="1"/>
      <c r="E3" s="1"/>
      <c r="F3" s="1"/>
      <c r="G3" s="1"/>
      <c r="I3" s="46" t="s">
        <v>91</v>
      </c>
      <c r="J3" s="1"/>
      <c r="K3" s="1"/>
      <c r="L3" s="1"/>
      <c r="M3" s="1"/>
      <c r="N3" s="1"/>
      <c r="P3" s="1"/>
      <c r="Q3" s="1"/>
    </row>
    <row r="4" spans="2:14" ht="13.5" thickBot="1">
      <c r="B4" s="9"/>
      <c r="C4" s="7"/>
      <c r="D4" s="10" t="s">
        <v>28</v>
      </c>
      <c r="E4" s="16">
        <f>'.75" and 1.0"'!E4*Data!AQ2</f>
        <v>36.99360000000001</v>
      </c>
      <c r="F4" s="11" t="s">
        <v>18</v>
      </c>
      <c r="G4" s="12"/>
      <c r="I4" s="9"/>
      <c r="J4" s="7"/>
      <c r="K4" s="10" t="s">
        <v>20</v>
      </c>
      <c r="L4" s="16">
        <f>'.75" and 1.0"'!L4*Data!AQ2</f>
        <v>54.768</v>
      </c>
      <c r="M4" s="11" t="s">
        <v>18</v>
      </c>
      <c r="N4" s="12"/>
    </row>
    <row r="5" spans="2:14" ht="13.5" thickBot="1">
      <c r="B5" s="13"/>
      <c r="C5" s="6"/>
      <c r="D5" s="14" t="s">
        <v>29</v>
      </c>
      <c r="E5" s="16">
        <f>'.75" and 1.0"'!E5*Data!AQ2</f>
        <v>8.904000000000002</v>
      </c>
      <c r="F5" s="15" t="s">
        <v>6</v>
      </c>
      <c r="G5" s="4"/>
      <c r="I5" s="13"/>
      <c r="J5" s="6"/>
      <c r="K5" s="14" t="s">
        <v>12</v>
      </c>
      <c r="L5" s="16">
        <f>'.75" and 1.0"'!L5*Data!AQ2</f>
        <v>7.952</v>
      </c>
      <c r="M5" s="15" t="s">
        <v>6</v>
      </c>
      <c r="N5" s="4"/>
    </row>
    <row r="6" spans="2:14" ht="13.5" thickBot="1">
      <c r="B6" s="13"/>
      <c r="C6" s="6"/>
      <c r="D6" s="14" t="s">
        <v>12</v>
      </c>
      <c r="E6" s="16">
        <f>'.75" and 1.0"'!E6*Data!AQ2</f>
        <v>7.952</v>
      </c>
      <c r="F6" s="15" t="s">
        <v>6</v>
      </c>
      <c r="G6" s="4"/>
      <c r="I6" s="13"/>
      <c r="J6" s="6"/>
      <c r="K6" s="14"/>
      <c r="L6" s="16"/>
      <c r="M6" s="15"/>
      <c r="N6" s="4"/>
    </row>
    <row r="7" spans="2:14" ht="13.5" thickBot="1">
      <c r="B7" s="13"/>
      <c r="C7" s="6"/>
      <c r="D7" s="14"/>
      <c r="E7" s="16"/>
      <c r="F7" s="15"/>
      <c r="G7" s="4"/>
      <c r="I7" s="13"/>
      <c r="J7" s="6"/>
      <c r="K7" s="14"/>
      <c r="L7" s="16"/>
      <c r="M7" s="15"/>
      <c r="N7" s="4"/>
    </row>
    <row r="8" spans="2:14" ht="13.5" thickBot="1">
      <c r="B8" s="13"/>
      <c r="C8" s="6"/>
      <c r="D8" s="14" t="s">
        <v>25</v>
      </c>
      <c r="E8" s="16">
        <f>'.75" and 1.0"'!E8*Data!AQ2</f>
        <v>6.496</v>
      </c>
      <c r="F8" s="15" t="s">
        <v>6</v>
      </c>
      <c r="G8" s="4"/>
      <c r="I8" s="13"/>
      <c r="J8" s="6"/>
      <c r="K8" s="14" t="s">
        <v>25</v>
      </c>
      <c r="L8" s="16">
        <f>'.75" and 1.0"'!L8*Data!AQ2</f>
        <v>6.496</v>
      </c>
      <c r="M8" s="15"/>
      <c r="N8" s="4"/>
    </row>
    <row r="9" spans="2:14" s="3" customFormat="1" ht="38.25" customHeight="1" thickBot="1">
      <c r="B9" s="154" t="s">
        <v>0</v>
      </c>
      <c r="C9" s="155"/>
      <c r="D9" s="143" t="s">
        <v>1</v>
      </c>
      <c r="E9" s="143" t="s">
        <v>2</v>
      </c>
      <c r="F9" s="143" t="s">
        <v>7</v>
      </c>
      <c r="G9" s="143" t="s">
        <v>3</v>
      </c>
      <c r="H9" s="8"/>
      <c r="I9" s="154" t="s">
        <v>0</v>
      </c>
      <c r="J9" s="164"/>
      <c r="K9" s="143" t="s">
        <v>1</v>
      </c>
      <c r="L9" s="143" t="s">
        <v>2</v>
      </c>
      <c r="M9" s="143" t="s">
        <v>7</v>
      </c>
      <c r="N9" s="143" t="s">
        <v>3</v>
      </c>
    </row>
    <row r="10" spans="2:14" ht="13.5" thickBot="1">
      <c r="B10" s="29" t="s">
        <v>4</v>
      </c>
      <c r="C10" s="29" t="s">
        <v>5</v>
      </c>
      <c r="D10" s="144"/>
      <c r="E10" s="144"/>
      <c r="F10" s="144"/>
      <c r="G10" s="144"/>
      <c r="H10" s="6"/>
      <c r="I10" s="29" t="s">
        <v>4</v>
      </c>
      <c r="J10" s="29" t="s">
        <v>5</v>
      </c>
      <c r="K10" s="144"/>
      <c r="L10" s="144"/>
      <c r="M10" s="144"/>
      <c r="N10" s="144"/>
    </row>
    <row r="11" spans="2:14" ht="12.75">
      <c r="B11" s="27">
        <v>0</v>
      </c>
      <c r="C11" s="17">
        <v>3000</v>
      </c>
      <c r="D11" s="18">
        <v>990</v>
      </c>
      <c r="E11" s="19">
        <v>2</v>
      </c>
      <c r="F11" s="20">
        <f aca="true" t="shared" si="0" ref="F11:F19">(D11*E11)/1000</f>
        <v>1.98</v>
      </c>
      <c r="G11" s="28">
        <f>E11*$E$4</f>
        <v>73.98720000000002</v>
      </c>
      <c r="H11" s="5"/>
      <c r="I11" s="21">
        <v>0</v>
      </c>
      <c r="J11" s="22">
        <v>5000</v>
      </c>
      <c r="K11" s="23">
        <v>2170</v>
      </c>
      <c r="L11" s="24">
        <v>21</v>
      </c>
      <c r="M11" s="20">
        <f>(K11*L11)/1000</f>
        <v>45.57</v>
      </c>
      <c r="N11" s="26">
        <f>($L$4*L11)</f>
        <v>1150.128</v>
      </c>
    </row>
    <row r="12" spans="2:14" ht="12.75">
      <c r="B12" s="27">
        <f aca="true" t="shared" si="1" ref="B12:B19">C11</f>
        <v>3000</v>
      </c>
      <c r="C12" s="17">
        <f aca="true" t="shared" si="2" ref="C12:C18">C11+1000</f>
        <v>4000</v>
      </c>
      <c r="D12" s="18">
        <v>0</v>
      </c>
      <c r="E12" s="19">
        <v>0</v>
      </c>
      <c r="F12" s="20">
        <f t="shared" si="0"/>
        <v>0</v>
      </c>
      <c r="G12" s="28">
        <f>($E$4+((D12-3000)/1000)*$E$5)*E12</f>
        <v>0</v>
      </c>
      <c r="H12" s="5"/>
      <c r="I12" s="27">
        <f>J11</f>
        <v>5000</v>
      </c>
      <c r="J12" s="17">
        <v>10000</v>
      </c>
      <c r="K12" s="18">
        <v>6946</v>
      </c>
      <c r="L12" s="48">
        <v>7</v>
      </c>
      <c r="M12" s="20">
        <f>(K12*L12)/1000</f>
        <v>48.622</v>
      </c>
      <c r="N12" s="28">
        <f>($L$4+(K12-5000)/1000*$L$5)*L12</f>
        <v>491.698144</v>
      </c>
    </row>
    <row r="13" spans="2:14" ht="13.5" thickBot="1">
      <c r="B13" s="27">
        <f t="shared" si="1"/>
        <v>4000</v>
      </c>
      <c r="C13" s="17">
        <f t="shared" si="2"/>
        <v>5000</v>
      </c>
      <c r="D13" s="18">
        <v>0</v>
      </c>
      <c r="E13" s="19">
        <v>0</v>
      </c>
      <c r="F13" s="20">
        <f t="shared" si="0"/>
        <v>0</v>
      </c>
      <c r="G13" s="28">
        <f>($E$4+((D13-3000)/1000)*$E$5)*E13</f>
        <v>0</v>
      </c>
      <c r="H13" s="5"/>
      <c r="I13" s="27">
        <f>J12</f>
        <v>10000</v>
      </c>
      <c r="J13" s="17" t="s">
        <v>13</v>
      </c>
      <c r="K13" s="18">
        <v>28464</v>
      </c>
      <c r="L13" s="48">
        <v>10</v>
      </c>
      <c r="M13" s="20">
        <f>(K13*L13)/1000</f>
        <v>284.64</v>
      </c>
      <c r="N13" s="28">
        <f>($L$4+(K13-5000)/1000*$L$5)*L13</f>
        <v>2413.53728</v>
      </c>
    </row>
    <row r="14" spans="2:14" ht="13.5" thickBot="1">
      <c r="B14" s="27">
        <f t="shared" si="1"/>
        <v>5000</v>
      </c>
      <c r="C14" s="17">
        <f t="shared" si="2"/>
        <v>6000</v>
      </c>
      <c r="D14" s="18">
        <v>0</v>
      </c>
      <c r="E14" s="19">
        <v>0</v>
      </c>
      <c r="F14" s="20">
        <f t="shared" si="0"/>
        <v>0</v>
      </c>
      <c r="G14" s="28">
        <f>($E$4+$E$5*2+((D14-5000)/1000)*$E$6)*E14</f>
        <v>0</v>
      </c>
      <c r="H14" s="5"/>
      <c r="I14" s="145" t="s">
        <v>8</v>
      </c>
      <c r="J14" s="146"/>
      <c r="K14" s="30"/>
      <c r="L14" s="31">
        <f>SUM(L11:L13)</f>
        <v>38</v>
      </c>
      <c r="M14" s="32">
        <f>SUM(M11:M13)</f>
        <v>378.832</v>
      </c>
      <c r="N14" s="33">
        <f>SUM(N11:N13)</f>
        <v>4055.363424</v>
      </c>
    </row>
    <row r="15" spans="2:8" ht="13.5" thickBot="1">
      <c r="B15" s="27">
        <f t="shared" si="1"/>
        <v>6000</v>
      </c>
      <c r="C15" s="17">
        <f t="shared" si="2"/>
        <v>7000</v>
      </c>
      <c r="D15" s="18">
        <v>0</v>
      </c>
      <c r="E15" s="19">
        <v>0</v>
      </c>
      <c r="F15" s="20">
        <f t="shared" si="0"/>
        <v>0</v>
      </c>
      <c r="G15" s="28">
        <f>($E$4+$E$5*2+((D15-5000)/1000)*$E$6)*E15</f>
        <v>0</v>
      </c>
      <c r="H15" s="5"/>
    </row>
    <row r="16" spans="2:14" ht="13.5" thickBot="1">
      <c r="B16" s="27">
        <f t="shared" si="1"/>
        <v>7000</v>
      </c>
      <c r="C16" s="17">
        <f t="shared" si="2"/>
        <v>8000</v>
      </c>
      <c r="D16" s="18">
        <v>0</v>
      </c>
      <c r="E16" s="19">
        <v>0</v>
      </c>
      <c r="F16" s="20">
        <f t="shared" si="0"/>
        <v>0</v>
      </c>
      <c r="G16" s="28">
        <f>($E$4+$E$5*2+((D16-5000)/1000)*$E$6)*E16</f>
        <v>0</v>
      </c>
      <c r="H16" s="5"/>
      <c r="J16" s="148" t="s">
        <v>24</v>
      </c>
      <c r="K16" s="149"/>
      <c r="L16" s="149"/>
      <c r="M16" s="149"/>
      <c r="N16" s="35">
        <f>N14*12</f>
        <v>48664.361088000005</v>
      </c>
    </row>
    <row r="17" spans="2:8" ht="12.75">
      <c r="B17" s="27">
        <f t="shared" si="1"/>
        <v>8000</v>
      </c>
      <c r="C17" s="17">
        <f t="shared" si="2"/>
        <v>9000</v>
      </c>
      <c r="D17" s="18">
        <v>0</v>
      </c>
      <c r="E17" s="19">
        <v>0</v>
      </c>
      <c r="F17" s="20">
        <f t="shared" si="0"/>
        <v>0</v>
      </c>
      <c r="G17" s="28">
        <f>($E$4+$E$5*2+((D17-5000)/1000)*$E$6)*E17</f>
        <v>0</v>
      </c>
      <c r="H17" s="5"/>
    </row>
    <row r="18" spans="2:8" ht="12.75">
      <c r="B18" s="27">
        <f t="shared" si="1"/>
        <v>9000</v>
      </c>
      <c r="C18" s="17">
        <f t="shared" si="2"/>
        <v>10000</v>
      </c>
      <c r="D18" s="18">
        <v>0</v>
      </c>
      <c r="E18" s="19">
        <v>0</v>
      </c>
      <c r="F18" s="20">
        <f t="shared" si="0"/>
        <v>0</v>
      </c>
      <c r="G18" s="28">
        <f>($E$4+$E$5*2+((D18-5000)/1000)*$E$6)*E18</f>
        <v>0</v>
      </c>
      <c r="H18" s="5"/>
    </row>
    <row r="19" spans="2:8" ht="13.5" thickBot="1">
      <c r="B19" s="27">
        <f t="shared" si="1"/>
        <v>10000</v>
      </c>
      <c r="C19" s="17" t="s">
        <v>13</v>
      </c>
      <c r="D19" s="18">
        <v>0</v>
      </c>
      <c r="E19" s="19">
        <v>0</v>
      </c>
      <c r="F19" s="20">
        <f t="shared" si="0"/>
        <v>0</v>
      </c>
      <c r="G19" s="28">
        <f>($E$4+2*$E$5+5*$E$6+((D19-10000)/1000)*$E$8)*E19</f>
        <v>0</v>
      </c>
      <c r="H19" s="5"/>
    </row>
    <row r="20" spans="2:8" ht="13.5" thickBot="1">
      <c r="B20" s="145" t="s">
        <v>8</v>
      </c>
      <c r="C20" s="146"/>
      <c r="D20" s="30"/>
      <c r="E20" s="31">
        <f>SUM(E11:E19)</f>
        <v>2</v>
      </c>
      <c r="F20" s="32">
        <f>SUM(F11:F19)</f>
        <v>1.98</v>
      </c>
      <c r="G20" s="33">
        <f>SUM(G11:G19)</f>
        <v>73.98720000000002</v>
      </c>
      <c r="H20" s="5"/>
    </row>
    <row r="21" ht="13.5" thickBot="1">
      <c r="H21" s="5"/>
    </row>
    <row r="22" spans="3:8" ht="13.5" thickBot="1">
      <c r="C22" s="148" t="s">
        <v>24</v>
      </c>
      <c r="D22" s="149"/>
      <c r="E22" s="149"/>
      <c r="F22" s="149"/>
      <c r="G22" s="41">
        <f>G20*12</f>
        <v>887.8464000000001</v>
      </c>
      <c r="H22" s="6"/>
    </row>
    <row r="23" ht="13.5" thickBot="1"/>
    <row r="24" spans="2:7" ht="13.5" thickBot="1">
      <c r="B24" s="148" t="s">
        <v>14</v>
      </c>
      <c r="C24" s="149"/>
      <c r="D24" s="149"/>
      <c r="E24" s="149"/>
      <c r="F24" s="149"/>
      <c r="G24" s="42">
        <f>G26*1.06</f>
        <v>4843928.640000001</v>
      </c>
    </row>
    <row r="25" ht="13.5" thickBot="1"/>
    <row r="26" spans="4:7" ht="13.5" thickBot="1">
      <c r="D26" s="148" t="s">
        <v>15</v>
      </c>
      <c r="E26" s="149"/>
      <c r="F26" s="149"/>
      <c r="G26" s="42">
        <f>F20*12*1000+M14*12*1000</f>
        <v>4569744</v>
      </c>
    </row>
    <row r="27" ht="13.5" thickBot="1"/>
    <row r="28" spans="4:7" ht="13.5" thickBot="1">
      <c r="D28" s="160" t="s">
        <v>16</v>
      </c>
      <c r="E28" s="149"/>
      <c r="F28" s="149"/>
      <c r="G28" s="161"/>
    </row>
    <row r="29" spans="4:7" ht="12.75">
      <c r="D29" s="162"/>
      <c r="E29" s="163"/>
      <c r="F29" s="163"/>
      <c r="G29" s="34"/>
    </row>
    <row r="30" spans="4:7" ht="12.75">
      <c r="D30" s="156" t="s">
        <v>9</v>
      </c>
      <c r="E30" s="157"/>
      <c r="F30" s="157"/>
      <c r="G30" s="36">
        <f>E20+L14</f>
        <v>40</v>
      </c>
    </row>
    <row r="31" spans="4:7" ht="12.75">
      <c r="D31" s="156" t="s">
        <v>10</v>
      </c>
      <c r="E31" s="157"/>
      <c r="F31" s="157"/>
      <c r="G31" s="37">
        <f>G22+N16</f>
        <v>49552.20748800001</v>
      </c>
    </row>
    <row r="32" spans="4:7" ht="12.75">
      <c r="D32" s="156" t="s">
        <v>11</v>
      </c>
      <c r="E32" s="157"/>
      <c r="F32" s="157"/>
      <c r="G32" s="37">
        <f>G31/12/G30</f>
        <v>103.23376560000001</v>
      </c>
    </row>
    <row r="33" spans="4:7" ht="12.75">
      <c r="D33" s="156" t="s">
        <v>19</v>
      </c>
      <c r="E33" s="157"/>
      <c r="F33" s="157"/>
      <c r="G33" s="45">
        <f>G26/12/G30</f>
        <v>9520.3</v>
      </c>
    </row>
    <row r="34" spans="4:9" ht="13.5" thickBot="1">
      <c r="D34" s="158"/>
      <c r="E34" s="159"/>
      <c r="F34" s="159"/>
      <c r="G34" s="38"/>
      <c r="I34" s="6"/>
    </row>
    <row r="35" ht="12.75">
      <c r="I35" s="6"/>
    </row>
    <row r="36" ht="12.75">
      <c r="I36" s="6"/>
    </row>
    <row r="37" ht="12.75">
      <c r="I37" s="6"/>
    </row>
    <row r="38" spans="4:9" ht="12.75">
      <c r="D38" s="6"/>
      <c r="E38" s="6"/>
      <c r="F38" s="6"/>
      <c r="G38" s="6"/>
      <c r="H38" s="6"/>
      <c r="I38" s="6"/>
    </row>
    <row r="39" spans="4:9" ht="12.75">
      <c r="D39" s="6"/>
      <c r="E39" s="6"/>
      <c r="F39" s="6"/>
      <c r="G39" s="6"/>
      <c r="H39" s="6"/>
      <c r="I39" s="6"/>
    </row>
    <row r="40" spans="4:9" ht="12.75">
      <c r="D40" s="6"/>
      <c r="E40" s="6"/>
      <c r="F40" s="6"/>
      <c r="G40" s="6"/>
      <c r="H40" s="6"/>
      <c r="I40" s="6"/>
    </row>
    <row r="41" spans="4:9" ht="12.75">
      <c r="D41" s="52"/>
      <c r="E41" s="52"/>
      <c r="F41" s="53"/>
      <c r="G41" s="6"/>
      <c r="H41" s="6"/>
      <c r="I41" s="6"/>
    </row>
    <row r="42" spans="4:9" ht="12.75">
      <c r="D42" s="52"/>
      <c r="E42" s="52"/>
      <c r="F42" s="53"/>
      <c r="G42" s="6"/>
      <c r="H42" s="6"/>
      <c r="I42" s="6"/>
    </row>
    <row r="43" spans="4:9" ht="12.75">
      <c r="D43" s="52"/>
      <c r="E43" s="52"/>
      <c r="F43" s="53"/>
      <c r="G43" s="6"/>
      <c r="H43" s="6"/>
      <c r="I43" s="6"/>
    </row>
    <row r="44" spans="4:9" ht="12.75">
      <c r="D44" s="52"/>
      <c r="E44" s="52"/>
      <c r="F44" s="53"/>
      <c r="G44" s="6"/>
      <c r="H44" s="6"/>
      <c r="I44" s="6"/>
    </row>
    <row r="45" spans="4:9" ht="12.75">
      <c r="D45" s="52"/>
      <c r="E45" s="52"/>
      <c r="F45" s="53"/>
      <c r="G45" s="6"/>
      <c r="H45" s="6"/>
      <c r="I45" s="6"/>
    </row>
    <row r="46" spans="4:9" ht="12.75">
      <c r="D46" s="52"/>
      <c r="E46" s="52"/>
      <c r="F46" s="53"/>
      <c r="G46" s="6"/>
      <c r="H46" s="6"/>
      <c r="I46" s="6"/>
    </row>
    <row r="47" spans="4:9" ht="12.75">
      <c r="D47" s="52"/>
      <c r="E47" s="52"/>
      <c r="F47" s="53"/>
      <c r="G47" s="6"/>
      <c r="H47" s="6"/>
      <c r="I47" s="6"/>
    </row>
    <row r="48" spans="4:9" ht="12.75">
      <c r="D48" s="52"/>
      <c r="E48" s="52"/>
      <c r="F48" s="53"/>
      <c r="G48" s="6"/>
      <c r="H48" s="6"/>
      <c r="I48" s="6"/>
    </row>
    <row r="49" spans="4:9" ht="12.75">
      <c r="D49" s="52"/>
      <c r="E49" s="52"/>
      <c r="F49" s="53"/>
      <c r="G49" s="6"/>
      <c r="H49" s="6"/>
      <c r="I49" s="6"/>
    </row>
    <row r="50" spans="4:9" ht="12.75">
      <c r="D50" s="52"/>
      <c r="E50" s="52"/>
      <c r="F50" s="53"/>
      <c r="G50" s="6"/>
      <c r="H50" s="6"/>
      <c r="I50" s="6"/>
    </row>
    <row r="51" spans="4:9" ht="12.75">
      <c r="D51" s="52"/>
      <c r="E51" s="52"/>
      <c r="F51" s="53"/>
      <c r="G51" s="6"/>
      <c r="H51" s="6"/>
      <c r="I51" s="6"/>
    </row>
    <row r="52" spans="4:9" ht="12.75">
      <c r="D52" s="52"/>
      <c r="E52" s="52"/>
      <c r="F52" s="53"/>
      <c r="G52" s="6"/>
      <c r="H52" s="6"/>
      <c r="I52" s="6"/>
    </row>
    <row r="53" spans="4:9" ht="12.75">
      <c r="D53" s="52"/>
      <c r="E53" s="52"/>
      <c r="F53" s="53"/>
      <c r="G53" s="6"/>
      <c r="H53" s="6"/>
      <c r="I53" s="6"/>
    </row>
    <row r="54" spans="4:9" ht="12.75">
      <c r="D54" s="52"/>
      <c r="E54" s="52"/>
      <c r="F54" s="53"/>
      <c r="G54" s="6"/>
      <c r="H54" s="6"/>
      <c r="I54" s="6"/>
    </row>
    <row r="55" spans="4:9" ht="12.75">
      <c r="D55" s="52"/>
      <c r="E55" s="52"/>
      <c r="F55" s="53"/>
      <c r="G55" s="6"/>
      <c r="H55" s="6"/>
      <c r="I55" s="6"/>
    </row>
    <row r="56" spans="4:8" ht="12.75">
      <c r="D56" s="6"/>
      <c r="E56" s="6"/>
      <c r="F56" s="53"/>
      <c r="G56" s="6"/>
      <c r="H56" s="6"/>
    </row>
    <row r="57" spans="4:8" ht="12.75">
      <c r="D57" s="6"/>
      <c r="E57" s="6"/>
      <c r="F57" s="6"/>
      <c r="G57" s="6"/>
      <c r="H57" s="6"/>
    </row>
    <row r="58" spans="4:8" ht="12.75">
      <c r="D58" s="6"/>
      <c r="E58" s="6"/>
      <c r="F58" s="6"/>
      <c r="G58" s="6"/>
      <c r="H58" s="6"/>
    </row>
    <row r="59" spans="4:8" ht="12.75">
      <c r="D59" s="6"/>
      <c r="E59" s="6"/>
      <c r="F59" s="6"/>
      <c r="G59" s="6"/>
      <c r="H59" s="6"/>
    </row>
  </sheetData>
  <sheetProtection/>
  <mergeCells count="23">
    <mergeCell ref="B9:C9"/>
    <mergeCell ref="D9:D10"/>
    <mergeCell ref="E9:E10"/>
    <mergeCell ref="F9:F10"/>
    <mergeCell ref="G9:G10"/>
    <mergeCell ref="I9:J9"/>
    <mergeCell ref="D29:F29"/>
    <mergeCell ref="K9:K10"/>
    <mergeCell ref="L9:L10"/>
    <mergeCell ref="M9:M10"/>
    <mergeCell ref="N9:N10"/>
    <mergeCell ref="I14:J14"/>
    <mergeCell ref="J16:M16"/>
    <mergeCell ref="D30:F30"/>
    <mergeCell ref="D31:F31"/>
    <mergeCell ref="D32:F32"/>
    <mergeCell ref="D33:F33"/>
    <mergeCell ref="D34:F34"/>
    <mergeCell ref="B20:C20"/>
    <mergeCell ref="C22:F22"/>
    <mergeCell ref="B24:F24"/>
    <mergeCell ref="D26:F26"/>
    <mergeCell ref="D28:G28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0"/>
  <sheetViews>
    <sheetView zoomScalePageLayoutView="0" workbookViewId="0" topLeftCell="B1">
      <selection activeCell="R40" sqref="R40"/>
    </sheetView>
  </sheetViews>
  <sheetFormatPr defaultColWidth="9.140625" defaultRowHeight="12.75"/>
  <cols>
    <col min="1" max="1" width="2.8515625" style="2" customWidth="1"/>
    <col min="2" max="3" width="6.7109375" style="2" customWidth="1"/>
    <col min="4" max="4" width="9.7109375" style="2" customWidth="1"/>
    <col min="5" max="5" width="7.7109375" style="2" customWidth="1"/>
    <col min="6" max="6" width="12.28125" style="2" customWidth="1"/>
    <col min="7" max="7" width="13.7109375" style="2" customWidth="1"/>
    <col min="8" max="8" width="2.8515625" style="2" customWidth="1"/>
    <col min="9" max="10" width="6.7109375" style="2" customWidth="1"/>
    <col min="11" max="11" width="9.7109375" style="2" customWidth="1"/>
    <col min="12" max="12" width="7.7109375" style="2" customWidth="1"/>
    <col min="13" max="13" width="9.8515625" style="2" customWidth="1"/>
    <col min="14" max="14" width="13.7109375" style="2" customWidth="1"/>
    <col min="15" max="16" width="2.8515625" style="2" customWidth="1"/>
    <col min="17" max="17" width="11.7109375" style="2" customWidth="1"/>
    <col min="18" max="16384" width="9.140625" style="2" customWidth="1"/>
  </cols>
  <sheetData>
    <row r="1" spans="2:14" ht="21" customHeight="1">
      <c r="B1" s="39"/>
      <c r="C1" s="39"/>
      <c r="D1" s="39"/>
      <c r="E1" s="39"/>
      <c r="F1" s="39"/>
      <c r="G1" s="39"/>
      <c r="I1" s="1"/>
      <c r="J1" s="1"/>
      <c r="K1" s="1"/>
      <c r="L1" s="1"/>
      <c r="M1" s="1"/>
      <c r="N1" s="1"/>
    </row>
    <row r="2" spans="2:14" ht="21" customHeight="1">
      <c r="B2" s="40" t="str">
        <f>'Residential Proposed Rate'!B3</f>
        <v>Projected Income with 12% Increase</v>
      </c>
      <c r="C2" s="39"/>
      <c r="D2" s="39"/>
      <c r="E2" s="39"/>
      <c r="F2" s="39"/>
      <c r="G2" s="39"/>
      <c r="I2" s="1"/>
      <c r="J2" s="1"/>
      <c r="K2" s="1"/>
      <c r="L2" s="1"/>
      <c r="M2" s="1"/>
      <c r="N2" s="1"/>
    </row>
    <row r="3" spans="2:17" ht="18.75" customHeight="1" thickBot="1">
      <c r="B3" s="46" t="s">
        <v>89</v>
      </c>
      <c r="C3" s="1"/>
      <c r="D3" s="1"/>
      <c r="E3" s="1"/>
      <c r="F3" s="1"/>
      <c r="G3" s="1"/>
      <c r="I3" s="46" t="s">
        <v>88</v>
      </c>
      <c r="J3" s="1"/>
      <c r="K3" s="1"/>
      <c r="L3" s="1"/>
      <c r="M3" s="1"/>
      <c r="N3" s="1"/>
      <c r="P3" s="1"/>
      <c r="Q3" s="1"/>
    </row>
    <row r="4" spans="2:14" ht="13.5" thickBot="1">
      <c r="B4" s="9"/>
      <c r="C4" s="7"/>
      <c r="D4" s="10" t="s">
        <v>21</v>
      </c>
      <c r="E4" s="16">
        <f>'1.5" and 2.0"'!E4*Data!AQ2</f>
        <v>94.4496</v>
      </c>
      <c r="F4" s="11" t="s">
        <v>18</v>
      </c>
      <c r="G4" s="12"/>
      <c r="I4" s="9"/>
      <c r="J4" s="7"/>
      <c r="K4" s="10" t="s">
        <v>30</v>
      </c>
      <c r="L4" s="16">
        <f>'1.5" and 2.0"'!L4*Data!AQ2</f>
        <v>159.28640000000001</v>
      </c>
      <c r="M4" s="11" t="s">
        <v>18</v>
      </c>
      <c r="N4" s="12"/>
    </row>
    <row r="5" spans="2:14" ht="13.5" thickBot="1">
      <c r="B5" s="13"/>
      <c r="C5" s="6"/>
      <c r="D5" s="14" t="s">
        <v>25</v>
      </c>
      <c r="E5" s="16">
        <f>'1.5" and 2.0"'!E5*Data!AQ2</f>
        <v>6.496</v>
      </c>
      <c r="F5" s="15" t="s">
        <v>6</v>
      </c>
      <c r="G5" s="4"/>
      <c r="I5" s="13"/>
      <c r="J5" s="6"/>
      <c r="K5" s="14" t="s">
        <v>31</v>
      </c>
      <c r="L5" s="16">
        <f>'1.5" and 2.0"'!L5*Data!AQ2</f>
        <v>6.496</v>
      </c>
      <c r="M5" s="15" t="s">
        <v>6</v>
      </c>
      <c r="N5" s="4"/>
    </row>
    <row r="6" spans="2:14" ht="13.5" thickBot="1">
      <c r="B6" s="13"/>
      <c r="C6" s="6"/>
      <c r="D6" s="14"/>
      <c r="E6" s="16"/>
      <c r="F6" s="15"/>
      <c r="G6" s="4"/>
      <c r="I6" s="13"/>
      <c r="J6" s="6"/>
      <c r="K6" s="14"/>
      <c r="L6" s="16"/>
      <c r="M6" s="15"/>
      <c r="N6" s="4"/>
    </row>
    <row r="7" spans="2:14" ht="13.5" thickBot="1">
      <c r="B7" s="13"/>
      <c r="C7" s="6"/>
      <c r="D7" s="14"/>
      <c r="E7" s="16"/>
      <c r="G7" s="4"/>
      <c r="I7" s="13"/>
      <c r="J7" s="6"/>
      <c r="K7" s="14"/>
      <c r="L7" s="16"/>
      <c r="M7" s="15"/>
      <c r="N7" s="4"/>
    </row>
    <row r="8" spans="2:14" ht="13.5" thickBot="1">
      <c r="B8" s="13"/>
      <c r="C8" s="6"/>
      <c r="E8" s="16"/>
      <c r="F8" s="15"/>
      <c r="G8" s="4"/>
      <c r="I8" s="13"/>
      <c r="J8" s="6"/>
      <c r="K8" s="14"/>
      <c r="L8" s="16"/>
      <c r="M8" s="15"/>
      <c r="N8" s="4"/>
    </row>
    <row r="9" spans="2:14" s="3" customFormat="1" ht="38.25" customHeight="1" thickBot="1">
      <c r="B9" s="154" t="s">
        <v>0</v>
      </c>
      <c r="C9" s="155"/>
      <c r="D9" s="143" t="s">
        <v>1</v>
      </c>
      <c r="E9" s="143" t="s">
        <v>2</v>
      </c>
      <c r="F9" s="143" t="s">
        <v>7</v>
      </c>
      <c r="G9" s="143" t="s">
        <v>3</v>
      </c>
      <c r="H9" s="8"/>
      <c r="I9" s="154" t="s">
        <v>0</v>
      </c>
      <c r="J9" s="164"/>
      <c r="K9" s="143" t="s">
        <v>1</v>
      </c>
      <c r="L9" s="143" t="s">
        <v>2</v>
      </c>
      <c r="M9" s="143" t="s">
        <v>7</v>
      </c>
      <c r="N9" s="143" t="s">
        <v>3</v>
      </c>
    </row>
    <row r="10" spans="2:14" ht="13.5" thickBot="1">
      <c r="B10" s="29" t="s">
        <v>4</v>
      </c>
      <c r="C10" s="29" t="s">
        <v>5</v>
      </c>
      <c r="D10" s="144"/>
      <c r="E10" s="144"/>
      <c r="F10" s="144"/>
      <c r="G10" s="144"/>
      <c r="H10" s="6"/>
      <c r="I10" s="29" t="s">
        <v>4</v>
      </c>
      <c r="J10" s="29" t="s">
        <v>5</v>
      </c>
      <c r="K10" s="144"/>
      <c r="L10" s="144"/>
      <c r="M10" s="144"/>
      <c r="N10" s="144"/>
    </row>
    <row r="11" spans="2:14" ht="12.75">
      <c r="B11" s="21">
        <v>0</v>
      </c>
      <c r="C11" s="22">
        <v>10000</v>
      </c>
      <c r="D11" s="23">
        <v>10000</v>
      </c>
      <c r="E11" s="24">
        <v>0</v>
      </c>
      <c r="F11" s="25">
        <f>(D11*E11)/1000</f>
        <v>0</v>
      </c>
      <c r="G11" s="26">
        <f>E11*$E$4</f>
        <v>0</v>
      </c>
      <c r="H11" s="5"/>
      <c r="I11" s="21">
        <v>0</v>
      </c>
      <c r="J11" s="22">
        <v>20000</v>
      </c>
      <c r="K11" s="23">
        <f>D11*2</f>
        <v>20000</v>
      </c>
      <c r="L11" s="24">
        <v>0</v>
      </c>
      <c r="M11" s="25">
        <f>(K11*L11)/1000</f>
        <v>0</v>
      </c>
      <c r="N11" s="26">
        <f>L11*$L$4</f>
        <v>0</v>
      </c>
    </row>
    <row r="12" spans="2:14" ht="13.5" thickBot="1">
      <c r="B12" s="27">
        <f>C11</f>
        <v>10000</v>
      </c>
      <c r="C12" s="17" t="s">
        <v>13</v>
      </c>
      <c r="D12" s="18">
        <v>10500</v>
      </c>
      <c r="E12" s="19">
        <v>0</v>
      </c>
      <c r="F12" s="20">
        <f>(D12*E12)/1000</f>
        <v>0</v>
      </c>
      <c r="G12" s="28">
        <f>E12*($E$4+(D12-10000)/1000*E5)</f>
        <v>0</v>
      </c>
      <c r="H12" s="5"/>
      <c r="I12" s="27">
        <f>J11</f>
        <v>20000</v>
      </c>
      <c r="J12" s="17" t="s">
        <v>13</v>
      </c>
      <c r="K12" s="18">
        <v>38725</v>
      </c>
      <c r="L12" s="19">
        <v>2</v>
      </c>
      <c r="M12" s="20">
        <f>(K12*L12)/1000</f>
        <v>77.45</v>
      </c>
      <c r="N12" s="28">
        <f>L12*($L$4+(K12-20000)/1000*L5)</f>
        <v>561.8480000000001</v>
      </c>
    </row>
    <row r="13" spans="2:14" ht="13.5" thickBot="1">
      <c r="B13" s="145" t="s">
        <v>8</v>
      </c>
      <c r="C13" s="146"/>
      <c r="D13" s="30"/>
      <c r="E13" s="31">
        <f>SUM(E11:E12)</f>
        <v>0</v>
      </c>
      <c r="F13" s="32">
        <f>SUM(F11:F12)</f>
        <v>0</v>
      </c>
      <c r="G13" s="33">
        <f>SUM(G11:G12)</f>
        <v>0</v>
      </c>
      <c r="H13" s="6"/>
      <c r="I13" s="145" t="s">
        <v>8</v>
      </c>
      <c r="J13" s="146"/>
      <c r="K13" s="30"/>
      <c r="L13" s="31">
        <f>SUM(L11:L12)</f>
        <v>2</v>
      </c>
      <c r="M13" s="32">
        <f>SUM(M11:M12)</f>
        <v>77.45</v>
      </c>
      <c r="N13" s="33">
        <f>SUM(N11:N12)</f>
        <v>561.8480000000001</v>
      </c>
    </row>
    <row r="14" ht="13.5" thickBot="1"/>
    <row r="15" spans="3:14" ht="13.5" thickBot="1">
      <c r="C15" s="148" t="s">
        <v>22</v>
      </c>
      <c r="D15" s="149"/>
      <c r="E15" s="149"/>
      <c r="F15" s="149"/>
      <c r="G15" s="41">
        <f>G13*12</f>
        <v>0</v>
      </c>
      <c r="J15" s="148" t="s">
        <v>23</v>
      </c>
      <c r="K15" s="149"/>
      <c r="L15" s="149"/>
      <c r="M15" s="149"/>
      <c r="N15" s="35">
        <f>N13*12</f>
        <v>6742.176000000001</v>
      </c>
    </row>
    <row r="16" spans="3:7" ht="13.5" thickBot="1">
      <c r="C16" s="165"/>
      <c r="D16" s="165"/>
      <c r="E16" s="165"/>
      <c r="F16" s="165"/>
      <c r="G16" s="165"/>
    </row>
    <row r="17" spans="2:7" ht="13.5" thickBot="1">
      <c r="B17" s="148" t="s">
        <v>14</v>
      </c>
      <c r="C17" s="149"/>
      <c r="D17" s="149"/>
      <c r="E17" s="149"/>
      <c r="F17" s="149"/>
      <c r="G17" s="42">
        <f>G19*1.06</f>
        <v>985164.0000000001</v>
      </c>
    </row>
    <row r="18" ht="13.5" thickBot="1"/>
    <row r="19" spans="4:7" ht="13.5" thickBot="1">
      <c r="D19" s="148" t="s">
        <v>15</v>
      </c>
      <c r="E19" s="149"/>
      <c r="F19" s="149"/>
      <c r="G19" s="42">
        <f>F13*12*1000+M13*12*1000</f>
        <v>929400.0000000001</v>
      </c>
    </row>
    <row r="20" ht="13.5" thickBot="1"/>
    <row r="21" spans="4:7" ht="13.5" thickBot="1">
      <c r="D21" s="160" t="s">
        <v>16</v>
      </c>
      <c r="E21" s="149"/>
      <c r="F21" s="149"/>
      <c r="G21" s="161"/>
    </row>
    <row r="22" spans="4:7" ht="12.75">
      <c r="D22" s="162"/>
      <c r="E22" s="163"/>
      <c r="F22" s="163"/>
      <c r="G22" s="34"/>
    </row>
    <row r="23" spans="4:16" ht="12.75">
      <c r="D23" s="156" t="s">
        <v>9</v>
      </c>
      <c r="E23" s="157"/>
      <c r="F23" s="157"/>
      <c r="G23" s="36">
        <f>Residential!G47</f>
        <v>3693.416666666666</v>
      </c>
      <c r="P23" s="6"/>
    </row>
    <row r="24" spans="4:16" ht="12.75">
      <c r="D24" s="156" t="s">
        <v>10</v>
      </c>
      <c r="E24" s="157"/>
      <c r="F24" s="157"/>
      <c r="G24" s="37">
        <f>Residential!G48</f>
        <v>1737114.7061848121</v>
      </c>
      <c r="P24" s="6"/>
    </row>
    <row r="25" spans="4:16" ht="12.75">
      <c r="D25" s="156" t="s">
        <v>11</v>
      </c>
      <c r="E25" s="157"/>
      <c r="F25" s="157"/>
      <c r="G25" s="37">
        <f>Residential!G49</f>
        <v>39.19394206323892</v>
      </c>
      <c r="P25" s="6"/>
    </row>
    <row r="26" spans="4:16" ht="12.75">
      <c r="D26" s="156" t="s">
        <v>19</v>
      </c>
      <c r="E26" s="157"/>
      <c r="F26" s="157"/>
      <c r="G26" s="45">
        <f>Residential!G50</f>
        <v>3661556.691951897</v>
      </c>
      <c r="P26" s="6"/>
    </row>
    <row r="27" spans="4:7" ht="13.5" thickBot="1">
      <c r="D27" s="158"/>
      <c r="E27" s="159"/>
      <c r="F27" s="159"/>
      <c r="G27" s="38"/>
    </row>
    <row r="33" spans="4:9" ht="12.75">
      <c r="D33" s="6"/>
      <c r="E33" s="6"/>
      <c r="F33" s="6"/>
      <c r="G33" s="6"/>
      <c r="H33" s="6"/>
      <c r="I33" s="6"/>
    </row>
    <row r="34" spans="4:9" ht="12.75">
      <c r="D34" s="52"/>
      <c r="E34" s="52"/>
      <c r="F34" s="53"/>
      <c r="G34" s="6"/>
      <c r="H34" s="6"/>
      <c r="I34" s="6"/>
    </row>
    <row r="35" spans="4:9" ht="12.75">
      <c r="D35" s="52"/>
      <c r="E35" s="52"/>
      <c r="F35" s="53"/>
      <c r="G35" s="6"/>
      <c r="H35" s="6"/>
      <c r="I35" s="6"/>
    </row>
    <row r="36" spans="4:9" ht="12.75">
      <c r="D36" s="52"/>
      <c r="E36" s="52"/>
      <c r="F36" s="53"/>
      <c r="G36" s="6"/>
      <c r="H36" s="6"/>
      <c r="I36" s="6"/>
    </row>
    <row r="37" spans="4:9" ht="12.75">
      <c r="D37" s="52"/>
      <c r="E37" s="52"/>
      <c r="F37" s="53"/>
      <c r="G37" s="6"/>
      <c r="H37" s="6"/>
      <c r="I37" s="6"/>
    </row>
    <row r="38" spans="4:9" ht="12.75">
      <c r="D38" s="52"/>
      <c r="E38" s="52"/>
      <c r="F38" s="53"/>
      <c r="G38" s="6"/>
      <c r="H38" s="6"/>
      <c r="I38" s="6"/>
    </row>
    <row r="39" spans="4:9" ht="12.75">
      <c r="D39" s="52"/>
      <c r="E39" s="52"/>
      <c r="F39" s="53"/>
      <c r="G39" s="6"/>
      <c r="H39" s="6"/>
      <c r="I39" s="6"/>
    </row>
    <row r="40" spans="4:9" ht="12.75">
      <c r="D40" s="52"/>
      <c r="E40" s="52"/>
      <c r="F40" s="53"/>
      <c r="G40" s="6"/>
      <c r="H40" s="6"/>
      <c r="I40" s="6"/>
    </row>
    <row r="41" spans="4:9" ht="12.75">
      <c r="D41" s="52"/>
      <c r="E41" s="52"/>
      <c r="F41" s="53"/>
      <c r="G41" s="6"/>
      <c r="H41" s="6"/>
      <c r="I41" s="6"/>
    </row>
    <row r="42" spans="4:9" ht="12.75">
      <c r="D42" s="52"/>
      <c r="E42" s="52"/>
      <c r="F42" s="53"/>
      <c r="G42" s="6"/>
      <c r="H42" s="6"/>
      <c r="I42" s="6"/>
    </row>
    <row r="43" spans="4:9" ht="12.75">
      <c r="D43" s="52"/>
      <c r="E43" s="52"/>
      <c r="F43" s="53"/>
      <c r="G43" s="6"/>
      <c r="H43" s="6"/>
      <c r="I43" s="6"/>
    </row>
    <row r="44" spans="4:9" ht="12.75">
      <c r="D44" s="52"/>
      <c r="E44" s="52"/>
      <c r="F44" s="53"/>
      <c r="G44" s="6"/>
      <c r="H44" s="6"/>
      <c r="I44" s="6"/>
    </row>
    <row r="45" spans="4:9" ht="12.75">
      <c r="D45" s="52"/>
      <c r="E45" s="52"/>
      <c r="F45" s="53"/>
      <c r="G45" s="6"/>
      <c r="H45" s="6"/>
      <c r="I45" s="6"/>
    </row>
    <row r="46" spans="4:9" ht="12.75">
      <c r="D46" s="52"/>
      <c r="E46" s="52"/>
      <c r="F46" s="53"/>
      <c r="G46" s="6"/>
      <c r="H46" s="6"/>
      <c r="I46" s="6"/>
    </row>
    <row r="47" spans="4:9" ht="12.75">
      <c r="D47" s="52"/>
      <c r="E47" s="52"/>
      <c r="F47" s="53"/>
      <c r="G47" s="6"/>
      <c r="H47" s="6"/>
      <c r="I47" s="6"/>
    </row>
    <row r="48" spans="4:9" ht="12.75">
      <c r="D48" s="52"/>
      <c r="E48" s="52"/>
      <c r="F48" s="53"/>
      <c r="G48" s="6"/>
      <c r="H48" s="6"/>
      <c r="I48" s="6"/>
    </row>
    <row r="49" spans="4:9" ht="12.75">
      <c r="D49" s="6"/>
      <c r="E49" s="6"/>
      <c r="F49" s="53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</sheetData>
  <sheetProtection/>
  <mergeCells count="24">
    <mergeCell ref="N9:N10"/>
    <mergeCell ref="B13:C13"/>
    <mergeCell ref="I13:J13"/>
    <mergeCell ref="B9:C9"/>
    <mergeCell ref="D9:D10"/>
    <mergeCell ref="E9:E10"/>
    <mergeCell ref="F9:F10"/>
    <mergeCell ref="G9:G10"/>
    <mergeCell ref="I9:J9"/>
    <mergeCell ref="C15:F15"/>
    <mergeCell ref="J15:M15"/>
    <mergeCell ref="C16:G16"/>
    <mergeCell ref="B17:F17"/>
    <mergeCell ref="K9:K10"/>
    <mergeCell ref="L9:L10"/>
    <mergeCell ref="M9:M10"/>
    <mergeCell ref="D26:F26"/>
    <mergeCell ref="D27:F27"/>
    <mergeCell ref="D19:F19"/>
    <mergeCell ref="D21:G21"/>
    <mergeCell ref="D22:F22"/>
    <mergeCell ref="D23:F23"/>
    <mergeCell ref="D24:F24"/>
    <mergeCell ref="D25:F25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Adam Scott</cp:lastModifiedBy>
  <cp:lastPrinted>2018-11-16T17:06:03Z</cp:lastPrinted>
  <dcterms:created xsi:type="dcterms:W3CDTF">2001-04-18T20:04:07Z</dcterms:created>
  <dcterms:modified xsi:type="dcterms:W3CDTF">2021-09-14T17:41:59Z</dcterms:modified>
  <cp:category/>
  <cp:version/>
  <cp:contentType/>
  <cp:contentStatus/>
</cp:coreProperties>
</file>