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Aug 21" sheetId="1" r:id="rId1"/>
  </sheets>
  <definedNames>
    <definedName name="_xlnm.Print_Area" localSheetId="0">'Aug 21'!$A$1:$H$56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<sst xmlns="http://schemas.openxmlformats.org/spreadsheetml/2006/main" count="136" uniqueCount="106">
  <si>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</si>
  <si>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</si>
  <si>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</si>
  <si>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</si>
  <si>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</si>
  <si>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</si>
  <si>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</si>
  <si>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</si>
  <si>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</si>
  <si>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</si>
  <si>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</si>
  <si>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</si>
  <si>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</si>
  <si>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</si>
  <si>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</si>
  <si>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</si>
  <si>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</si>
  <si>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</si>
  <si>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</si>
  <si>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</si>
  <si>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</si>
  <si>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</si>
  <si>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</si>
  <si>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</si>
  <si>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</si>
  <si>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</si>
  <si>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</si>
  <si>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</si>
  <si>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</si>
  <si>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</si>
  <si>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</si>
  <si>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</si>
  <si>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</si>
  <si>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</si>
  <si>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</si>
  <si>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</si>
  <si>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</si>
  <si>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</si>
  <si>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</si>
  <si>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</si>
  <si>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</si>
  <si>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</si>
  <si>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</si>
  <si>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</si>
  <si>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</si>
  <si>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</si>
  <si>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</si>
  <si>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</si>
  <si>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</si>
  <si>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</si>
  <si>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</si>
  <si>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</si>
  <si>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</si>
  <si>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</si>
  <si>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</si>
  <si>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</si>
  <si>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</si>
  <si>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</si>
  <si>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</si>
  <si>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</si>
  <si>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</si>
  <si>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</si>
  <si>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</si>
  <si>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</si>
  <si>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</si>
  <si>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</si>
  <si>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</si>
  <si>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</si>
  <si>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</si>
  <si>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</si>
  <si>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</si>
  <si>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</si>
  <si>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</si>
  <si>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</si>
  <si>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</si>
  <si>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</si>
  <si>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</si>
  <si>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</si>
  <si>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</si>
  <si>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</si>
  <si>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</si>
  <si>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</si>
  <si>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</si>
  <si>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</si>
  <si>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</si>
  <si>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</si>
  <si>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</si>
  <si>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</si>
  <si>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</si>
  <si>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</si>
  <si>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</si>
  <si>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</si>
  <si>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</si>
  <si>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</si>
  <si>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</si>
  <si>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</si>
  <si>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</si>
  <si>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</si>
  <si>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</si>
  <si>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</si>
  <si>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</si>
  <si>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</si>
  <si>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</si>
  <si>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08/01/2021</t>
  </si>
  <si>
    <t>COLUMBIA GAS TRANSMISSION RATES EFFECTIVE 08/01/2021</t>
  </si>
  <si>
    <t>COLUMBIA GULF CORPORATION RATES EFFECTIVE 08/01/2021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</si>
</sst>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u val="single"/>
      <sz val="10"/>
      <color indexed="8"/>
      <name val="MS Sans Serif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u val="single"/>
      <sz val="10"/>
      <color theme="1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38" fontId="4" fillId="0" borderId="0" xfId="43" applyFont="1" applyAlignment="1">
      <alignment horizontal="center"/>
    </xf>
    <xf numFmtId="0" fontId="1" fillId="0" borderId="0" xfId="0" applyFont="1" applyAlignment="1" quotePrefix="1">
      <alignment horizontal="left"/>
    </xf>
    <xf numFmtId="38" fontId="4" fillId="0" borderId="0" xfId="43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left"/>
    </xf>
    <xf numFmtId="38" fontId="6" fillId="0" borderId="0" xfId="43" applyFont="1" applyBorder="1" applyAlignment="1">
      <alignment horizontal="center"/>
    </xf>
    <xf numFmtId="38" fontId="6" fillId="0" borderId="0" xfId="43" applyFont="1" applyFill="1" applyBorder="1" applyAlignment="1">
      <alignment horizontal="center"/>
    </xf>
    <xf numFmtId="38" fontId="46" fillId="0" borderId="0" xfId="43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165" fontId="46" fillId="0" borderId="0" xfId="45" applyNumberFormat="1" applyFont="1" applyFill="1" applyAlignment="1">
      <alignment/>
    </xf>
    <xf numFmtId="5" fontId="46" fillId="0" borderId="0" xfId="0" applyNumberFormat="1" applyFont="1" applyFill="1" applyAlignment="1">
      <alignment/>
    </xf>
    <xf numFmtId="164" fontId="46" fillId="0" borderId="0" xfId="45" applyNumberFormat="1" applyFont="1" applyFill="1" applyAlignment="1">
      <alignment/>
    </xf>
    <xf numFmtId="164" fontId="46" fillId="0" borderId="0" xfId="0" applyNumberFormat="1" applyFont="1" applyFill="1" applyAlignment="1">
      <alignment/>
    </xf>
    <xf numFmtId="5" fontId="46" fillId="0" borderId="10" xfId="0" applyNumberFormat="1" applyFont="1" applyFill="1" applyBorder="1" applyAlignment="1">
      <alignment/>
    </xf>
    <xf numFmtId="5" fontId="46" fillId="0" borderId="0" xfId="0" applyNumberFormat="1" applyFont="1" applyFill="1" applyBorder="1" applyAlignment="1">
      <alignment/>
    </xf>
    <xf numFmtId="5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6" fillId="0" borderId="0" xfId="0" applyNumberFormat="1" applyFont="1" applyAlignment="1">
      <alignment/>
    </xf>
    <xf numFmtId="5" fontId="47" fillId="0" borderId="11" xfId="0" applyNumberFormat="1" applyFont="1" applyBorder="1" applyAlignment="1">
      <alignment/>
    </xf>
    <xf numFmtId="5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5" fontId="46" fillId="0" borderId="10" xfId="0" applyNumberFormat="1" applyFont="1" applyBorder="1" applyAlignment="1">
      <alignment/>
    </xf>
    <xf numFmtId="5" fontId="48" fillId="0" borderId="11" xfId="0" applyNumberFormat="1" applyFont="1" applyBorder="1" applyAlignment="1">
      <alignment/>
    </xf>
    <xf numFmtId="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38" fontId="46" fillId="0" borderId="12" xfId="43" applyFont="1" applyFill="1" applyBorder="1" applyAlignment="1">
      <alignment/>
    </xf>
    <xf numFmtId="38" fontId="46" fillId="0" borderId="0" xfId="43" applyFont="1" applyBorder="1" applyAlignment="1">
      <alignment/>
    </xf>
    <xf numFmtId="0" fontId="46" fillId="0" borderId="12" xfId="0" applyFont="1" applyFill="1" applyBorder="1" applyAlignment="1">
      <alignment/>
    </xf>
    <xf numFmtId="38" fontId="46" fillId="0" borderId="0" xfId="43" applyFont="1" applyBorder="1" applyAlignment="1">
      <alignment horizontal="center"/>
    </xf>
    <xf numFmtId="5" fontId="49" fillId="0" borderId="0" xfId="0" applyNumberFormat="1" applyFont="1" applyAlignment="1">
      <alignment/>
    </xf>
    <xf numFmtId="5" fontId="50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38" fontId="46" fillId="0" borderId="0" xfId="43" applyNumberFormat="1" applyFont="1" applyFill="1" applyAlignment="1">
      <alignment/>
    </xf>
    <xf numFmtId="38" fontId="46" fillId="0" borderId="0" xfId="43" applyNumberFormat="1" applyFont="1" applyFill="1" applyBorder="1" applyAlignment="1">
      <alignment/>
    </xf>
    <xf numFmtId="38" fontId="46" fillId="0" borderId="0" xfId="43" applyNumberFormat="1" applyFont="1" applyAlignment="1">
      <alignment/>
    </xf>
    <xf numFmtId="38" fontId="46" fillId="0" borderId="0" xfId="43" applyNumberFormat="1" applyFont="1" applyBorder="1" applyAlignment="1">
      <alignment/>
    </xf>
    <xf numFmtId="38" fontId="46" fillId="0" borderId="0" xfId="0" applyNumberFormat="1" applyFont="1" applyAlignment="1">
      <alignment/>
    </xf>
    <xf numFmtId="38" fontId="4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28">
      <selection activeCell="D7" sqref="D7:D54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0" max="10" width="9.140625" style="39" customWidth="1"/>
    <col min="11" max="11" width="16.140625" style="39" bestFit="1" customWidth="1"/>
    <col min="12" max="14" width="9.140625" style="39" customWidth="1"/>
  </cols>
  <sheetData>
    <row r="1" spans="1:8" ht="12" customHeight="1">
      <c r="A1" s="15">
        <f ca="1">NOW()</f>
        <v>44365.518419328706</v>
      </c>
      <c r="H1" s="8" t="s">
        <v>0</v>
      </c>
    </row>
    <row r="2" spans="2:8" ht="12" customHeight="1">
      <c r="B2" s="10"/>
      <c r="H2" s="8" t="s">
        <v>96</v>
      </c>
    </row>
    <row r="3" spans="1:15" ht="12" customHeight="1">
      <c r="A3" s="16" t="s">
        <v>103</v>
      </c>
      <c r="B3" s="6"/>
      <c r="C3" s="1"/>
      <c r="D3" s="1"/>
      <c r="E3" s="1"/>
      <c r="F3" s="1"/>
      <c r="G3" s="1"/>
      <c r="H3" s="1"/>
      <c r="I3" s="1"/>
      <c r="J3" s="40" t="s">
        <v>1</v>
      </c>
      <c r="M3" s="41">
        <v>78217</v>
      </c>
      <c r="N3" s="40" t="s">
        <v>2</v>
      </c>
      <c r="O3" s="17"/>
    </row>
    <row r="4" spans="1:14" ht="12" customHeight="1">
      <c r="A4" s="6"/>
      <c r="B4" s="6"/>
      <c r="C4" s="1"/>
      <c r="D4" s="1"/>
      <c r="E4" s="1"/>
      <c r="F4" s="1"/>
      <c r="G4" s="1"/>
      <c r="H4" s="1"/>
      <c r="I4" s="1"/>
      <c r="J4" s="40"/>
      <c r="M4" s="42"/>
      <c r="N4" s="40"/>
    </row>
    <row r="5" spans="1:13" ht="12" customHeight="1">
      <c r="A5" s="1"/>
      <c r="B5" s="1"/>
      <c r="C5" s="1"/>
      <c r="D5" s="2" t="s">
        <v>2</v>
      </c>
      <c r="E5" s="2" t="s">
        <v>3</v>
      </c>
      <c r="F5" s="2"/>
      <c r="G5" s="2"/>
      <c r="H5" s="2" t="s">
        <v>97</v>
      </c>
      <c r="I5" s="1"/>
      <c r="J5" s="40" t="s">
        <v>98</v>
      </c>
      <c r="L5" s="43">
        <v>0.147642972</v>
      </c>
      <c r="M5" s="44"/>
    </row>
    <row r="6" spans="1:10" ht="12" customHeight="1">
      <c r="A6" s="1"/>
      <c r="B6" s="1"/>
      <c r="C6" s="1"/>
      <c r="D6" s="4" t="s">
        <v>4</v>
      </c>
      <c r="E6" s="2" t="s">
        <v>5</v>
      </c>
      <c r="F6" s="2"/>
      <c r="G6" s="2" t="s">
        <v>6</v>
      </c>
      <c r="H6" s="2" t="s">
        <v>7</v>
      </c>
      <c r="I6" s="1"/>
      <c r="J6" s="40"/>
    </row>
    <row r="7" spans="1:10" ht="12" customHeight="1">
      <c r="A7" s="3" t="s">
        <v>8</v>
      </c>
      <c r="B7" s="1"/>
      <c r="C7" s="12" t="s">
        <v>9</v>
      </c>
      <c r="D7" s="48">
        <f>(18219+263+15000)*L5</f>
        <v>4943.381988504</v>
      </c>
      <c r="E7" s="19" t="s">
        <v>10</v>
      </c>
      <c r="F7" s="7" t="s">
        <v>11</v>
      </c>
      <c r="G7" s="24">
        <v>13.6529</v>
      </c>
      <c r="H7" s="25">
        <f aca="true" t="shared" si="0" ref="H7:H16">D7*G7</f>
        <v>67491.49995084626</v>
      </c>
      <c r="I7" s="1"/>
      <c r="J7" s="40"/>
    </row>
    <row r="8" spans="1:11" ht="12" customHeight="1">
      <c r="A8" s="3" t="s">
        <v>12</v>
      </c>
      <c r="B8" s="1"/>
      <c r="C8" s="12" t="s">
        <v>13</v>
      </c>
      <c r="D8" s="48">
        <f>(88756+1287)*L5</f>
        <v>13294.216127796</v>
      </c>
      <c r="E8" s="19" t="s">
        <v>10</v>
      </c>
      <c r="F8" s="7" t="s">
        <v>14</v>
      </c>
      <c r="G8" s="24">
        <v>9.3276</v>
      </c>
      <c r="H8" s="25">
        <f t="shared" si="0"/>
        <v>124003.13035362998</v>
      </c>
      <c r="I8" s="1"/>
      <c r="J8" s="40" t="s">
        <v>99</v>
      </c>
      <c r="K8" s="45">
        <f>SUM(H7,H8,H11,H12,H13,H23,H26,H31,H34,H50)</f>
        <v>324631.88349961955</v>
      </c>
    </row>
    <row r="9" spans="1:11" ht="12" customHeight="1">
      <c r="A9" s="3" t="s">
        <v>15</v>
      </c>
      <c r="B9" s="1"/>
      <c r="C9" s="12" t="s">
        <v>16</v>
      </c>
      <c r="D9" s="49">
        <f>(M3-(511000*L5))*0.2711</f>
        <v>751.3377385987984</v>
      </c>
      <c r="E9" s="19" t="s">
        <v>17</v>
      </c>
      <c r="F9" s="7" t="s">
        <v>18</v>
      </c>
      <c r="G9" s="26">
        <v>0.0177</v>
      </c>
      <c r="H9" s="25">
        <f t="shared" si="0"/>
        <v>13.298677973198732</v>
      </c>
      <c r="I9" s="1"/>
      <c r="J9" s="40" t="s">
        <v>100</v>
      </c>
      <c r="K9" s="46">
        <f>SUM(H9,H10,H14,H15,H16,H17,H18,H19,H24,H25,H27,H32,H33,H35,H43,H44,H51,H52)</f>
        <v>67048.40833696985</v>
      </c>
    </row>
    <row r="10" spans="1:11" ht="12" customHeight="1">
      <c r="A10" s="3" t="s">
        <v>19</v>
      </c>
      <c r="B10" s="1"/>
      <c r="C10" s="12" t="s">
        <v>20</v>
      </c>
      <c r="D10" s="49">
        <f>(M3-(511000*L5))*0.7289</f>
        <v>2020.1035694011957</v>
      </c>
      <c r="E10" s="19" t="s">
        <v>17</v>
      </c>
      <c r="F10" s="7" t="s">
        <v>21</v>
      </c>
      <c r="G10" s="26">
        <v>0.0147</v>
      </c>
      <c r="H10" s="25">
        <f t="shared" si="0"/>
        <v>29.695522470197577</v>
      </c>
      <c r="I10" s="1"/>
      <c r="J10" s="40"/>
      <c r="K10" s="47">
        <f>SUM(K8:K9)</f>
        <v>391680.2918365894</v>
      </c>
    </row>
    <row r="11" spans="1:10" ht="12" customHeight="1">
      <c r="A11" s="3" t="s">
        <v>22</v>
      </c>
      <c r="B11" s="1"/>
      <c r="C11" s="12" t="s">
        <v>23</v>
      </c>
      <c r="D11" s="48">
        <f>2820*L5</f>
        <v>416.35318104000004</v>
      </c>
      <c r="E11" s="19" t="s">
        <v>10</v>
      </c>
      <c r="F11" s="7" t="s">
        <v>24</v>
      </c>
      <c r="G11" s="24">
        <f>G7</f>
        <v>13.6529</v>
      </c>
      <c r="H11" s="25">
        <f t="shared" si="0"/>
        <v>5684.428345421017</v>
      </c>
      <c r="I11" s="1"/>
      <c r="J11" s="40"/>
    </row>
    <row r="12" spans="1:10" ht="12" customHeight="1">
      <c r="A12" s="3" t="s">
        <v>25</v>
      </c>
      <c r="B12" s="1"/>
      <c r="C12" s="12" t="s">
        <v>26</v>
      </c>
      <c r="D12" s="48">
        <f>12096*L5</f>
        <v>1785.889389312</v>
      </c>
      <c r="E12" s="19" t="s">
        <v>10</v>
      </c>
      <c r="F12" s="7" t="s">
        <v>27</v>
      </c>
      <c r="G12" s="24">
        <f>G8</f>
        <v>9.3276</v>
      </c>
      <c r="H12" s="25">
        <f t="shared" si="0"/>
        <v>16658.061867746612</v>
      </c>
      <c r="I12" s="1"/>
      <c r="J12" s="40"/>
    </row>
    <row r="13" spans="1:10" ht="12" customHeight="1">
      <c r="A13" s="3" t="s">
        <v>28</v>
      </c>
      <c r="B13" s="1"/>
      <c r="C13" s="12" t="s">
        <v>29</v>
      </c>
      <c r="D13" s="48">
        <f>1884*L5</f>
        <v>278.15935924800004</v>
      </c>
      <c r="E13" s="19" t="s">
        <v>10</v>
      </c>
      <c r="F13" s="7" t="s">
        <v>30</v>
      </c>
      <c r="G13" s="24">
        <v>4.8611</v>
      </c>
      <c r="H13" s="25">
        <f t="shared" si="0"/>
        <v>1352.160461240453</v>
      </c>
      <c r="I13" s="1"/>
      <c r="J13" s="40"/>
    </row>
    <row r="14" spans="1:10" ht="12" customHeight="1">
      <c r="A14" s="3" t="s">
        <v>31</v>
      </c>
      <c r="B14" s="1"/>
      <c r="C14" s="12" t="s">
        <v>32</v>
      </c>
      <c r="D14" s="49">
        <f>(235*365)*L5</f>
        <v>12664.0759233</v>
      </c>
      <c r="E14" s="19" t="s">
        <v>17</v>
      </c>
      <c r="F14" s="7" t="s">
        <v>33</v>
      </c>
      <c r="G14" s="26">
        <f>G9</f>
        <v>0.0177</v>
      </c>
      <c r="H14" s="25">
        <f t="shared" si="0"/>
        <v>224.15414384241</v>
      </c>
      <c r="I14" s="1"/>
      <c r="J14" s="40"/>
    </row>
    <row r="15" spans="1:10" ht="12" customHeight="1">
      <c r="A15" s="3" t="s">
        <v>34</v>
      </c>
      <c r="B15" s="1"/>
      <c r="C15" s="12" t="s">
        <v>35</v>
      </c>
      <c r="D15" s="49">
        <f>(1008*365)*L5</f>
        <v>54320.80225824</v>
      </c>
      <c r="E15" s="19" t="s">
        <v>17</v>
      </c>
      <c r="F15" s="7" t="s">
        <v>36</v>
      </c>
      <c r="G15" s="26">
        <f>G10</f>
        <v>0.0147</v>
      </c>
      <c r="H15" s="25">
        <f t="shared" si="0"/>
        <v>798.515793196128</v>
      </c>
      <c r="I15" s="1"/>
      <c r="J15" s="40"/>
    </row>
    <row r="16" spans="1:10" ht="12" customHeight="1">
      <c r="A16" s="3" t="s">
        <v>37</v>
      </c>
      <c r="B16" s="1"/>
      <c r="C16" s="12" t="s">
        <v>38</v>
      </c>
      <c r="D16" s="49">
        <f>(157*365)*L5</f>
        <v>8460.68051046</v>
      </c>
      <c r="E16" s="19" t="s">
        <v>17</v>
      </c>
      <c r="F16" s="7" t="s">
        <v>39</v>
      </c>
      <c r="G16" s="26">
        <v>0.0026</v>
      </c>
      <c r="H16" s="25">
        <f t="shared" si="0"/>
        <v>21.997769327196</v>
      </c>
      <c r="I16" s="1"/>
      <c r="J16" s="40"/>
    </row>
    <row r="17" spans="1:10" ht="12" customHeight="1">
      <c r="A17" s="3" t="s">
        <v>40</v>
      </c>
      <c r="B17" s="1"/>
      <c r="C17" s="12" t="s">
        <v>41</v>
      </c>
      <c r="D17" s="49">
        <f>(M3-(511000*L5))*0.2711+((235*365)*L5)</f>
        <v>13415.4136618988</v>
      </c>
      <c r="E17" s="19" t="s">
        <v>17</v>
      </c>
      <c r="F17" s="7" t="s">
        <v>42</v>
      </c>
      <c r="G17" s="27">
        <f>H17/D17</f>
        <v>0.07489565376708388</v>
      </c>
      <c r="H17" s="25">
        <v>1004.7561767637793</v>
      </c>
      <c r="I17" s="1"/>
      <c r="J17" s="40"/>
    </row>
    <row r="18" spans="1:10" ht="12" customHeight="1">
      <c r="A18" s="3" t="s">
        <v>43</v>
      </c>
      <c r="B18" s="1"/>
      <c r="C18" s="12" t="s">
        <v>44</v>
      </c>
      <c r="D18" s="49">
        <f>(M3-(511000*L5))*0.7289+((1008*365)*L5)</f>
        <v>56340.905827641196</v>
      </c>
      <c r="E18" s="19" t="s">
        <v>17</v>
      </c>
      <c r="F18" s="7" t="s">
        <v>45</v>
      </c>
      <c r="G18" s="27">
        <f>H18/D18</f>
        <v>0.06064425406241611</v>
      </c>
      <c r="H18" s="25">
        <v>3416.752207118133</v>
      </c>
      <c r="I18" s="1"/>
      <c r="J18" s="40"/>
    </row>
    <row r="19" spans="1:10" ht="12" customHeight="1">
      <c r="A19" s="3" t="s">
        <v>46</v>
      </c>
      <c r="B19" s="1"/>
      <c r="C19" s="12" t="s">
        <v>47</v>
      </c>
      <c r="D19" s="49">
        <f>(157*365)*L5</f>
        <v>8460.68051046</v>
      </c>
      <c r="E19" s="19" t="s">
        <v>17</v>
      </c>
      <c r="F19" s="7" t="s">
        <v>48</v>
      </c>
      <c r="G19" s="27">
        <f>H19/D19</f>
        <v>0.010006301920298655</v>
      </c>
      <c r="H19" s="28">
        <v>84.66012363884931</v>
      </c>
      <c r="J19" s="40"/>
    </row>
    <row r="20" spans="1:10" ht="12" customHeight="1">
      <c r="A20" s="3"/>
      <c r="B20" s="1"/>
      <c r="C20" s="12"/>
      <c r="D20" s="49"/>
      <c r="E20" s="19"/>
      <c r="F20" s="7"/>
      <c r="G20" s="27"/>
      <c r="H20" s="29"/>
      <c r="J20" s="40"/>
    </row>
    <row r="21" spans="1:10" ht="12" customHeight="1">
      <c r="A21" s="1" t="s">
        <v>49</v>
      </c>
      <c r="B21" s="1"/>
      <c r="C21" s="1"/>
      <c r="D21" s="50"/>
      <c r="E21" s="19"/>
      <c r="F21" s="5"/>
      <c r="G21" s="20"/>
      <c r="H21" s="30">
        <f>SUM(H7:H19)</f>
        <v>220783.11139321417</v>
      </c>
      <c r="I21" s="18"/>
      <c r="J21" s="40"/>
    </row>
    <row r="22" spans="1:10" ht="12" customHeight="1">
      <c r="A22" s="1"/>
      <c r="B22" s="1"/>
      <c r="C22" s="1"/>
      <c r="D22" s="50"/>
      <c r="E22" s="19"/>
      <c r="F22" s="5"/>
      <c r="G22" s="20"/>
      <c r="H22" s="31"/>
      <c r="J22" s="40"/>
    </row>
    <row r="23" spans="1:10" ht="12" customHeight="1">
      <c r="A23" s="3" t="s">
        <v>50</v>
      </c>
      <c r="B23" s="3"/>
      <c r="C23" s="12" t="s">
        <v>51</v>
      </c>
      <c r="D23" s="50">
        <f>(1524*12)*L5</f>
        <v>2700.0946719360004</v>
      </c>
      <c r="E23" s="19" t="s">
        <v>10</v>
      </c>
      <c r="F23" s="7" t="s">
        <v>52</v>
      </c>
      <c r="G23" s="32">
        <v>1.7824</v>
      </c>
      <c r="H23" s="30">
        <f>D23*G23</f>
        <v>4812.648743258727</v>
      </c>
      <c r="I23" s="1"/>
      <c r="J23" s="40"/>
    </row>
    <row r="24" spans="1:10" ht="12" customHeight="1">
      <c r="A24" s="3" t="s">
        <v>53</v>
      </c>
      <c r="B24" s="1"/>
      <c r="C24" s="12" t="s">
        <v>54</v>
      </c>
      <c r="D24" s="51">
        <f>186757*L5</f>
        <v>27573.358521804003</v>
      </c>
      <c r="E24" s="19" t="s">
        <v>17</v>
      </c>
      <c r="F24" s="7" t="s">
        <v>55</v>
      </c>
      <c r="G24" s="32">
        <v>0.0073</v>
      </c>
      <c r="H24" s="30">
        <f>D24*G24</f>
        <v>201.28551720916923</v>
      </c>
      <c r="I24" s="1"/>
      <c r="J24" s="40"/>
    </row>
    <row r="25" spans="1:10" ht="12" customHeight="1">
      <c r="A25" s="3" t="s">
        <v>56</v>
      </c>
      <c r="B25" s="1"/>
      <c r="C25" s="12" t="s">
        <v>57</v>
      </c>
      <c r="D25" s="51">
        <f>186757*L5</f>
        <v>27573.358521804003</v>
      </c>
      <c r="E25" s="19" t="s">
        <v>17</v>
      </c>
      <c r="F25" s="7" t="s">
        <v>58</v>
      </c>
      <c r="G25" s="32">
        <v>0.0073</v>
      </c>
      <c r="H25" s="30">
        <f>D25*G25</f>
        <v>201.28551720916923</v>
      </c>
      <c r="I25" s="1"/>
      <c r="J25" s="40"/>
    </row>
    <row r="26" spans="1:10" ht="12" customHeight="1">
      <c r="A26" s="3" t="s">
        <v>59</v>
      </c>
      <c r="B26" s="1"/>
      <c r="C26" s="12" t="s">
        <v>60</v>
      </c>
      <c r="D26" s="50">
        <f>(186757*12)*L5</f>
        <v>330880.302261648</v>
      </c>
      <c r="E26" s="19" t="s">
        <v>10</v>
      </c>
      <c r="F26" s="7" t="s">
        <v>61</v>
      </c>
      <c r="G26" s="32">
        <v>0.0181</v>
      </c>
      <c r="H26" s="30">
        <f>D26*G26</f>
        <v>5988.933470935829</v>
      </c>
      <c r="I26" s="1"/>
      <c r="J26" s="40"/>
    </row>
    <row r="27" spans="1:10" ht="12" customHeight="1">
      <c r="A27" s="3" t="s">
        <v>62</v>
      </c>
      <c r="B27" s="1"/>
      <c r="C27" s="12" t="s">
        <v>63</v>
      </c>
      <c r="D27" s="51">
        <f>186757*L5</f>
        <v>27573.358521804003</v>
      </c>
      <c r="E27" s="19" t="s">
        <v>17</v>
      </c>
      <c r="F27" s="7" t="s">
        <v>64</v>
      </c>
      <c r="G27" s="32">
        <f>H27/D27</f>
        <v>0.02213515273278188</v>
      </c>
      <c r="H27" s="28">
        <v>610.3405022358844</v>
      </c>
      <c r="J27" s="40"/>
    </row>
    <row r="28" spans="1:10" ht="12" customHeight="1">
      <c r="A28" s="1"/>
      <c r="B28" s="1"/>
      <c r="C28" s="1"/>
      <c r="D28" s="50"/>
      <c r="E28" s="19"/>
      <c r="F28" s="5"/>
      <c r="G28" s="20"/>
      <c r="H28" s="20"/>
      <c r="J28" s="40"/>
    </row>
    <row r="29" spans="1:10" ht="12" customHeight="1">
      <c r="A29" s="1" t="s">
        <v>49</v>
      </c>
      <c r="B29" s="1"/>
      <c r="C29" s="1"/>
      <c r="D29" s="50"/>
      <c r="E29" s="19"/>
      <c r="F29" s="5"/>
      <c r="G29" s="20"/>
      <c r="H29" s="30">
        <f>SUM(H23:H27)</f>
        <v>11814.49375084878</v>
      </c>
      <c r="I29" s="18"/>
      <c r="J29" s="40"/>
    </row>
    <row r="30" spans="1:10" ht="12" customHeight="1">
      <c r="A30" s="1"/>
      <c r="B30" s="1"/>
      <c r="C30" s="1"/>
      <c r="D30" s="50"/>
      <c r="E30" s="19"/>
      <c r="F30" s="5"/>
      <c r="G30" s="20"/>
      <c r="H30" s="20"/>
      <c r="J30" s="40"/>
    </row>
    <row r="31" spans="1:10" ht="12" customHeight="1">
      <c r="A31" s="3" t="s">
        <v>65</v>
      </c>
      <c r="B31" s="1"/>
      <c r="C31" s="12" t="s">
        <v>66</v>
      </c>
      <c r="D31" s="50">
        <f>(8636*12)*L5</f>
        <v>15300.536474304</v>
      </c>
      <c r="E31" s="19" t="s">
        <v>10</v>
      </c>
      <c r="F31" s="7" t="s">
        <v>67</v>
      </c>
      <c r="G31" s="32">
        <v>1.3094</v>
      </c>
      <c r="H31" s="30">
        <f>D31*G31</f>
        <v>20034.522459453656</v>
      </c>
      <c r="I31" s="1"/>
      <c r="J31" s="40"/>
    </row>
    <row r="32" spans="1:10" ht="12" customHeight="1">
      <c r="A32" s="3" t="s">
        <v>68</v>
      </c>
      <c r="B32" s="1"/>
      <c r="C32" s="12" t="s">
        <v>69</v>
      </c>
      <c r="D32" s="51">
        <f>387622*L5</f>
        <v>57229.664092584004</v>
      </c>
      <c r="E32" s="19" t="s">
        <v>17</v>
      </c>
      <c r="F32" s="7" t="s">
        <v>70</v>
      </c>
      <c r="G32" s="32">
        <v>0.0087</v>
      </c>
      <c r="H32" s="30">
        <f>D32*G32</f>
        <v>497.8980776054808</v>
      </c>
      <c r="I32" s="1"/>
      <c r="J32" s="40"/>
    </row>
    <row r="33" spans="1:10" ht="12" customHeight="1">
      <c r="A33" s="3" t="s">
        <v>71</v>
      </c>
      <c r="B33" s="1"/>
      <c r="C33" s="12" t="s">
        <v>72</v>
      </c>
      <c r="D33" s="51">
        <f>387622*L5</f>
        <v>57229.664092584004</v>
      </c>
      <c r="E33" s="19" t="s">
        <v>17</v>
      </c>
      <c r="F33" s="7" t="s">
        <v>73</v>
      </c>
      <c r="G33" s="32">
        <v>0.0087</v>
      </c>
      <c r="H33" s="30">
        <f>D33*G33</f>
        <v>497.8980776054808</v>
      </c>
      <c r="I33" s="1"/>
      <c r="J33" s="40"/>
    </row>
    <row r="34" spans="1:10" ht="12" customHeight="1">
      <c r="A34" s="3" t="s">
        <v>74</v>
      </c>
      <c r="B34" s="3"/>
      <c r="C34" s="12" t="s">
        <v>75</v>
      </c>
      <c r="D34" s="50">
        <f>(387622*12)*L5</f>
        <v>686755.9691110081</v>
      </c>
      <c r="E34" s="19" t="s">
        <v>10</v>
      </c>
      <c r="F34" s="7" t="s">
        <v>76</v>
      </c>
      <c r="G34" s="32">
        <v>0.0179</v>
      </c>
      <c r="H34" s="30">
        <f>D34*G34</f>
        <v>12292.931847087044</v>
      </c>
      <c r="I34" s="1"/>
      <c r="J34" s="40"/>
    </row>
    <row r="35" spans="1:10" ht="12" customHeight="1">
      <c r="A35" s="3" t="s">
        <v>77</v>
      </c>
      <c r="B35" s="3"/>
      <c r="C35" s="12" t="s">
        <v>78</v>
      </c>
      <c r="D35" s="51">
        <f>387622*L5</f>
        <v>57229.664092584004</v>
      </c>
      <c r="E35" s="19" t="s">
        <v>17</v>
      </c>
      <c r="F35" s="7" t="s">
        <v>79</v>
      </c>
      <c r="G35" s="32">
        <f>H35/D35</f>
        <v>0.026380250517151003</v>
      </c>
      <c r="H35" s="28">
        <v>1509.7328757747673</v>
      </c>
      <c r="I35" s="1"/>
      <c r="J35" s="40"/>
    </row>
    <row r="36" spans="1:10" ht="12" customHeight="1">
      <c r="A36" s="1"/>
      <c r="B36" s="1"/>
      <c r="C36" s="1"/>
      <c r="D36" s="52"/>
      <c r="E36" s="20"/>
      <c r="F36" s="1"/>
      <c r="G36" s="20"/>
      <c r="H36" s="20"/>
      <c r="I36" s="1"/>
      <c r="J36" s="40"/>
    </row>
    <row r="37" spans="1:10" ht="12" customHeight="1">
      <c r="A37" s="1" t="s">
        <v>49</v>
      </c>
      <c r="B37" s="1"/>
      <c r="C37" s="1"/>
      <c r="D37" s="50"/>
      <c r="E37" s="19"/>
      <c r="F37" s="5"/>
      <c r="G37" s="20"/>
      <c r="H37" s="30">
        <f>SUM(H31:H35)</f>
        <v>34832.98333752643</v>
      </c>
      <c r="I37" s="18"/>
      <c r="J37" s="40"/>
    </row>
    <row r="38" spans="1:10" ht="12" customHeight="1">
      <c r="A38" s="1"/>
      <c r="B38" s="1"/>
      <c r="C38" s="1"/>
      <c r="D38" s="52"/>
      <c r="E38" s="20"/>
      <c r="F38" s="1"/>
      <c r="G38" s="20"/>
      <c r="H38" s="20"/>
      <c r="I38" s="1"/>
      <c r="J38" s="40"/>
    </row>
    <row r="39" spans="1:10" ht="12" customHeight="1" thickBot="1">
      <c r="A39" s="13" t="s">
        <v>95</v>
      </c>
      <c r="B39" s="11"/>
      <c r="C39" s="11"/>
      <c r="D39" s="53"/>
      <c r="E39" s="21"/>
      <c r="F39" s="11"/>
      <c r="G39" s="21"/>
      <c r="H39" s="33">
        <f>H21+H29+H37</f>
        <v>267430.5884815894</v>
      </c>
      <c r="I39" s="18"/>
      <c r="J39" s="40"/>
    </row>
    <row r="40" spans="1:10" ht="12" customHeight="1" thickTop="1">
      <c r="A40" s="1"/>
      <c r="B40" s="1"/>
      <c r="C40" s="1"/>
      <c r="D40" s="52"/>
      <c r="E40" s="20"/>
      <c r="F40" s="1"/>
      <c r="G40" s="20"/>
      <c r="H40" s="34"/>
      <c r="I40" s="1"/>
      <c r="J40" s="40"/>
    </row>
    <row r="41" spans="1:10" ht="12" customHeight="1">
      <c r="A41" s="16" t="s">
        <v>104</v>
      </c>
      <c r="B41" s="6"/>
      <c r="C41" s="1"/>
      <c r="D41" s="52"/>
      <c r="E41" s="20"/>
      <c r="F41" s="1"/>
      <c r="G41" s="20"/>
      <c r="H41" s="20"/>
      <c r="I41" s="1"/>
      <c r="J41" s="40"/>
    </row>
    <row r="42" spans="1:10" ht="12" customHeight="1">
      <c r="A42" s="1"/>
      <c r="B42" s="1"/>
      <c r="C42" s="1"/>
      <c r="D42" s="52"/>
      <c r="E42" s="20"/>
      <c r="F42" s="1"/>
      <c r="G42" s="20"/>
      <c r="H42" s="20"/>
      <c r="I42" s="1"/>
      <c r="J42" s="40"/>
    </row>
    <row r="43" spans="1:10" ht="12" customHeight="1">
      <c r="A43" s="3" t="s">
        <v>80</v>
      </c>
      <c r="B43" s="3"/>
      <c r="C43" s="12" t="s">
        <v>81</v>
      </c>
      <c r="D43" s="51">
        <v>31350</v>
      </c>
      <c r="E43" s="22" t="s">
        <v>17</v>
      </c>
      <c r="F43" s="7" t="s">
        <v>82</v>
      </c>
      <c r="G43" s="27">
        <v>1.7783</v>
      </c>
      <c r="H43" s="30">
        <f>D43*G43</f>
        <v>55749.705</v>
      </c>
      <c r="I43" s="18"/>
      <c r="J43" s="40"/>
    </row>
    <row r="44" spans="1:10" ht="12" customHeight="1">
      <c r="A44" s="3" t="s">
        <v>83</v>
      </c>
      <c r="B44" s="9"/>
      <c r="C44" s="12" t="s">
        <v>84</v>
      </c>
      <c r="D44" s="51">
        <f>D43</f>
        <v>31350</v>
      </c>
      <c r="E44" s="19" t="s">
        <v>17</v>
      </c>
      <c r="F44" s="7" t="s">
        <v>85</v>
      </c>
      <c r="G44" s="32">
        <f>H44/D44</f>
        <v>0.054401998851674634</v>
      </c>
      <c r="H44" s="30">
        <v>1705.5026639999999</v>
      </c>
      <c r="I44" s="1"/>
      <c r="J44" s="40"/>
    </row>
    <row r="45" spans="1:10" ht="12" customHeight="1">
      <c r="A45" s="1"/>
      <c r="B45" s="1"/>
      <c r="C45" s="1"/>
      <c r="D45" s="51"/>
      <c r="E45" s="20"/>
      <c r="F45" s="1"/>
      <c r="G45" s="20"/>
      <c r="H45" s="20"/>
      <c r="I45" s="1"/>
      <c r="J45" s="40"/>
    </row>
    <row r="46" spans="1:10" ht="12" customHeight="1" thickBot="1">
      <c r="A46" s="13" t="s">
        <v>86</v>
      </c>
      <c r="B46" s="13"/>
      <c r="C46" s="11"/>
      <c r="D46" s="51"/>
      <c r="E46" s="21"/>
      <c r="F46" s="11"/>
      <c r="G46" s="21"/>
      <c r="H46" s="33">
        <f>SUM(H43:H44)</f>
        <v>57455.207664</v>
      </c>
      <c r="I46" s="18"/>
      <c r="J46" s="40"/>
    </row>
    <row r="47" spans="1:10" ht="12" customHeight="1" thickTop="1">
      <c r="A47" s="1"/>
      <c r="B47" s="1"/>
      <c r="C47" s="1"/>
      <c r="D47" s="51"/>
      <c r="E47" s="20"/>
      <c r="F47" s="1"/>
      <c r="G47" s="20"/>
      <c r="H47" s="35"/>
      <c r="I47" s="1"/>
      <c r="J47" s="40"/>
    </row>
    <row r="48" spans="1:10" ht="12" customHeight="1">
      <c r="A48" s="16" t="s">
        <v>105</v>
      </c>
      <c r="B48" s="6"/>
      <c r="C48" s="1"/>
      <c r="D48" s="51"/>
      <c r="E48" s="20"/>
      <c r="F48" s="1"/>
      <c r="G48" s="20"/>
      <c r="H48" s="20"/>
      <c r="I48" s="1"/>
      <c r="J48" s="40"/>
    </row>
    <row r="49" spans="1:10" ht="12" customHeight="1">
      <c r="A49" s="1"/>
      <c r="B49" s="1"/>
      <c r="C49" s="1"/>
      <c r="D49" s="51"/>
      <c r="E49" s="20"/>
      <c r="F49" s="1"/>
      <c r="G49" s="20"/>
      <c r="H49" s="20"/>
      <c r="I49" s="1"/>
      <c r="J49" s="40"/>
    </row>
    <row r="50" spans="1:10" ht="12" customHeight="1">
      <c r="A50" s="3" t="s">
        <v>101</v>
      </c>
      <c r="B50" s="3"/>
      <c r="C50" s="12" t="s">
        <v>87</v>
      </c>
      <c r="D50" s="51">
        <f>((4103+105+170)*12)/4</f>
        <v>13134</v>
      </c>
      <c r="E50" s="22" t="s">
        <v>10</v>
      </c>
      <c r="F50" s="7" t="s">
        <v>88</v>
      </c>
      <c r="G50" s="27">
        <v>5.049</v>
      </c>
      <c r="H50" s="30">
        <f>D50*G50</f>
        <v>66313.566</v>
      </c>
      <c r="I50" s="18"/>
      <c r="J50" s="40"/>
    </row>
    <row r="51" spans="1:10" ht="12" customHeight="1">
      <c r="A51" s="3" t="s">
        <v>102</v>
      </c>
      <c r="B51" s="1"/>
      <c r="C51" s="12" t="s">
        <v>89</v>
      </c>
      <c r="D51" s="51">
        <f>D43</f>
        <v>31350</v>
      </c>
      <c r="E51" s="22" t="s">
        <v>17</v>
      </c>
      <c r="F51" s="7" t="s">
        <v>90</v>
      </c>
      <c r="G51" s="27">
        <v>0.0109</v>
      </c>
      <c r="H51" s="30">
        <f>D51*G51</f>
        <v>341.715</v>
      </c>
      <c r="I51" s="17"/>
      <c r="J51" s="40"/>
    </row>
    <row r="52" spans="1:10" ht="12" customHeight="1">
      <c r="A52" s="3" t="s">
        <v>83</v>
      </c>
      <c r="B52" s="9"/>
      <c r="C52" s="12" t="s">
        <v>91</v>
      </c>
      <c r="D52" s="51">
        <f>D51</f>
        <v>31350</v>
      </c>
      <c r="E52" s="19" t="s">
        <v>17</v>
      </c>
      <c r="F52" s="7" t="s">
        <v>92</v>
      </c>
      <c r="G52" s="32">
        <f>H52/D52</f>
        <v>0.00444066</v>
      </c>
      <c r="H52" s="36">
        <f>(D52*0.4074)*G51</f>
        <v>139.214691</v>
      </c>
      <c r="I52" s="1"/>
      <c r="J52" s="40"/>
    </row>
    <row r="53" spans="1:10" ht="12" customHeight="1">
      <c r="A53" s="1"/>
      <c r="B53" s="1"/>
      <c r="C53" s="1"/>
      <c r="D53" s="51"/>
      <c r="E53" s="20"/>
      <c r="F53" s="1"/>
      <c r="G53" s="20"/>
      <c r="H53" s="20"/>
      <c r="I53" s="1"/>
      <c r="J53" s="40"/>
    </row>
    <row r="54" spans="1:10" ht="12" customHeight="1" thickBot="1">
      <c r="A54" s="11" t="s">
        <v>93</v>
      </c>
      <c r="B54" s="11"/>
      <c r="C54" s="11"/>
      <c r="D54" s="51"/>
      <c r="E54" s="21"/>
      <c r="F54" s="11"/>
      <c r="G54" s="21"/>
      <c r="H54" s="33">
        <f>H50+H51+H52</f>
        <v>66794.495691</v>
      </c>
      <c r="I54" s="18"/>
      <c r="J54" s="40"/>
    </row>
    <row r="55" spans="1:10" ht="12" customHeight="1" thickTop="1">
      <c r="A55" s="1"/>
      <c r="B55" s="1"/>
      <c r="C55" s="1"/>
      <c r="D55" s="1"/>
      <c r="E55" s="20"/>
      <c r="F55" s="1"/>
      <c r="G55" s="20"/>
      <c r="H55" s="20"/>
      <c r="I55" s="1"/>
      <c r="J55" s="40"/>
    </row>
    <row r="56" spans="1:10" ht="12" customHeight="1" thickBot="1">
      <c r="A56" s="14" t="s">
        <v>94</v>
      </c>
      <c r="B56" s="14"/>
      <c r="C56" s="14"/>
      <c r="D56" s="14"/>
      <c r="E56" s="23"/>
      <c r="F56" s="14"/>
      <c r="G56" s="23"/>
      <c r="H56" s="37">
        <f>H39+H46+H54</f>
        <v>391680.2918365894</v>
      </c>
      <c r="I56" s="18"/>
      <c r="J56" s="40"/>
    </row>
    <row r="57" spans="1:10" ht="12" customHeight="1" thickTop="1">
      <c r="A57" s="1"/>
      <c r="B57" s="1"/>
      <c r="C57" s="1"/>
      <c r="D57" s="1"/>
      <c r="E57" s="20"/>
      <c r="F57" s="1"/>
      <c r="G57" s="20"/>
      <c r="H57" s="20"/>
      <c r="I57" s="1"/>
      <c r="J57" s="40"/>
    </row>
    <row r="58" spans="1:10" ht="12" customHeight="1">
      <c r="A58" s="11"/>
      <c r="B58" s="1"/>
      <c r="C58" s="1"/>
      <c r="D58" s="1"/>
      <c r="E58" s="20"/>
      <c r="F58" s="1"/>
      <c r="G58" s="31"/>
      <c r="H58" s="38">
        <f>H46+H54</f>
        <v>124249.703355</v>
      </c>
      <c r="I58" s="1"/>
      <c r="J58" s="40"/>
    </row>
    <row r="59" spans="1:10" ht="12" customHeight="1">
      <c r="A59" s="1"/>
      <c r="B59" s="1"/>
      <c r="C59" s="1"/>
      <c r="D59" s="1"/>
      <c r="E59" s="20"/>
      <c r="F59" s="1"/>
      <c r="G59" s="20"/>
      <c r="H59" s="20"/>
      <c r="I59" s="1"/>
      <c r="J59" s="40"/>
    </row>
    <row r="60" spans="1:10" ht="12" customHeight="1">
      <c r="A60" s="1"/>
      <c r="B60" s="1"/>
      <c r="C60" s="1"/>
      <c r="D60" s="1"/>
      <c r="E60" s="20"/>
      <c r="F60" s="1"/>
      <c r="G60" s="1"/>
      <c r="H60" s="1"/>
      <c r="I60" s="1"/>
      <c r="J60" s="40"/>
    </row>
    <row r="61" spans="1:10" ht="12" customHeight="1">
      <c r="A61" s="1"/>
      <c r="B61" s="1"/>
      <c r="C61" s="1"/>
      <c r="D61" s="1"/>
      <c r="E61" s="20"/>
      <c r="F61" s="1"/>
      <c r="G61" s="1"/>
      <c r="H61" s="1"/>
      <c r="I61" s="1"/>
      <c r="J61" s="40"/>
    </row>
    <row r="62" spans="1:10" ht="12" customHeight="1">
      <c r="A62" s="1"/>
      <c r="B62" s="1"/>
      <c r="C62" s="1"/>
      <c r="D62" s="1"/>
      <c r="E62" s="20"/>
      <c r="F62" s="1"/>
      <c r="G62" s="1"/>
      <c r="H62" s="1"/>
      <c r="I62" s="1"/>
      <c r="J62" s="40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Andrea Schroeder</cp:lastModifiedBy>
  <cp:lastPrinted>2020-03-18T15:12:07Z</cp:lastPrinted>
  <dcterms:created xsi:type="dcterms:W3CDTF">1998-06-17T15:14:46Z</dcterms:created>
  <dcterms:modified xsi:type="dcterms:W3CDTF">2021-06-18T16:27:24Z</dcterms:modified>
  <cp:category/>
  <cp:version/>
  <cp:contentType/>
  <cp:contentStatus/>
</cp:coreProperties>
</file>