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 IRP/Discovery/STAFF POST HEARING DR/"/>
    </mc:Choice>
  </mc:AlternateContent>
  <xr:revisionPtr revIDLastSave="0" documentId="13_ncr:1_{BF9FA6A5-BB04-4D54-9CF7-1277E02A4EF0}" xr6:coauthVersionLast="47" xr6:coauthVersionMax="47" xr10:uidLastSave="{00000000-0000-0000-0000-000000000000}"/>
  <bookViews>
    <workbookView xWindow="-120" yWindow="-120" windowWidth="29040" windowHeight="15840" xr2:uid="{16E5089F-6376-49DC-8084-865337C1F0C5}"/>
  </bookViews>
  <sheets>
    <sheet name="Table B-2 (Energy before EE)" sheetId="1" r:id="rId1"/>
    <sheet name="Annual_summ" sheetId="3" r:id="rId2"/>
    <sheet name="Table B-2 (Energy after EE)" sheetId="2" r:id="rId3"/>
  </sheets>
  <externalReferences>
    <externalReference r:id="rId4"/>
    <externalReference r:id="rId5"/>
    <externalReference r:id="rId6"/>
    <externalReference r:id="rId7"/>
  </externalReferences>
  <definedNames>
    <definedName name="dr_summer">[1]DR_forecast!$B$15:$B$35</definedName>
    <definedName name="dr_winter">[1]DR_forecast!$C$15:$C$35</definedName>
    <definedName name="GR_anchor">Annual_summ!$A$3</definedName>
    <definedName name="MWH_noUEE">Annual_summ!$R$11:$R$31</definedName>
    <definedName name="MWH_wUEE">Annual_summ!$H$11:$H$31</definedName>
    <definedName name="peak_fcast_anchor">[1]mPeak!$B$4</definedName>
    <definedName name="peak_forecast_anchor">[2]mPeak_forecast!$B$4</definedName>
    <definedName name="_xlnm.Print_Area" localSheetId="2">'Table B-2 (Energy after EE)'!$A$1:$P$41</definedName>
    <definedName name="_xlnm.Print_Area" localSheetId="0">'Table B-2 (Energy before EE)'!$A$1:$P$43</definedName>
    <definedName name="Retail_Pk_2016">[3]FreqT_Mfcst_Pk!$D$8</definedName>
    <definedName name="s17_peakcast">[4]mPeak_Detail_spr17!$B$4</definedName>
    <definedName name="smr_peak_forecast">Annual_summ!$W$12:$W$31</definedName>
    <definedName name="Start_Com">[2]MLT_FOR_TEMPLATE!$N$4</definedName>
    <definedName name="start_IND">[2]MLT_FOR_TEMPLATE!$X$4</definedName>
    <definedName name="start_OPA">[2]MLT_FOR_TEMPLATE!$AI$4</definedName>
    <definedName name="start_peakcast">[4]mPeak_Detail!$B$4</definedName>
    <definedName name="Start_Res">[2]MLT_FOR_TEMPLATE!$D$4</definedName>
    <definedName name="Start_SL">[2]MLT_FOR_TEMPLATE!$AQ$4</definedName>
    <definedName name="wntr_Peak_Forecast">Annual_summ!$U$12:$U$31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D13" i="1"/>
  <c r="I12" i="1"/>
  <c r="G12" i="1"/>
  <c r="G11" i="1"/>
  <c r="F11" i="1"/>
  <c r="R14" i="3"/>
  <c r="R9" i="3"/>
  <c r="I11" i="1"/>
  <c r="E12" i="1"/>
  <c r="F12" i="1"/>
  <c r="E13" i="1"/>
  <c r="F13" i="1"/>
  <c r="I13" i="1"/>
  <c r="E14" i="1"/>
  <c r="F14" i="1"/>
  <c r="I14" i="1"/>
  <c r="D15" i="1"/>
  <c r="E15" i="1"/>
  <c r="F15" i="1"/>
  <c r="I15" i="1"/>
  <c r="D11" i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L13" i="3"/>
  <c r="L12" i="3" s="1"/>
  <c r="L11" i="3" s="1"/>
  <c r="L10" i="3" s="1"/>
  <c r="L9" i="3" s="1"/>
  <c r="E11" i="1" l="1"/>
  <c r="R12" i="3"/>
  <c r="R10" i="3"/>
  <c r="D12" i="1"/>
  <c r="R13" i="3"/>
  <c r="R11" i="3"/>
  <c r="D14" i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I16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C35" i="1" l="1"/>
  <c r="D35" i="1"/>
  <c r="E35" i="1"/>
  <c r="F35" i="1"/>
  <c r="J35" i="1"/>
  <c r="L35" i="1" s="1"/>
  <c r="C36" i="1"/>
  <c r="D36" i="1"/>
  <c r="J36" i="1" s="1"/>
  <c r="E36" i="1"/>
  <c r="F3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L36" i="1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9" i="2"/>
  <c r="L34" i="3"/>
  <c r="A34" i="3"/>
  <c r="L33" i="3"/>
  <c r="A33" i="3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3" i="2"/>
  <c r="F13" i="2"/>
  <c r="E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I43" i="1"/>
  <c r="G43" i="1"/>
  <c r="F43" i="1"/>
  <c r="E43" i="1"/>
  <c r="C14" i="1"/>
  <c r="J14" i="1" s="1"/>
  <c r="K14" i="1" s="1"/>
  <c r="J13" i="1"/>
  <c r="K13" i="1" s="1"/>
  <c r="J12" i="1"/>
  <c r="K12" i="1" s="1"/>
  <c r="J11" i="1"/>
  <c r="K11" i="1" s="1"/>
  <c r="L11" i="1" l="1"/>
  <c r="C15" i="1"/>
  <c r="C16" i="1" s="1"/>
  <c r="L12" i="1"/>
  <c r="L13" i="1"/>
  <c r="J11" i="2"/>
  <c r="D14" i="2"/>
  <c r="D13" i="2"/>
  <c r="J13" i="2" s="1"/>
  <c r="F14" i="2"/>
  <c r="E14" i="2"/>
  <c r="G14" i="2"/>
  <c r="J12" i="2"/>
  <c r="K12" i="2" s="1"/>
  <c r="J9" i="2"/>
  <c r="J21" i="2"/>
  <c r="K21" i="2" s="1"/>
  <c r="J16" i="2"/>
  <c r="J19" i="2"/>
  <c r="J22" i="2"/>
  <c r="J25" i="2"/>
  <c r="J31" i="2"/>
  <c r="J10" i="2"/>
  <c r="K10" i="2" s="1"/>
  <c r="J20" i="2"/>
  <c r="K20" i="2" s="1"/>
  <c r="J26" i="2"/>
  <c r="J32" i="2"/>
  <c r="J15" i="2"/>
  <c r="K15" i="2" s="1"/>
  <c r="J27" i="2"/>
  <c r="K27" i="2" s="1"/>
  <c r="J29" i="2"/>
  <c r="K29" i="2" s="1"/>
  <c r="J24" i="2"/>
  <c r="J17" i="2"/>
  <c r="K17" i="2" s="1"/>
  <c r="J30" i="2"/>
  <c r="K30" i="2" s="1"/>
  <c r="J23" i="2"/>
  <c r="J18" i="2"/>
  <c r="K18" i="2" s="1"/>
  <c r="M3" i="3"/>
  <c r="N3" i="3"/>
  <c r="D34" i="2"/>
  <c r="D41" i="2" s="1"/>
  <c r="O3" i="3"/>
  <c r="D33" i="2"/>
  <c r="P3" i="3"/>
  <c r="E33" i="2"/>
  <c r="Q3" i="3"/>
  <c r="F33" i="2"/>
  <c r="G33" i="2"/>
  <c r="L10" i="2"/>
  <c r="L12" i="2"/>
  <c r="L14" i="1"/>
  <c r="C17" i="1"/>
  <c r="J16" i="1"/>
  <c r="K16" i="1" s="1"/>
  <c r="J15" i="1"/>
  <c r="K15" i="1" s="1"/>
  <c r="K19" i="2" l="1"/>
  <c r="K32" i="2"/>
  <c r="K16" i="2"/>
  <c r="K11" i="2"/>
  <c r="L11" i="2" s="1"/>
  <c r="K23" i="2"/>
  <c r="L9" i="2"/>
  <c r="K9" i="2"/>
  <c r="K22" i="2"/>
  <c r="L23" i="2"/>
  <c r="L24" i="2"/>
  <c r="M24" i="2" s="1"/>
  <c r="K24" i="2"/>
  <c r="K31" i="2"/>
  <c r="K13" i="2"/>
  <c r="L13" i="2" s="1"/>
  <c r="K26" i="2"/>
  <c r="L26" i="2" s="1"/>
  <c r="K25" i="2"/>
  <c r="J14" i="2"/>
  <c r="F3" i="3"/>
  <c r="G34" i="2"/>
  <c r="E3" i="3"/>
  <c r="C3" i="3"/>
  <c r="E34" i="2"/>
  <c r="J33" i="2"/>
  <c r="D3" i="3"/>
  <c r="F34" i="2"/>
  <c r="L25" i="2"/>
  <c r="M25" i="2" s="1"/>
  <c r="L32" i="2"/>
  <c r="L19" i="2"/>
  <c r="M19" i="2" s="1"/>
  <c r="L31" i="2"/>
  <c r="M31" i="2" s="1"/>
  <c r="B3" i="3"/>
  <c r="J28" i="2" s="1"/>
  <c r="K28" i="2" s="1"/>
  <c r="L15" i="2"/>
  <c r="L29" i="2"/>
  <c r="M29" i="2" s="1"/>
  <c r="L18" i="2"/>
  <c r="M18" i="2" s="1"/>
  <c r="L21" i="2"/>
  <c r="M21" i="2" s="1"/>
  <c r="L30" i="2"/>
  <c r="M30" i="2" s="1"/>
  <c r="L22" i="2"/>
  <c r="M22" i="2" s="1"/>
  <c r="L17" i="2"/>
  <c r="M17" i="2" s="1"/>
  <c r="L27" i="2"/>
  <c r="M27" i="2" s="1"/>
  <c r="M23" i="2"/>
  <c r="L20" i="2"/>
  <c r="M20" i="2" s="1"/>
  <c r="L15" i="1"/>
  <c r="L16" i="1"/>
  <c r="C18" i="1"/>
  <c r="J17" i="1"/>
  <c r="K14" i="2" l="1"/>
  <c r="L14" i="2" s="1"/>
  <c r="M26" i="2"/>
  <c r="L16" i="2"/>
  <c r="K33" i="2"/>
  <c r="L33" i="2" s="1"/>
  <c r="M33" i="2" s="1"/>
  <c r="M15" i="2"/>
  <c r="M32" i="2"/>
  <c r="J34" i="2"/>
  <c r="K34" i="2" s="1"/>
  <c r="M15" i="1"/>
  <c r="L28" i="2"/>
  <c r="H3" i="3"/>
  <c r="M16" i="1"/>
  <c r="J18" i="1"/>
  <c r="C19" i="1"/>
  <c r="L17" i="1"/>
  <c r="M16" i="2" l="1"/>
  <c r="L34" i="2"/>
  <c r="M34" i="2" s="1"/>
  <c r="M28" i="2"/>
  <c r="M17" i="1"/>
  <c r="C20" i="1"/>
  <c r="J19" i="1"/>
  <c r="L18" i="1"/>
  <c r="M18" i="1" l="1"/>
  <c r="C21" i="1"/>
  <c r="J20" i="1"/>
  <c r="L19" i="1" l="1"/>
  <c r="M19" i="1" s="1"/>
  <c r="L20" i="1"/>
  <c r="J21" i="1"/>
  <c r="C22" i="1"/>
  <c r="M20" i="1" l="1"/>
  <c r="L21" i="1"/>
  <c r="C23" i="1"/>
  <c r="J22" i="1"/>
  <c r="M21" i="1" l="1"/>
  <c r="C24" i="1"/>
  <c r="J23" i="1"/>
  <c r="L22" i="1" l="1"/>
  <c r="M22" i="1" s="1"/>
  <c r="L23" i="1"/>
  <c r="C25" i="1"/>
  <c r="J24" i="1"/>
  <c r="M23" i="1" l="1"/>
  <c r="J25" i="1"/>
  <c r="C26" i="1"/>
  <c r="L24" i="1"/>
  <c r="M24" i="1" l="1"/>
  <c r="C27" i="1"/>
  <c r="J26" i="1"/>
  <c r="L25" i="1"/>
  <c r="M25" i="1" l="1"/>
  <c r="L26" i="1"/>
  <c r="C28" i="1"/>
  <c r="J27" i="1"/>
  <c r="M26" i="1" l="1"/>
  <c r="J28" i="1"/>
  <c r="C29" i="1"/>
  <c r="L27" i="1" l="1"/>
  <c r="M27" i="1" s="1"/>
  <c r="C30" i="1"/>
  <c r="J29" i="1"/>
  <c r="L28" i="1" l="1"/>
  <c r="M28" i="1" s="1"/>
  <c r="L29" i="1"/>
  <c r="C31" i="1"/>
  <c r="J30" i="1"/>
  <c r="M29" i="1" l="1"/>
  <c r="L30" i="1"/>
  <c r="J31" i="1"/>
  <c r="C32" i="1"/>
  <c r="M30" i="1" l="1"/>
  <c r="C33" i="1"/>
  <c r="J32" i="1"/>
  <c r="L31" i="1"/>
  <c r="L32" i="1" l="1"/>
  <c r="M31" i="1"/>
  <c r="C34" i="1"/>
  <c r="J33" i="1"/>
  <c r="M32" i="1" l="1"/>
  <c r="L33" i="1"/>
  <c r="J34" i="1"/>
  <c r="D43" i="1"/>
  <c r="M33" i="1" l="1"/>
  <c r="J43" i="1"/>
  <c r="L34" i="1"/>
  <c r="L43" i="1" s="1"/>
  <c r="K43" i="1" l="1"/>
  <c r="M34" i="1"/>
</calcChain>
</file>

<file path=xl/sharedStrings.xml><?xml version="1.0" encoding="utf-8"?>
<sst xmlns="http://schemas.openxmlformats.org/spreadsheetml/2006/main" count="69" uniqueCount="49">
  <si>
    <t>FIGURE B-1</t>
  </si>
  <si>
    <t>DUKE ENERGY KENTUCKY SYSTEM</t>
  </si>
  <si>
    <t>SERVICE AREA ENERGY FORECAST (MEGAWATT HOURS/YEAR)</t>
  </si>
  <si>
    <t>BEFORE EE</t>
  </si>
  <si>
    <t>Year</t>
  </si>
  <si>
    <t>Rural and Residential</t>
  </si>
  <si>
    <t>Commercial</t>
  </si>
  <si>
    <t>Industrial</t>
  </si>
  <si>
    <t>Steet-Hwy Lighting</t>
  </si>
  <si>
    <r>
      <t>Sales for Resale</t>
    </r>
    <r>
      <rPr>
        <vertAlign val="superscript"/>
        <sz val="11"/>
        <color theme="1"/>
        <rFont val="Calibri"/>
        <family val="2"/>
        <scheme val="minor"/>
      </rPr>
      <t>a</t>
    </r>
  </si>
  <si>
    <t>Other</t>
  </si>
  <si>
    <t>(1+2+3+4+5+6) Total Consumption</t>
  </si>
  <si>
    <r>
      <t>Losses and Unaccounted For</t>
    </r>
    <r>
      <rPr>
        <vertAlign val="superscript"/>
        <sz val="11"/>
        <color theme="1"/>
        <rFont val="Calibri"/>
        <family val="2"/>
        <scheme val="minor"/>
      </rPr>
      <t>b</t>
    </r>
  </si>
  <si>
    <t>(7+8)            Net Energy for Load</t>
  </si>
  <si>
    <t>NOTES</t>
  </si>
  <si>
    <t>check</t>
  </si>
  <si>
    <t>History is billed sales; Other = sum(OPA,ID,CU)</t>
  </si>
  <si>
    <t>For losses 2013-2017 Losses = (Total Consumption -CU)*(historical annual loss factor)</t>
  </si>
  <si>
    <t>For losses 2018 beyond:  Losses = (Total Consumption -CU)*0.0793</t>
  </si>
  <si>
    <t xml:space="preserve">(a) </t>
  </si>
  <si>
    <t>Sales for resale to municipals.</t>
  </si>
  <si>
    <t>(b)</t>
  </si>
  <si>
    <t>Transmission, transformer and other losses and energy unaccounted for.</t>
  </si>
  <si>
    <t>20 year gr</t>
  </si>
  <si>
    <t>FIGURE B-2</t>
  </si>
  <si>
    <r>
      <t>SERVICE AREA ENERGY FORECAST (MEGAWATT HOURS/YEAR)</t>
    </r>
    <r>
      <rPr>
        <vertAlign val="superscript"/>
        <sz val="10"/>
        <color theme="1"/>
        <rFont val="Calibri"/>
        <family val="2"/>
        <scheme val="minor"/>
      </rPr>
      <t>a</t>
    </r>
  </si>
  <si>
    <t>AFTER EE</t>
  </si>
  <si>
    <r>
      <t>Sales for Resale</t>
    </r>
    <r>
      <rPr>
        <vertAlign val="superscript"/>
        <sz val="10"/>
        <color theme="1"/>
        <rFont val="Calibri"/>
        <family val="2"/>
        <scheme val="minor"/>
      </rPr>
      <t>b</t>
    </r>
  </si>
  <si>
    <r>
      <t>Losses and Unaccounted For</t>
    </r>
    <r>
      <rPr>
        <vertAlign val="superscript"/>
        <sz val="10"/>
        <color theme="1"/>
        <rFont val="Calibri"/>
        <family val="2"/>
        <scheme val="minor"/>
      </rPr>
      <t>c</t>
    </r>
  </si>
  <si>
    <t>For losses 2014 beyond:  Losses = (Total Consumption -CU)*0.0793</t>
  </si>
  <si>
    <t>Includes EE Impacts</t>
  </si>
  <si>
    <t xml:space="preserve">(b) </t>
  </si>
  <si>
    <t>(c)</t>
  </si>
  <si>
    <t>History is billed; forecast is calendar.</t>
  </si>
  <si>
    <t>20-year GR</t>
  </si>
  <si>
    <t>**Spring 2021 Forecast, including UEE achievements</t>
  </si>
  <si>
    <t>**Spring 2021 Forecast, before deducting UEE achievements</t>
  </si>
  <si>
    <t>Res</t>
  </si>
  <si>
    <t>Com</t>
  </si>
  <si>
    <t>Ind</t>
  </si>
  <si>
    <t>OPA</t>
  </si>
  <si>
    <t>SL</t>
  </si>
  <si>
    <t>ID</t>
  </si>
  <si>
    <t>TOTAL</t>
  </si>
  <si>
    <t>CU</t>
  </si>
  <si>
    <t>Total w CU</t>
  </si>
  <si>
    <t>SL+ID</t>
  </si>
  <si>
    <t>History is calendar sales; Other = sum(OPA,ID,CU)</t>
  </si>
  <si>
    <t>check1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</si>
</sst>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6" fillId="0" borderId="0" xfId="0" applyFont="1"/>
    <xf numFmtId="10" fontId="0" fillId="0" borderId="0" xfId="0" applyNumberFormat="1"/>
    <xf numFmtId="0" fontId="0" fillId="0" borderId="0" xfId="0" quotePrefix="1"/>
    <xf numFmtId="165" fontId="0" fillId="3" borderId="0" xfId="1" applyNumberFormat="1" applyFont="1" applyFill="1"/>
    <xf numFmtId="2" fontId="7" fillId="0" borderId="0" xfId="1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166" fontId="7" fillId="0" borderId="0" xfId="0" applyNumberFormat="1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Passt\OneDrive%20-%20Duke%20Energy\Regulatory\KY%20IRP%20SPR18%20APPENDIX%20B_6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IRP%20SPR21%20Section%203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Bruns\AppData\Local\Microsoft\Windows\Temporary%20Internet%20Files\Content.Outlook\97V3AS84\DEI_2016_fall_peak_sales_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\wsfolders\DATA\NAM\pos9532\Documents\1%20-%20Phil\Z%20-%20Trash%20Floder\2017-09%20-%20Fall%20Update%20-%20Annual%20Peak%20comparison%20-%20NEW%20FORMAT-D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 RES Cust"/>
      <sheetName val="Load Factor"/>
      <sheetName val="Table B-1 (Energy before EE)"/>
      <sheetName val="Table B-2 (Energy after EE)"/>
      <sheetName val="Table B-3 Internal Peak no EE"/>
      <sheetName val="Table B-4 Internal Peak wEE"/>
      <sheetName val="Table B-3 Native Peak no EE"/>
      <sheetName val="Table B-4 Native Peak wEE"/>
      <sheetName val="Table B-5 Fcst Range noEE"/>
      <sheetName val="Table B-6 Fcst Range wEE"/>
      <sheetName val="Table B-7"/>
      <sheetName val="Table B-8"/>
      <sheetName val="Table B-9"/>
      <sheetName val="Table B-10"/>
      <sheetName val="Section 7 2a"/>
      <sheetName val="Section 7. (2) (b) (c)"/>
      <sheetName val="WNPeak"/>
      <sheetName val="mPeak"/>
      <sheetName val="DR_forecast"/>
    </sheetNames>
    <sheetDataSet>
      <sheetData sheetId="0"/>
      <sheetData sheetId="1"/>
      <sheetData sheetId="2"/>
      <sheetData sheetId="3">
        <row r="9">
          <cell r="D9">
            <v>1465360.77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I21">
            <v>869</v>
          </cell>
        </row>
      </sheetData>
      <sheetData sheetId="16"/>
      <sheetData sheetId="17">
        <row r="4">
          <cell r="B4">
            <v>706</v>
          </cell>
        </row>
      </sheetData>
      <sheetData sheetId="18">
        <row r="15">
          <cell r="B15">
            <v>34.154540410872265</v>
          </cell>
          <cell r="C15">
            <v>0.13</v>
          </cell>
        </row>
        <row r="16">
          <cell r="B16">
            <v>34.249625270097859</v>
          </cell>
          <cell r="C16">
            <v>1.6157835</v>
          </cell>
        </row>
        <row r="17">
          <cell r="B17">
            <v>35.353029074901464</v>
          </cell>
          <cell r="C17">
            <v>1.6157835</v>
          </cell>
        </row>
        <row r="18">
          <cell r="B18">
            <v>31.77942975878257</v>
          </cell>
          <cell r="C18">
            <v>1.6157835</v>
          </cell>
        </row>
        <row r="19">
          <cell r="B19">
            <v>33.022016471681354</v>
          </cell>
          <cell r="C19">
            <v>7.5403229999999999</v>
          </cell>
        </row>
        <row r="20">
          <cell r="B20">
            <v>33.022016471681354</v>
          </cell>
          <cell r="C20">
            <v>7.5403229999999999</v>
          </cell>
        </row>
        <row r="21">
          <cell r="B21">
            <v>33.022016471681354</v>
          </cell>
          <cell r="C21">
            <v>7.5403229999999999</v>
          </cell>
        </row>
        <row r="22">
          <cell r="B22">
            <v>33.022016471681354</v>
          </cell>
          <cell r="C22">
            <v>7.5403229999999999</v>
          </cell>
        </row>
        <row r="23">
          <cell r="B23">
            <v>33.022016471681354</v>
          </cell>
          <cell r="C23">
            <v>7.5403229999999999</v>
          </cell>
        </row>
        <row r="24">
          <cell r="B24">
            <v>33.022016471681354</v>
          </cell>
          <cell r="C24">
            <v>7.5403229999999999</v>
          </cell>
        </row>
        <row r="25">
          <cell r="B25">
            <v>33.022016471681354</v>
          </cell>
          <cell r="C25">
            <v>7.5403229999999999</v>
          </cell>
        </row>
        <row r="26">
          <cell r="B26">
            <v>33.022016471681354</v>
          </cell>
          <cell r="C26">
            <v>7.5403229999999999</v>
          </cell>
        </row>
        <row r="27">
          <cell r="B27">
            <v>33.022016471681354</v>
          </cell>
          <cell r="C27">
            <v>7.5403229999999999</v>
          </cell>
        </row>
        <row r="28">
          <cell r="B28">
            <v>33.022016471681354</v>
          </cell>
          <cell r="C28">
            <v>7.5403229999999999</v>
          </cell>
        </row>
        <row r="29">
          <cell r="B29">
            <v>33.022016471681354</v>
          </cell>
          <cell r="C29">
            <v>7.5403229999999999</v>
          </cell>
        </row>
        <row r="30">
          <cell r="B30">
            <v>33.022016471681354</v>
          </cell>
          <cell r="C30">
            <v>7.5403229999999999</v>
          </cell>
        </row>
        <row r="31">
          <cell r="B31">
            <v>33.022016471681354</v>
          </cell>
          <cell r="C31">
            <v>7.5403229999999999</v>
          </cell>
        </row>
        <row r="32">
          <cell r="B32">
            <v>33.022016471681354</v>
          </cell>
          <cell r="C32">
            <v>7.5403229999999999</v>
          </cell>
        </row>
        <row r="33">
          <cell r="B33">
            <v>33.022016471681354</v>
          </cell>
          <cell r="C33">
            <v>7.5403229999999999</v>
          </cell>
        </row>
        <row r="34">
          <cell r="B34">
            <v>33.022016471681354</v>
          </cell>
          <cell r="C34">
            <v>7.5403229999999999</v>
          </cell>
        </row>
        <row r="35">
          <cell r="B35">
            <v>33.022016471681354</v>
          </cell>
          <cell r="C35">
            <v>7.5403229999999999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A; 3B"/>
      <sheetName val="Fig 3-1; 3-2; 3-3"/>
      <sheetName val="Annual_summ"/>
      <sheetName val="SPR21_Historical_Sales"/>
      <sheetName val="Table 3-C"/>
      <sheetName val="Table 3-C (REV)"/>
      <sheetName val="MLT_FOR_TEMPLATE"/>
      <sheetName val="Peak_4cast_Possibly_Not_In_Use"/>
      <sheetName val="mPeak_forecast"/>
      <sheetName val="High_low"/>
    </sheetNames>
    <sheetDataSet>
      <sheetData sheetId="0"/>
      <sheetData sheetId="1"/>
      <sheetData sheetId="2">
        <row r="9">
          <cell r="M9">
            <v>1445887.14</v>
          </cell>
        </row>
      </sheetData>
      <sheetData sheetId="3">
        <row r="62">
          <cell r="E62">
            <v>364884.66</v>
          </cell>
        </row>
      </sheetData>
      <sheetData sheetId="4">
        <row r="16">
          <cell r="D16">
            <v>720</v>
          </cell>
        </row>
      </sheetData>
      <sheetData sheetId="5"/>
      <sheetData sheetId="6">
        <row r="4">
          <cell r="D4" t="str">
            <v/>
          </cell>
          <cell r="N4" t="str">
            <v/>
          </cell>
          <cell r="X4" t="str">
            <v/>
          </cell>
          <cell r="AI4" t="str">
            <v/>
          </cell>
          <cell r="AQ4" t="str">
            <v/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- History and IRP"/>
      <sheetName val="Peak Charts - SDI"/>
      <sheetName val="Peak Charts - NUCOR"/>
      <sheetName val="Peak Charts - System"/>
      <sheetName val="adjustments"/>
      <sheetName val="peak_forecast"/>
      <sheetName val="DEI_peak_IRP"/>
      <sheetName val="peak_archives_robertson"/>
      <sheetName val="graph_builder"/>
      <sheetName val="FreqT_Mfcst_Pk"/>
      <sheetName val="nucor_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D8">
            <v>5643.37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V New"/>
      <sheetName val="DEC"/>
      <sheetName val="DEP"/>
      <sheetName val="DEF"/>
      <sheetName val="DEI"/>
      <sheetName val="mPeak_Detail_spr17"/>
      <sheetName val="mPeak_Detail"/>
      <sheetName val="GR_compare"/>
      <sheetName val="WN_scratch"/>
      <sheetName val="DEO"/>
      <sheetName val="DEK"/>
      <sheetName val="DEC (orig)"/>
      <sheetName val="DEP(orig)"/>
      <sheetName val="DEF (orig)"/>
      <sheetName val="DEI(Orig)"/>
      <sheetName val="DEO (Orig)"/>
      <sheetName val="DEK (ORIG)"/>
      <sheetName val="DEC Compare to IRP and Sale"/>
      <sheetName val="DEP Compare to IRP and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>
            <v>3100.6803269607649</v>
          </cell>
        </row>
      </sheetData>
      <sheetData sheetId="6">
        <row r="4">
          <cell r="B4">
            <v>3069.7750955578281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E30E-2851-4B82-803B-0E915268DD89}">
  <sheetPr>
    <pageSetUpPr fitToPage="1"/>
  </sheetPr>
  <dimension ref="A2:AC43"/>
  <sheetViews>
    <sheetView tabSelected="1" view="pageLayout" zoomScaleNormal="85" workbookViewId="0">
      <selection activeCell="D11" sqref="D11"/>
    </sheetView>
  </sheetViews>
  <sheetFormatPr defaultRowHeight="15" x14ac:dyDescent="0.25"/>
  <cols>
    <col min="3" max="3" width="8.85546875" style="17"/>
    <col min="4" max="4" width="11.7109375" style="17" customWidth="1"/>
    <col min="5" max="5" width="12.140625" style="17" customWidth="1"/>
    <col min="6" max="6" width="8.85546875" style="17"/>
    <col min="7" max="7" width="10.7109375" style="17" customWidth="1"/>
    <col min="8" max="9" width="8.85546875" style="17"/>
    <col min="10" max="10" width="14.42578125" style="17" customWidth="1"/>
    <col min="11" max="11" width="17.7109375" style="17" customWidth="1"/>
    <col min="12" max="12" width="12.5703125" style="17" customWidth="1"/>
    <col min="14" max="14" width="77.28515625" bestFit="1" customWidth="1"/>
  </cols>
  <sheetData>
    <row r="2" spans="1:29" x14ac:dyDescent="0.25">
      <c r="B2" s="1"/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</row>
    <row r="3" spans="1:29" x14ac:dyDescent="0.25">
      <c r="B3" s="1"/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</row>
    <row r="4" spans="1:29" x14ac:dyDescent="0.25">
      <c r="B4" s="1"/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</row>
    <row r="5" spans="1:29" x14ac:dyDescent="0.25">
      <c r="B5" s="1"/>
      <c r="C5" s="27" t="s">
        <v>3</v>
      </c>
      <c r="D5" s="27"/>
      <c r="E5" s="27"/>
      <c r="F5" s="27"/>
      <c r="G5" s="27"/>
      <c r="H5" s="27"/>
      <c r="I5" s="27"/>
      <c r="J5" s="27"/>
      <c r="K5" s="27"/>
      <c r="L5" s="27"/>
      <c r="O5">
        <v>-2</v>
      </c>
    </row>
    <row r="6" spans="1:29" x14ac:dyDescent="0.25"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29" x14ac:dyDescent="0.25">
      <c r="B7" s="1"/>
      <c r="C7" s="2"/>
      <c r="D7" s="3">
        <v>-1</v>
      </c>
      <c r="E7" s="3">
        <v>-2</v>
      </c>
      <c r="F7" s="3">
        <v>-3</v>
      </c>
      <c r="G7" s="3">
        <v>-4</v>
      </c>
      <c r="H7" s="3">
        <v>-5</v>
      </c>
      <c r="I7" s="3">
        <v>-6</v>
      </c>
      <c r="J7" s="3">
        <v>-7</v>
      </c>
      <c r="K7" s="3">
        <v>-8</v>
      </c>
      <c r="L7" s="3">
        <v>-9</v>
      </c>
    </row>
    <row r="8" spans="1:29" s="5" customFormat="1" ht="50.25" customHeight="1" x14ac:dyDescent="0.25">
      <c r="A8"/>
      <c r="B8" s="4"/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N8" s="5" t="s">
        <v>14</v>
      </c>
      <c r="O8" s="24" t="s">
        <v>15</v>
      </c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B9" s="6"/>
      <c r="C9" s="7"/>
      <c r="D9" s="8"/>
      <c r="E9" s="8"/>
      <c r="F9" s="8"/>
      <c r="G9" s="8"/>
      <c r="H9" s="8"/>
      <c r="I9" s="8"/>
      <c r="J9" s="8"/>
      <c r="K9" s="8"/>
      <c r="L9" s="8"/>
      <c r="N9" t="s">
        <v>16</v>
      </c>
    </row>
    <row r="10" spans="1:29" x14ac:dyDescent="0.25"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</row>
    <row r="11" spans="1:29" x14ac:dyDescent="0.25">
      <c r="B11" s="6">
        <v>-5</v>
      </c>
      <c r="C11" s="7">
        <v>2015</v>
      </c>
      <c r="D11" s="8">
        <f>Annual_summ!M9</f>
        <v>1445887.14</v>
      </c>
      <c r="E11" s="8">
        <f>Annual_summ!N9</f>
        <v>1477900.0899999999</v>
      </c>
      <c r="F11" s="8">
        <f>Annual_summ!O9</f>
        <v>812522.1</v>
      </c>
      <c r="G11" s="8">
        <f>Annual_summ!F9</f>
        <v>15120.166000000001</v>
      </c>
      <c r="H11" s="8">
        <v>0</v>
      </c>
      <c r="I11" s="8">
        <f>Annual_summ!P9+Annual_summ!G9+Annual_summ!I9</f>
        <v>292528.37900000002</v>
      </c>
      <c r="J11" s="8">
        <f t="shared" ref="J11:J13" si="0">SUM(D11:I11)</f>
        <v>4043957.875</v>
      </c>
      <c r="K11" s="8">
        <f>(J11-Annual_summ!I9)*0.0793</f>
        <v>320627.4946875</v>
      </c>
      <c r="L11" s="8">
        <f>SUM(J11:K11)</f>
        <v>4364585.3696875004</v>
      </c>
      <c r="N11" t="s">
        <v>17</v>
      </c>
    </row>
    <row r="12" spans="1:29" x14ac:dyDescent="0.25">
      <c r="B12" s="6">
        <v>-4</v>
      </c>
      <c r="C12" s="7">
        <v>2016</v>
      </c>
      <c r="D12" s="8">
        <f>Annual_summ!M10</f>
        <v>1451681.67</v>
      </c>
      <c r="E12" s="8">
        <f>Annual_summ!N10</f>
        <v>1498287.42</v>
      </c>
      <c r="F12" s="8">
        <f>Annual_summ!O10</f>
        <v>818455.29</v>
      </c>
      <c r="G12" s="8">
        <f>Annual_summ!F10</f>
        <v>15263.851000000001</v>
      </c>
      <c r="H12" s="8">
        <v>0</v>
      </c>
      <c r="I12" s="8">
        <f>Annual_summ!P10+Annual_summ!G10+Annual_summ!I10</f>
        <v>296766.50099999999</v>
      </c>
      <c r="J12" s="8">
        <f t="shared" si="0"/>
        <v>4080454.7319999998</v>
      </c>
      <c r="K12" s="8">
        <f>(J12-Annual_summ!I10)*0.0793</f>
        <v>323525.02604759997</v>
      </c>
      <c r="L12" s="8">
        <f>SUM(J12:K12)</f>
        <v>4403979.7580475993</v>
      </c>
    </row>
    <row r="13" spans="1:29" x14ac:dyDescent="0.25">
      <c r="B13" s="6">
        <v>-3</v>
      </c>
      <c r="C13" s="7">
        <v>2017</v>
      </c>
      <c r="D13" s="8">
        <f>Annual_summ!M11</f>
        <v>1395234.04</v>
      </c>
      <c r="E13" s="8">
        <f>Annual_summ!N11</f>
        <v>1457929.19</v>
      </c>
      <c r="F13" s="8">
        <f>Annual_summ!O11</f>
        <v>812293.68</v>
      </c>
      <c r="G13" s="8">
        <f>Annual_summ!F11</f>
        <v>15076.635999999999</v>
      </c>
      <c r="H13" s="8">
        <v>0</v>
      </c>
      <c r="I13" s="8">
        <f>Annual_summ!P11+Annual_summ!G11+Annual_summ!I11</f>
        <v>283263.05199999997</v>
      </c>
      <c r="J13" s="8">
        <f t="shared" si="0"/>
        <v>3963796.5980000002</v>
      </c>
      <c r="K13" s="8">
        <f>(J13-Annual_summ!I11)*0.0793</f>
        <v>314274.82902140002</v>
      </c>
      <c r="L13" s="8">
        <f>SUM(J13:K13)</f>
        <v>4278071.4270214001</v>
      </c>
    </row>
    <row r="14" spans="1:29" x14ac:dyDescent="0.25">
      <c r="B14" s="6">
        <v>-2</v>
      </c>
      <c r="C14" s="7">
        <f t="shared" ref="C14:C36" si="1">C13+1</f>
        <v>2018</v>
      </c>
      <c r="D14" s="8">
        <f>Annual_summ!M12</f>
        <v>1568884.42</v>
      </c>
      <c r="E14" s="8">
        <f>Annual_summ!N12</f>
        <v>1489143.35</v>
      </c>
      <c r="F14" s="8">
        <f>Annual_summ!O12</f>
        <v>831845.55</v>
      </c>
      <c r="G14" s="8">
        <f>Annual_summ!F12</f>
        <v>14317.231</v>
      </c>
      <c r="H14" s="8">
        <v>0</v>
      </c>
      <c r="I14" s="8">
        <f>Annual_summ!P12+Annual_summ!G12+Annual_summ!I12</f>
        <v>292330.50299999997</v>
      </c>
      <c r="J14" s="8">
        <f t="shared" ref="J14:J34" si="2">SUM(D14:I14)</f>
        <v>4196521.0540000005</v>
      </c>
      <c r="K14" s="8">
        <f>(J14-Annual_summ!I12)*0.0793</f>
        <v>332722.56129190006</v>
      </c>
      <c r="L14" s="8">
        <f t="shared" ref="L14:L34" si="3">SUM(J14:K14)</f>
        <v>4529243.6152919009</v>
      </c>
      <c r="N14" t="s">
        <v>18</v>
      </c>
      <c r="O14" s="9"/>
      <c r="P14" s="9"/>
      <c r="R14" s="10"/>
    </row>
    <row r="15" spans="1:29" x14ac:dyDescent="0.25">
      <c r="B15" s="6">
        <v>-1</v>
      </c>
      <c r="C15" s="7">
        <f t="shared" si="1"/>
        <v>2019</v>
      </c>
      <c r="D15" s="8">
        <f>Annual_summ!M13</f>
        <v>1529903.4500000002</v>
      </c>
      <c r="E15" s="8">
        <f>Annual_summ!N13</f>
        <v>1475224.31</v>
      </c>
      <c r="F15" s="8">
        <f>Annual_summ!O13</f>
        <v>843415</v>
      </c>
      <c r="G15" s="8">
        <f>Annual_summ!F13</f>
        <v>13759.195000000002</v>
      </c>
      <c r="H15" s="8">
        <v>0</v>
      </c>
      <c r="I15" s="8">
        <f>Annual_summ!P13+Annual_summ!G13+Annual_summ!I13</f>
        <v>286577.315</v>
      </c>
      <c r="J15" s="8">
        <f t="shared" si="2"/>
        <v>4148879.27</v>
      </c>
      <c r="K15" s="8">
        <f>(J15-Annual_summ!I13)*0.0793</f>
        <v>328953.20097379998</v>
      </c>
      <c r="L15" s="8">
        <f t="shared" si="3"/>
        <v>4477832.4709737999</v>
      </c>
      <c r="M15" s="10">
        <f>K15/L15</f>
        <v>7.3462596715294731E-2</v>
      </c>
      <c r="N15" s="11"/>
      <c r="O15" s="9"/>
      <c r="P15" s="9"/>
      <c r="Q15" s="10"/>
      <c r="R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x14ac:dyDescent="0.25">
      <c r="B16" s="6">
        <v>0</v>
      </c>
      <c r="C16" s="7">
        <f t="shared" si="1"/>
        <v>2020</v>
      </c>
      <c r="D16" s="8">
        <f>Annual_summ!M14</f>
        <v>1494087.46</v>
      </c>
      <c r="E16" s="8">
        <f>Annual_summ!N14</f>
        <v>1469752.42</v>
      </c>
      <c r="F16" s="8">
        <f>Annual_summ!O14</f>
        <v>838398.44000000006</v>
      </c>
      <c r="G16" s="8">
        <f>Annual_summ!F14</f>
        <v>13826.707000000002</v>
      </c>
      <c r="H16" s="8">
        <v>0</v>
      </c>
      <c r="I16" s="8">
        <f>Annual_summ!P14+Annual_summ!G14+Annual_summ!I14</f>
        <v>281569.92499999999</v>
      </c>
      <c r="J16" s="8">
        <f t="shared" si="2"/>
        <v>4097634.9519999996</v>
      </c>
      <c r="K16" s="8">
        <f>(J16-Annual_summ!I14)*0.0793</f>
        <v>324892.84256519994</v>
      </c>
      <c r="L16" s="8">
        <f t="shared" si="3"/>
        <v>4422527.7945651999</v>
      </c>
      <c r="M16" s="10">
        <f>K16/L16</f>
        <v>7.3463154480217743E-2</v>
      </c>
      <c r="N16" s="11"/>
      <c r="O16" s="9"/>
      <c r="P16" s="9"/>
      <c r="Q16" s="10"/>
      <c r="R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x14ac:dyDescent="0.25">
      <c r="B17" s="6">
        <v>1</v>
      </c>
      <c r="C17" s="7">
        <f t="shared" si="1"/>
        <v>2021</v>
      </c>
      <c r="D17" s="8">
        <f>Annual_summ!M15</f>
        <v>1483075.3799999994</v>
      </c>
      <c r="E17" s="8">
        <f>Annual_summ!N15</f>
        <v>1441950.6500000001</v>
      </c>
      <c r="F17" s="8">
        <f>Annual_summ!O15</f>
        <v>816816.10000000021</v>
      </c>
      <c r="G17" s="8">
        <f>Annual_summ!F15</f>
        <v>13663.58</v>
      </c>
      <c r="H17" s="8">
        <v>0</v>
      </c>
      <c r="I17" s="8">
        <f>Annual_summ!P15+Annual_summ!G15+Annual_summ!I15</f>
        <v>227673.28</v>
      </c>
      <c r="J17" s="8">
        <f t="shared" si="2"/>
        <v>3983178.9899999993</v>
      </c>
      <c r="K17" s="8">
        <f>(J17-Annual_summ!I15)*0.0793</f>
        <v>315812.19528299989</v>
      </c>
      <c r="L17" s="8">
        <f t="shared" si="3"/>
        <v>4298991.1852829996</v>
      </c>
      <c r="M17" s="10">
        <f t="shared" ref="M17:M34" si="4">K17/L17</f>
        <v>7.3461931339645251E-2</v>
      </c>
      <c r="N17" s="11"/>
      <c r="O17" s="25">
        <v>0</v>
      </c>
      <c r="P17" s="9"/>
      <c r="Q17" s="10"/>
      <c r="R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2:29" x14ac:dyDescent="0.25">
      <c r="B18" s="6">
        <v>2</v>
      </c>
      <c r="C18" s="7">
        <f t="shared" si="1"/>
        <v>2022</v>
      </c>
      <c r="D18" s="8">
        <f>Annual_summ!M16</f>
        <v>1482005.0700000003</v>
      </c>
      <c r="E18" s="8">
        <f>Annual_summ!N16</f>
        <v>1413154.93</v>
      </c>
      <c r="F18" s="8">
        <f>Annual_summ!O16</f>
        <v>877839.44000000029</v>
      </c>
      <c r="G18" s="8">
        <f>Annual_summ!F16</f>
        <v>13616.87</v>
      </c>
      <c r="H18" s="8">
        <v>0</v>
      </c>
      <c r="I18" s="8">
        <f>Annual_summ!P16+Annual_summ!G16+Annual_summ!I16</f>
        <v>269903.26</v>
      </c>
      <c r="J18" s="8">
        <f t="shared" si="2"/>
        <v>4056519.5700000003</v>
      </c>
      <c r="K18" s="8">
        <f>(J18-Annual_summ!I16)*0.0793</f>
        <v>321628.10327700002</v>
      </c>
      <c r="L18" s="8">
        <f t="shared" si="3"/>
        <v>4378147.673277</v>
      </c>
      <c r="M18" s="10">
        <f t="shared" si="4"/>
        <v>7.3462141361774716E-2</v>
      </c>
      <c r="N18" s="11"/>
      <c r="O18" s="25">
        <v>0</v>
      </c>
      <c r="P18" s="9"/>
      <c r="Q18" s="10"/>
      <c r="R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2:29" x14ac:dyDescent="0.25">
      <c r="B19" s="6">
        <v>3</v>
      </c>
      <c r="C19" s="7">
        <f t="shared" si="1"/>
        <v>2023</v>
      </c>
      <c r="D19" s="8">
        <f>Annual_summ!M17</f>
        <v>1491382.7399999995</v>
      </c>
      <c r="E19" s="8">
        <f>Annual_summ!N17</f>
        <v>1417867.9799999995</v>
      </c>
      <c r="F19" s="8">
        <f>Annual_summ!O17</f>
        <v>950090.51000000024</v>
      </c>
      <c r="G19" s="8">
        <f>Annual_summ!F17</f>
        <v>13580.8</v>
      </c>
      <c r="H19" s="8">
        <v>0</v>
      </c>
      <c r="I19" s="8">
        <f>Annual_summ!P17+Annual_summ!G17+Annual_summ!I17</f>
        <v>272921.45999999996</v>
      </c>
      <c r="J19" s="8">
        <f t="shared" si="2"/>
        <v>4145843.4899999988</v>
      </c>
      <c r="K19" s="8">
        <f>(J19-Annual_summ!I17)*0.0793</f>
        <v>328711.4901329999</v>
      </c>
      <c r="L19" s="8">
        <f t="shared" si="3"/>
        <v>4474554.9801329989</v>
      </c>
      <c r="M19" s="10">
        <f t="shared" si="4"/>
        <v>7.3462387118378755E-2</v>
      </c>
      <c r="N19" s="11"/>
      <c r="O19" s="25">
        <v>0</v>
      </c>
      <c r="P19" s="9"/>
      <c r="Q19" s="10"/>
      <c r="R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2:29" x14ac:dyDescent="0.25">
      <c r="B20" s="6">
        <v>4</v>
      </c>
      <c r="C20" s="7">
        <f t="shared" si="1"/>
        <v>2024</v>
      </c>
      <c r="D20" s="8">
        <f>Annual_summ!M18</f>
        <v>1501878.2200000004</v>
      </c>
      <c r="E20" s="8">
        <f>Annual_summ!N18</f>
        <v>1427896.6200000006</v>
      </c>
      <c r="F20" s="8">
        <f>Annual_summ!O18</f>
        <v>954606.63000000024</v>
      </c>
      <c r="G20" s="8">
        <f>Annual_summ!F18</f>
        <v>13563.219999999998</v>
      </c>
      <c r="H20" s="8">
        <v>0</v>
      </c>
      <c r="I20" s="8">
        <f>Annual_summ!P18+Annual_summ!G18+Annual_summ!I18</f>
        <v>274447.63</v>
      </c>
      <c r="J20" s="8">
        <f t="shared" si="2"/>
        <v>4172392.3200000012</v>
      </c>
      <c r="K20" s="8">
        <f>(J20-Annual_summ!I18)*0.0793</f>
        <v>330816.81235200004</v>
      </c>
      <c r="L20" s="8">
        <f t="shared" si="3"/>
        <v>4503209.132352001</v>
      </c>
      <c r="M20" s="10">
        <f t="shared" si="4"/>
        <v>7.3462458133543587E-2</v>
      </c>
      <c r="N20" s="11"/>
      <c r="O20" s="25">
        <v>0</v>
      </c>
      <c r="P20" s="9"/>
      <c r="Q20" s="10"/>
      <c r="R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x14ac:dyDescent="0.25">
      <c r="B21" s="6">
        <v>5</v>
      </c>
      <c r="C21" s="7">
        <f t="shared" si="1"/>
        <v>2025</v>
      </c>
      <c r="D21" s="8">
        <f>Annual_summ!M19</f>
        <v>1529707.0599999996</v>
      </c>
      <c r="E21" s="8">
        <f>Annual_summ!N19</f>
        <v>1444041.2799999998</v>
      </c>
      <c r="F21" s="8">
        <f>Annual_summ!O19</f>
        <v>990323.63000000035</v>
      </c>
      <c r="G21" s="8">
        <f>Annual_summ!F19</f>
        <v>13548.6</v>
      </c>
      <c r="H21" s="8">
        <v>0</v>
      </c>
      <c r="I21" s="8">
        <f>Annual_summ!P19+Annual_summ!G19+Annual_summ!I19</f>
        <v>276368.57</v>
      </c>
      <c r="J21" s="8">
        <f t="shared" si="2"/>
        <v>4253989.1399999997</v>
      </c>
      <c r="K21" s="8">
        <f>(J21-Annual_summ!I19)*0.0793</f>
        <v>337287.44017799996</v>
      </c>
      <c r="L21" s="8">
        <f t="shared" si="3"/>
        <v>4591276.580178</v>
      </c>
      <c r="M21" s="10">
        <f t="shared" si="4"/>
        <v>7.3462670847183775E-2</v>
      </c>
      <c r="N21" s="11"/>
      <c r="O21" s="25">
        <v>0</v>
      </c>
      <c r="P21" s="9"/>
      <c r="Q21" s="10"/>
      <c r="R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2:29" x14ac:dyDescent="0.25">
      <c r="B22" s="6">
        <v>6</v>
      </c>
      <c r="C22" s="7">
        <f t="shared" si="1"/>
        <v>2026</v>
      </c>
      <c r="D22" s="8">
        <f>Annual_summ!M20</f>
        <v>1541613.2199999995</v>
      </c>
      <c r="E22" s="8">
        <f>Annual_summ!N20</f>
        <v>1441814.8200000003</v>
      </c>
      <c r="F22" s="8">
        <f>Annual_summ!O20</f>
        <v>990447.36</v>
      </c>
      <c r="G22" s="8">
        <f>Annual_summ!F20</f>
        <v>13534.46</v>
      </c>
      <c r="H22" s="8">
        <v>0</v>
      </c>
      <c r="I22" s="8">
        <f>Annual_summ!P20+Annual_summ!G20+Annual_summ!I20</f>
        <v>278527.64999999997</v>
      </c>
      <c r="J22" s="8">
        <f t="shared" si="2"/>
        <v>4265937.51</v>
      </c>
      <c r="K22" s="8">
        <f>(J22-Annual_summ!I20)*0.0793</f>
        <v>338234.94591899996</v>
      </c>
      <c r="L22" s="8">
        <f t="shared" si="3"/>
        <v>4604172.4559189994</v>
      </c>
      <c r="M22" s="10">
        <f t="shared" si="4"/>
        <v>7.3462701312192222E-2</v>
      </c>
      <c r="N22" s="11"/>
      <c r="O22" s="25">
        <v>0</v>
      </c>
      <c r="P22" s="9"/>
      <c r="Q22" s="10"/>
      <c r="R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2:29" x14ac:dyDescent="0.25">
      <c r="B23" s="6">
        <v>7</v>
      </c>
      <c r="C23" s="7">
        <f t="shared" si="1"/>
        <v>2027</v>
      </c>
      <c r="D23" s="8">
        <f>Annual_summ!M21</f>
        <v>1560889.24</v>
      </c>
      <c r="E23" s="8">
        <f>Annual_summ!N21</f>
        <v>1444497.36</v>
      </c>
      <c r="F23" s="8">
        <f>Annual_summ!O21</f>
        <v>992250.24000000034</v>
      </c>
      <c r="G23" s="8">
        <f>Annual_summ!F21</f>
        <v>13524.369999999999</v>
      </c>
      <c r="H23" s="8">
        <v>0</v>
      </c>
      <c r="I23" s="8">
        <f>Annual_summ!P21+Annual_summ!G21+Annual_summ!I21</f>
        <v>281285.39999999997</v>
      </c>
      <c r="J23" s="8">
        <f t="shared" si="2"/>
        <v>4292446.6100000003</v>
      </c>
      <c r="K23" s="8">
        <f>(J23-Annual_summ!I21)*0.0793</f>
        <v>340337.11754900002</v>
      </c>
      <c r="L23" s="8">
        <f t="shared" si="3"/>
        <v>4632783.7275490006</v>
      </c>
      <c r="M23" s="10">
        <f t="shared" si="4"/>
        <v>7.3462768297422168E-2</v>
      </c>
      <c r="N23" s="11"/>
      <c r="O23" s="25">
        <v>0</v>
      </c>
      <c r="P23" s="9"/>
      <c r="Q23" s="10"/>
      <c r="R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x14ac:dyDescent="0.25">
      <c r="B24" s="6">
        <v>8</v>
      </c>
      <c r="C24" s="7">
        <f t="shared" si="1"/>
        <v>2028</v>
      </c>
      <c r="D24" s="8">
        <f>Annual_summ!M22</f>
        <v>1579030.9999999998</v>
      </c>
      <c r="E24" s="8">
        <f>Annual_summ!N22</f>
        <v>1448601.5099999995</v>
      </c>
      <c r="F24" s="8">
        <f>Annual_summ!O22</f>
        <v>997046.6</v>
      </c>
      <c r="G24" s="8">
        <f>Annual_summ!F22</f>
        <v>13515.870000000003</v>
      </c>
      <c r="H24" s="8">
        <v>0</v>
      </c>
      <c r="I24" s="8">
        <f>Annual_summ!P22+Annual_summ!G22+Annual_summ!I22</f>
        <v>284256.33</v>
      </c>
      <c r="J24" s="8">
        <f t="shared" si="2"/>
        <v>4322451.3099999996</v>
      </c>
      <c r="K24" s="8">
        <f>(J24-Annual_summ!I22)*0.0793</f>
        <v>342716.49025899998</v>
      </c>
      <c r="L24" s="8">
        <f t="shared" si="3"/>
        <v>4665167.8002589997</v>
      </c>
      <c r="M24" s="10">
        <f t="shared" si="4"/>
        <v>7.3462843124308008E-2</v>
      </c>
      <c r="N24" s="11"/>
      <c r="O24" s="25">
        <v>0</v>
      </c>
      <c r="P24" s="9"/>
      <c r="Q24" s="10"/>
      <c r="R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x14ac:dyDescent="0.25">
      <c r="B25" s="6">
        <v>9</v>
      </c>
      <c r="C25" s="7">
        <f t="shared" si="1"/>
        <v>2029</v>
      </c>
      <c r="D25" s="8">
        <f>Annual_summ!M23</f>
        <v>1598222.3299999998</v>
      </c>
      <c r="E25" s="8">
        <f>Annual_summ!N23</f>
        <v>1451933.5100000009</v>
      </c>
      <c r="F25" s="8">
        <f>Annual_summ!O23</f>
        <v>1001252.5600000003</v>
      </c>
      <c r="G25" s="8">
        <f>Annual_summ!F23</f>
        <v>13509.61</v>
      </c>
      <c r="H25" s="8">
        <v>0</v>
      </c>
      <c r="I25" s="8">
        <f>Annual_summ!P23+Annual_summ!G23+Annual_summ!I23</f>
        <v>287139.86999999994</v>
      </c>
      <c r="J25" s="8">
        <f t="shared" si="2"/>
        <v>4352057.8800000008</v>
      </c>
      <c r="K25" s="8">
        <f>(J25-Annual_summ!I23)*0.0793</f>
        <v>345064.29126000009</v>
      </c>
      <c r="L25" s="8">
        <f t="shared" si="3"/>
        <v>4697122.1712600011</v>
      </c>
      <c r="M25" s="10">
        <f t="shared" si="4"/>
        <v>7.3462915946986479E-2</v>
      </c>
      <c r="N25" s="11"/>
      <c r="O25" s="25">
        <v>0</v>
      </c>
      <c r="P25" s="9"/>
      <c r="Q25" s="10"/>
      <c r="R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2:29" x14ac:dyDescent="0.25">
      <c r="B26" s="6">
        <v>10</v>
      </c>
      <c r="C26" s="7">
        <f t="shared" si="1"/>
        <v>2030</v>
      </c>
      <c r="D26" s="8">
        <f>Annual_summ!M24</f>
        <v>1624474.73</v>
      </c>
      <c r="E26" s="8">
        <f>Annual_summ!N24</f>
        <v>1456321.93</v>
      </c>
      <c r="F26" s="8">
        <f>Annual_summ!O24</f>
        <v>1041039.9700000001</v>
      </c>
      <c r="G26" s="8">
        <f>Annual_summ!F24</f>
        <v>13437.86</v>
      </c>
      <c r="H26" s="8">
        <v>0</v>
      </c>
      <c r="I26" s="8">
        <f>Annual_summ!P24+Annual_summ!G24+Annual_summ!I24</f>
        <v>290043.77999999997</v>
      </c>
      <c r="J26" s="8">
        <f t="shared" si="2"/>
        <v>4425318.2700000005</v>
      </c>
      <c r="K26" s="8">
        <f>(J26-Annual_summ!I24)*0.0793</f>
        <v>350873.84018700005</v>
      </c>
      <c r="L26" s="8">
        <f t="shared" si="3"/>
        <v>4776192.1101870006</v>
      </c>
      <c r="M26" s="10">
        <f t="shared" si="4"/>
        <v>7.3463091955332266E-2</v>
      </c>
      <c r="N26" s="11"/>
      <c r="O26" s="25">
        <v>0</v>
      </c>
      <c r="P26" s="9"/>
      <c r="Q26" s="10"/>
      <c r="R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2:29" x14ac:dyDescent="0.25">
      <c r="B27" s="6">
        <v>11</v>
      </c>
      <c r="C27" s="7">
        <f t="shared" si="1"/>
        <v>2031</v>
      </c>
      <c r="D27" s="8">
        <f>Annual_summ!M25</f>
        <v>1643231.4899999998</v>
      </c>
      <c r="E27" s="8">
        <f>Annual_summ!N25</f>
        <v>1456056.6600000006</v>
      </c>
      <c r="F27" s="8">
        <f>Annual_summ!O25</f>
        <v>1046067.24</v>
      </c>
      <c r="G27" s="8">
        <f>Annual_summ!F25</f>
        <v>13386.49</v>
      </c>
      <c r="H27" s="8">
        <v>0</v>
      </c>
      <c r="I27" s="8">
        <f>Annual_summ!P25+Annual_summ!G25+Annual_summ!I25</f>
        <v>292614.59000000003</v>
      </c>
      <c r="J27" s="8">
        <f t="shared" si="2"/>
        <v>4451356.4700000007</v>
      </c>
      <c r="K27" s="8">
        <f>(J27-Annual_summ!I25)*0.0793</f>
        <v>352938.66944700008</v>
      </c>
      <c r="L27" s="8">
        <f t="shared" si="3"/>
        <v>4804295.1394470008</v>
      </c>
      <c r="M27" s="10">
        <f t="shared" si="4"/>
        <v>7.3463153116697391E-2</v>
      </c>
      <c r="N27" s="11"/>
      <c r="O27" s="25">
        <v>0</v>
      </c>
      <c r="P27" s="9"/>
      <c r="Q27" s="10"/>
      <c r="R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2:29" x14ac:dyDescent="0.25">
      <c r="B28" s="6">
        <v>12</v>
      </c>
      <c r="C28" s="7">
        <f t="shared" si="1"/>
        <v>2032</v>
      </c>
      <c r="D28" s="8">
        <f>Annual_summ!M26</f>
        <v>1667455.5699999996</v>
      </c>
      <c r="E28" s="8">
        <f>Annual_summ!N26</f>
        <v>1462002.82</v>
      </c>
      <c r="F28" s="8">
        <f>Annual_summ!O26</f>
        <v>1050634.1099999999</v>
      </c>
      <c r="G28" s="8">
        <f>Annual_summ!F26</f>
        <v>13356.100000000002</v>
      </c>
      <c r="H28" s="8">
        <v>0</v>
      </c>
      <c r="I28" s="8">
        <f>Annual_summ!P26+Annual_summ!G26+Annual_summ!I26</f>
        <v>294918.17999999993</v>
      </c>
      <c r="J28" s="8">
        <f t="shared" si="2"/>
        <v>4488366.7799999993</v>
      </c>
      <c r="K28" s="8">
        <f>(J28-Annual_summ!I26)*0.0793</f>
        <v>355873.58702999994</v>
      </c>
      <c r="L28" s="8">
        <f t="shared" si="3"/>
        <v>4844240.3670299994</v>
      </c>
      <c r="M28" s="10">
        <f t="shared" si="4"/>
        <v>7.3463238829370017E-2</v>
      </c>
      <c r="N28" s="11"/>
      <c r="O28" s="25">
        <v>0</v>
      </c>
      <c r="P28" s="9"/>
      <c r="Q28" s="10"/>
      <c r="R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x14ac:dyDescent="0.25">
      <c r="B29" s="6">
        <v>13</v>
      </c>
      <c r="C29" s="7">
        <f t="shared" si="1"/>
        <v>2033</v>
      </c>
      <c r="D29" s="8">
        <f>Annual_summ!M27</f>
        <v>1694521.0699999994</v>
      </c>
      <c r="E29" s="8">
        <f>Annual_summ!N27</f>
        <v>1467912.6200000003</v>
      </c>
      <c r="F29" s="8">
        <f>Annual_summ!O27</f>
        <v>1053041.8800000004</v>
      </c>
      <c r="G29" s="8">
        <f>Annual_summ!F27</f>
        <v>13345.71</v>
      </c>
      <c r="H29" s="8">
        <v>0</v>
      </c>
      <c r="I29" s="8">
        <f>Annual_summ!P27+Annual_summ!G27+Annual_summ!I27</f>
        <v>297051.21999999997</v>
      </c>
      <c r="J29" s="8">
        <f t="shared" si="2"/>
        <v>4525872.5</v>
      </c>
      <c r="K29" s="8">
        <f>(J29-Annual_summ!I27)*0.0793</f>
        <v>358847.79062600003</v>
      </c>
      <c r="L29" s="8">
        <f t="shared" si="3"/>
        <v>4884720.2906259997</v>
      </c>
      <c r="M29" s="10">
        <f t="shared" si="4"/>
        <v>7.3463324259250881E-2</v>
      </c>
      <c r="N29" s="11"/>
      <c r="O29" s="25">
        <v>0</v>
      </c>
      <c r="P29" s="9"/>
      <c r="Q29" s="10"/>
      <c r="R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2:29" x14ac:dyDescent="0.25">
      <c r="B30" s="6">
        <v>14</v>
      </c>
      <c r="C30" s="7">
        <f t="shared" si="1"/>
        <v>2034</v>
      </c>
      <c r="D30" s="8">
        <f>Annual_summ!M28</f>
        <v>1716795.13</v>
      </c>
      <c r="E30" s="8">
        <f>Annual_summ!N28</f>
        <v>1470884.7399999993</v>
      </c>
      <c r="F30" s="8">
        <f>Annual_summ!O28</f>
        <v>1055089.6499999999</v>
      </c>
      <c r="G30" s="8">
        <f>Annual_summ!F28</f>
        <v>13339.399999999998</v>
      </c>
      <c r="H30" s="8">
        <v>0</v>
      </c>
      <c r="I30" s="8">
        <f>Annual_summ!P28+Annual_summ!G28+Annual_summ!I28</f>
        <v>298965.74999999994</v>
      </c>
      <c r="J30" s="8">
        <f t="shared" si="2"/>
        <v>4555074.67</v>
      </c>
      <c r="K30" s="8">
        <f>(J30-Annual_summ!I28)*0.0793</f>
        <v>361163.52270700003</v>
      </c>
      <c r="L30" s="8">
        <f t="shared" si="3"/>
        <v>4916238.1927070003</v>
      </c>
      <c r="M30" s="10">
        <f t="shared" si="4"/>
        <v>7.3463389801325843E-2</v>
      </c>
      <c r="N30" s="11"/>
      <c r="O30" s="25">
        <v>0</v>
      </c>
      <c r="P30" s="9"/>
      <c r="Q30" s="10"/>
      <c r="R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x14ac:dyDescent="0.25">
      <c r="B31" s="6">
        <v>15</v>
      </c>
      <c r="C31" s="7">
        <f t="shared" si="1"/>
        <v>2035</v>
      </c>
      <c r="D31" s="8">
        <f>Annual_summ!M29</f>
        <v>1747064.7500000005</v>
      </c>
      <c r="E31" s="8">
        <f>Annual_summ!N29</f>
        <v>1479483.69</v>
      </c>
      <c r="F31" s="8">
        <f>Annual_summ!O29</f>
        <v>1056914.3900000004</v>
      </c>
      <c r="G31" s="8">
        <f>Annual_summ!F29</f>
        <v>13338.2</v>
      </c>
      <c r="H31" s="8">
        <v>0</v>
      </c>
      <c r="I31" s="8">
        <f>Annual_summ!P29+Annual_summ!G29+Annual_summ!I29</f>
        <v>300623.12</v>
      </c>
      <c r="J31" s="8">
        <f t="shared" si="2"/>
        <v>4597424.1500000013</v>
      </c>
      <c r="K31" s="8">
        <f>(J31-Annual_summ!I29)*0.0793</f>
        <v>364521.8364710001</v>
      </c>
      <c r="L31" s="8">
        <f t="shared" si="3"/>
        <v>4961945.9864710011</v>
      </c>
      <c r="M31" s="10">
        <f t="shared" si="4"/>
        <v>7.3463483372226843E-2</v>
      </c>
      <c r="N31" s="11"/>
      <c r="O31" s="25">
        <v>0</v>
      </c>
      <c r="P31" s="9"/>
      <c r="Q31" s="10"/>
      <c r="R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x14ac:dyDescent="0.25">
      <c r="B32" s="6">
        <v>16</v>
      </c>
      <c r="C32" s="7">
        <f t="shared" si="1"/>
        <v>2036</v>
      </c>
      <c r="D32" s="8">
        <f>Annual_summ!M30</f>
        <v>1786508.4599999997</v>
      </c>
      <c r="E32" s="8">
        <f>Annual_summ!N30</f>
        <v>1497011.8099999998</v>
      </c>
      <c r="F32" s="8">
        <f>Annual_summ!O30</f>
        <v>1059210.2700000003</v>
      </c>
      <c r="G32" s="8">
        <f>Annual_summ!F30</f>
        <v>13339.11</v>
      </c>
      <c r="H32" s="8">
        <v>0</v>
      </c>
      <c r="I32" s="8">
        <f>Annual_summ!P30+Annual_summ!G30+Annual_summ!I30</f>
        <v>301969.53999999998</v>
      </c>
      <c r="J32" s="8">
        <f t="shared" si="2"/>
        <v>4658039.1900000004</v>
      </c>
      <c r="K32" s="8">
        <f>(J32-Annual_summ!I30)*0.0793</f>
        <v>369328.60914300004</v>
      </c>
      <c r="L32" s="8">
        <f t="shared" si="3"/>
        <v>5027367.7991430005</v>
      </c>
      <c r="M32" s="10">
        <f t="shared" si="4"/>
        <v>7.3463614340283256E-2</v>
      </c>
      <c r="N32" s="11"/>
      <c r="O32" s="25">
        <v>0</v>
      </c>
      <c r="P32" s="9"/>
      <c r="Q32" s="10"/>
      <c r="R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2:29" x14ac:dyDescent="0.25">
      <c r="B33" s="6">
        <v>17</v>
      </c>
      <c r="C33" s="7">
        <f t="shared" si="1"/>
        <v>2037</v>
      </c>
      <c r="D33" s="8">
        <f>Annual_summ!M31</f>
        <v>1810899.0099999998</v>
      </c>
      <c r="E33" s="8">
        <f>Annual_summ!N31</f>
        <v>1502023.7000000002</v>
      </c>
      <c r="F33" s="8">
        <f>Annual_summ!O31</f>
        <v>1059895.3900000001</v>
      </c>
      <c r="G33" s="8">
        <f>Annual_summ!F31</f>
        <v>13340.409999999998</v>
      </c>
      <c r="H33" s="8">
        <v>0</v>
      </c>
      <c r="I33" s="8">
        <f>Annual_summ!P31+Annual_summ!G31+Annual_summ!I31</f>
        <v>302919.34999999998</v>
      </c>
      <c r="J33" s="8">
        <f t="shared" si="2"/>
        <v>4689077.8599999994</v>
      </c>
      <c r="K33" s="8">
        <f>(J33-Annual_summ!I31)*0.0793</f>
        <v>371789.97567399993</v>
      </c>
      <c r="L33" s="8">
        <f t="shared" si="3"/>
        <v>5060867.835673999</v>
      </c>
      <c r="M33" s="10">
        <f t="shared" si="4"/>
        <v>7.3463680093215772E-2</v>
      </c>
      <c r="N33" s="11"/>
      <c r="O33" s="25">
        <v>0</v>
      </c>
      <c r="P33" s="9"/>
      <c r="Q33" s="10"/>
      <c r="R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2:29" x14ac:dyDescent="0.25">
      <c r="B34" s="6">
        <v>18</v>
      </c>
      <c r="C34" s="7">
        <f t="shared" si="1"/>
        <v>2038</v>
      </c>
      <c r="D34" s="8">
        <f>Annual_summ!M32</f>
        <v>1843421.3999999997</v>
      </c>
      <c r="E34" s="8">
        <f>Annual_summ!N32</f>
        <v>1514744.3799999997</v>
      </c>
      <c r="F34" s="8">
        <f>Annual_summ!O32</f>
        <v>1061660.22</v>
      </c>
      <c r="G34" s="8">
        <f>Annual_summ!F32</f>
        <v>13341.58</v>
      </c>
      <c r="H34" s="8">
        <v>0</v>
      </c>
      <c r="I34" s="8">
        <f>Annual_summ!P32+Annual_summ!G32+Annual_summ!I32</f>
        <v>303810.96000000002</v>
      </c>
      <c r="J34" s="8">
        <f t="shared" si="2"/>
        <v>4736978.5399999991</v>
      </c>
      <c r="K34" s="8">
        <f>(J34-Annual_summ!I32)*0.0793</f>
        <v>375588.49959799991</v>
      </c>
      <c r="L34" s="8">
        <f t="shared" si="3"/>
        <v>5112567.0395979993</v>
      </c>
      <c r="M34" s="10">
        <f t="shared" si="4"/>
        <v>7.3463779875937316E-2</v>
      </c>
      <c r="N34" s="11"/>
      <c r="O34" s="25">
        <v>0</v>
      </c>
      <c r="P34" s="9"/>
      <c r="Q34" s="10"/>
      <c r="R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 x14ac:dyDescent="0.25">
      <c r="B35" s="6">
        <v>19</v>
      </c>
      <c r="C35" s="7">
        <f t="shared" si="1"/>
        <v>2039</v>
      </c>
      <c r="D35" s="8">
        <f>Annual_summ!M33</f>
        <v>1875407.9699999993</v>
      </c>
      <c r="E35" s="8">
        <f>Annual_summ!N33</f>
        <v>1528265.9400000002</v>
      </c>
      <c r="F35" s="8">
        <f>Annual_summ!O33</f>
        <v>1063686.6400000001</v>
      </c>
      <c r="G35" s="8">
        <f>Annual_summ!F33</f>
        <v>13342.960000000003</v>
      </c>
      <c r="H35" s="8">
        <v>0</v>
      </c>
      <c r="I35" s="8">
        <f>Annual_summ!P33+Annual_summ!G33+Annual_summ!I33</f>
        <v>304608.98000000004</v>
      </c>
      <c r="J35" s="8">
        <f t="shared" ref="J35:J36" si="5">SUM(D35:I35)</f>
        <v>4785312.4899999993</v>
      </c>
      <c r="K35" s="8">
        <f>(J35-Annual_summ!I33)*0.0793</f>
        <v>379421.38183299993</v>
      </c>
      <c r="L35" s="8">
        <f t="shared" ref="L35:L36" si="6">SUM(J35:K35)</f>
        <v>5164733.8718329994</v>
      </c>
      <c r="M35" s="10"/>
      <c r="O35" s="25">
        <v>0</v>
      </c>
    </row>
    <row r="36" spans="2:29" x14ac:dyDescent="0.25">
      <c r="B36" s="6">
        <v>20</v>
      </c>
      <c r="C36" s="7">
        <f t="shared" si="1"/>
        <v>2040</v>
      </c>
      <c r="D36" s="8">
        <f>Annual_summ!M34</f>
        <v>1907362.0399999996</v>
      </c>
      <c r="E36" s="8">
        <f>Annual_summ!N34</f>
        <v>1533024.7200000002</v>
      </c>
      <c r="F36" s="8">
        <f>Annual_summ!O34</f>
        <v>1066520.31</v>
      </c>
      <c r="G36" s="8">
        <f>Annual_summ!F34</f>
        <v>13328.84</v>
      </c>
      <c r="H36" s="8">
        <v>0</v>
      </c>
      <c r="I36" s="8">
        <f>Annual_summ!P34+Annual_summ!G34+Annual_summ!I34</f>
        <v>305457.67</v>
      </c>
      <c r="J36" s="8">
        <f t="shared" si="5"/>
        <v>4825693.58</v>
      </c>
      <c r="K36" s="8">
        <f>(J36-Annual_summ!I34)*0.0793</f>
        <v>382623.60227000003</v>
      </c>
      <c r="L36" s="8">
        <f t="shared" si="6"/>
        <v>5208317.1822699998</v>
      </c>
      <c r="M36" s="14"/>
      <c r="O36" s="25">
        <v>0</v>
      </c>
      <c r="U36" s="16"/>
      <c r="V36" s="16"/>
      <c r="W36" s="16"/>
      <c r="X36" s="16"/>
      <c r="Y36" s="16"/>
      <c r="Z36" s="16"/>
      <c r="AA36" s="16"/>
      <c r="AB36" s="16"/>
      <c r="AC36" s="16"/>
    </row>
    <row r="37" spans="2:29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</row>
    <row r="38" spans="2:29" x14ac:dyDescent="0.25">
      <c r="B38" s="12"/>
      <c r="C38" s="13" t="s">
        <v>19</v>
      </c>
      <c r="D38" s="15" t="s">
        <v>20</v>
      </c>
      <c r="E38" s="13"/>
      <c r="F38" s="13"/>
      <c r="G38" s="13"/>
      <c r="H38" s="13"/>
      <c r="I38" s="13"/>
      <c r="J38" s="13"/>
      <c r="K38" s="13"/>
      <c r="L38" s="13"/>
      <c r="M38" s="12"/>
    </row>
    <row r="39" spans="2:29" x14ac:dyDescent="0.25">
      <c r="B39" s="12"/>
      <c r="C39" s="13" t="s">
        <v>21</v>
      </c>
      <c r="D39" s="15" t="s">
        <v>22</v>
      </c>
      <c r="E39" s="13"/>
      <c r="F39" s="13"/>
      <c r="G39" s="13"/>
      <c r="H39" s="13"/>
      <c r="I39" s="13"/>
      <c r="J39" s="13"/>
      <c r="K39" s="13"/>
      <c r="L39" s="13"/>
      <c r="M39" s="12"/>
    </row>
    <row r="43" spans="2:29" x14ac:dyDescent="0.25">
      <c r="B43" t="s">
        <v>23</v>
      </c>
      <c r="D43" s="18">
        <f>0.05*LN(D34/D14)</f>
        <v>8.062924760527489E-3</v>
      </c>
      <c r="E43" s="18">
        <f t="shared" ref="E43:L43" si="7">0.05*LN(E34/E14)</f>
        <v>8.5228384593523778E-4</v>
      </c>
      <c r="F43" s="18">
        <f t="shared" si="7"/>
        <v>1.2197121026846176E-2</v>
      </c>
      <c r="G43" s="18">
        <f t="shared" si="7"/>
        <v>-3.528915132978953E-3</v>
      </c>
      <c r="I43" s="18">
        <f t="shared" si="7"/>
        <v>1.9260322044887127E-3</v>
      </c>
      <c r="J43" s="18">
        <f t="shared" si="7"/>
        <v>6.0571816035875064E-3</v>
      </c>
      <c r="K43" s="18">
        <f t="shared" si="7"/>
        <v>6.0592567335777487E-3</v>
      </c>
      <c r="L43" s="18">
        <f t="shared" si="7"/>
        <v>6.057334047549285E-3</v>
      </c>
    </row>
  </sheetData>
  <mergeCells count="5">
    <mergeCell ref="C2:L2"/>
    <mergeCell ref="C3:L3"/>
    <mergeCell ref="C4:L4"/>
    <mergeCell ref="C5:L5"/>
    <mergeCell ref="C6:L6"/>
  </mergeCells>
  <pageMargins left="0.7" right="0.7" top="0.94791666666666663" bottom="0.75" header="0.3" footer="0.3"/>
  <pageSetup scale="51" orientation="landscape" r:id="rId1"/>
  <headerFooter>
    <oddHeader>&amp;R&amp;"Times New Roman,Bold"&amp;10KyPSC Case No. 2021-00245
STAFF-PHDR-01-003 Attachment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4D6A-D890-499D-8981-4520798AE74B}">
  <sheetPr>
    <pageSetUpPr fitToPage="1"/>
  </sheetPr>
  <dimension ref="A1:S35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9.5703125" customWidth="1"/>
    <col min="2" max="3" width="12.5703125" bestFit="1" customWidth="1"/>
    <col min="4" max="5" width="11.140625" bestFit="1" customWidth="1"/>
    <col min="8" max="8" width="10" bestFit="1" customWidth="1"/>
    <col min="10" max="10" width="10" bestFit="1" customWidth="1"/>
    <col min="11" max="11" width="10" customWidth="1"/>
    <col min="13" max="13" width="13.28515625" customWidth="1"/>
    <col min="14" max="14" width="10" bestFit="1" customWidth="1"/>
    <col min="15" max="15" width="12" bestFit="1" customWidth="1"/>
    <col min="18" max="18" width="10" bestFit="1" customWidth="1"/>
    <col min="21" max="21" width="8.85546875" customWidth="1"/>
    <col min="22" max="22" width="9.28515625" bestFit="1" customWidth="1"/>
    <col min="23" max="23" width="8.85546875" customWidth="1"/>
    <col min="24" max="24" width="9.28515625" bestFit="1" customWidth="1"/>
  </cols>
  <sheetData>
    <row r="1" spans="1:19" x14ac:dyDescent="0.25">
      <c r="A1" s="19" t="s">
        <v>33</v>
      </c>
    </row>
    <row r="3" spans="1:19" x14ac:dyDescent="0.25">
      <c r="A3" t="s">
        <v>34</v>
      </c>
      <c r="B3" s="20">
        <f>0.05*LN(B34/B14)</f>
        <v>1.193493858142051E-2</v>
      </c>
      <c r="C3" s="20">
        <f>0.05*LN(C34/C14)</f>
        <v>3.0766047396924095E-3</v>
      </c>
      <c r="D3" s="20">
        <f>0.05*LN(D34/D14)</f>
        <v>1.3273538607571012E-2</v>
      </c>
      <c r="E3" s="20">
        <f>0.05*LN(E34/E14)</f>
        <v>2.123239992439864E-2</v>
      </c>
      <c r="F3" s="20">
        <f>0.05*LN(F34/F14)</f>
        <v>-1.8335951554431665E-3</v>
      </c>
      <c r="G3" s="20"/>
      <c r="H3" s="20">
        <f>0.05*LN(H34/H14)</f>
        <v>9.6074822084281572E-3</v>
      </c>
      <c r="I3" s="20"/>
      <c r="J3" s="20"/>
      <c r="K3" s="20"/>
      <c r="L3" s="20"/>
      <c r="M3" s="20">
        <f>0.05*LN(M34/M14)</f>
        <v>1.2210276535048173E-2</v>
      </c>
      <c r="N3" s="20">
        <f t="shared" ref="N3:Q3" si="0">0.05*LN(N34/N14)</f>
        <v>2.1074380083443327E-3</v>
      </c>
      <c r="O3" s="20">
        <f t="shared" si="0"/>
        <v>1.203315642263085E-2</v>
      </c>
      <c r="P3" s="20">
        <f t="shared" si="0"/>
        <v>4.0405179279858257E-3</v>
      </c>
      <c r="Q3" s="20">
        <f t="shared" si="0"/>
        <v>-9.1072798195973104E-4</v>
      </c>
      <c r="R3" s="20"/>
    </row>
    <row r="5" spans="1:19" x14ac:dyDescent="0.25">
      <c r="B5" t="s">
        <v>35</v>
      </c>
      <c r="M5" t="s">
        <v>36</v>
      </c>
    </row>
    <row r="6" spans="1:19" x14ac:dyDescent="0.25">
      <c r="B6" t="s">
        <v>37</v>
      </c>
      <c r="C6" t="s">
        <v>38</v>
      </c>
      <c r="D6" t="s">
        <v>39</v>
      </c>
      <c r="E6" t="s">
        <v>40</v>
      </c>
      <c r="F6" s="21" t="s">
        <v>41</v>
      </c>
      <c r="G6" s="21" t="s">
        <v>42</v>
      </c>
      <c r="H6" s="21" t="s">
        <v>43</v>
      </c>
      <c r="I6" t="s">
        <v>44</v>
      </c>
      <c r="J6" t="s">
        <v>45</v>
      </c>
      <c r="M6" t="s">
        <v>37</v>
      </c>
      <c r="N6" t="s">
        <v>38</v>
      </c>
      <c r="O6" t="s">
        <v>39</v>
      </c>
      <c r="P6" t="s">
        <v>40</v>
      </c>
      <c r="Q6" t="s">
        <v>46</v>
      </c>
      <c r="R6" s="21" t="s">
        <v>43</v>
      </c>
    </row>
    <row r="7" spans="1:19" x14ac:dyDescent="0.25">
      <c r="A7">
        <v>2013</v>
      </c>
      <c r="B7" s="22">
        <v>1465360.77</v>
      </c>
      <c r="C7" s="22">
        <v>1454626.7390000001</v>
      </c>
      <c r="D7" s="22">
        <v>808830.69099999999</v>
      </c>
      <c r="E7" s="22">
        <v>289424.50899999996</v>
      </c>
      <c r="F7" s="22">
        <v>15362.174999999999</v>
      </c>
      <c r="G7" s="22">
        <v>872.81500000000017</v>
      </c>
      <c r="H7" s="11">
        <v>4034477.699</v>
      </c>
      <c r="I7" s="22">
        <v>720</v>
      </c>
      <c r="J7" s="11">
        <v>4035197.699</v>
      </c>
      <c r="K7" s="11"/>
    </row>
    <row r="8" spans="1:19" x14ac:dyDescent="0.25">
      <c r="A8">
        <v>2014</v>
      </c>
      <c r="B8" s="22">
        <v>1479746.2189999998</v>
      </c>
      <c r="C8" s="22">
        <v>1459943.9820000001</v>
      </c>
      <c r="D8" s="22">
        <v>827408.49099999992</v>
      </c>
      <c r="E8" s="22">
        <v>289830.74800000002</v>
      </c>
      <c r="F8" s="22">
        <v>15274.235000000002</v>
      </c>
      <c r="G8" s="22">
        <v>954.13499999999999</v>
      </c>
      <c r="H8" s="11">
        <v>4073157.8099999996</v>
      </c>
      <c r="I8" s="22">
        <v>551</v>
      </c>
      <c r="J8" s="11">
        <v>4073708.8099999996</v>
      </c>
      <c r="K8" s="11"/>
    </row>
    <row r="9" spans="1:19" x14ac:dyDescent="0.25">
      <c r="A9">
        <v>2015</v>
      </c>
      <c r="B9" s="22">
        <v>1445887.1330000001</v>
      </c>
      <c r="C9" s="22">
        <v>1477900.0859999999</v>
      </c>
      <c r="D9" s="22">
        <v>812522.10200000007</v>
      </c>
      <c r="E9" s="22">
        <v>290988.32</v>
      </c>
      <c r="F9" s="22">
        <v>15120.166000000001</v>
      </c>
      <c r="G9" s="22">
        <v>804.05899999999997</v>
      </c>
      <c r="H9" s="11">
        <v>4043221.8659999999</v>
      </c>
      <c r="I9" s="22">
        <v>736</v>
      </c>
      <c r="J9" s="11">
        <v>4043957.8659999999</v>
      </c>
      <c r="K9" s="11"/>
      <c r="L9">
        <f t="shared" ref="L9:L12" si="1">L10-1</f>
        <v>2015</v>
      </c>
      <c r="M9" s="22">
        <v>1445887.14</v>
      </c>
      <c r="N9" s="22">
        <v>1477900.0899999999</v>
      </c>
      <c r="O9" s="22">
        <v>812522.1</v>
      </c>
      <c r="P9" s="22">
        <v>290988.32</v>
      </c>
      <c r="Q9" s="22">
        <v>15924.225</v>
      </c>
      <c r="R9" s="26">
        <f>SUM(M9:Q9)</f>
        <v>4043221.8749999995</v>
      </c>
    </row>
    <row r="10" spans="1:19" x14ac:dyDescent="0.25">
      <c r="A10">
        <v>2016</v>
      </c>
      <c r="B10" s="22">
        <v>1451681.6649999998</v>
      </c>
      <c r="C10" s="22">
        <v>1494014.3289999999</v>
      </c>
      <c r="D10" s="22">
        <v>810977.38299999991</v>
      </c>
      <c r="E10" s="22">
        <v>292466.701</v>
      </c>
      <c r="F10" s="22">
        <v>15263.851000000001</v>
      </c>
      <c r="G10" s="22">
        <v>757.08100000000002</v>
      </c>
      <c r="H10" s="11">
        <v>4065161.0099999993</v>
      </c>
      <c r="I10" s="22">
        <v>694</v>
      </c>
      <c r="J10" s="11">
        <v>4065855.0099999993</v>
      </c>
      <c r="K10" s="11"/>
      <c r="L10">
        <f t="shared" si="1"/>
        <v>2016</v>
      </c>
      <c r="M10" s="22">
        <v>1451681.67</v>
      </c>
      <c r="N10" s="22">
        <v>1498287.42</v>
      </c>
      <c r="O10" s="22">
        <v>818455.29</v>
      </c>
      <c r="P10" s="22">
        <v>295315.42</v>
      </c>
      <c r="Q10" s="22">
        <v>16020.932000000001</v>
      </c>
      <c r="R10" s="26">
        <f t="shared" ref="R10:R34" si="2">SUM(M10:Q10)</f>
        <v>4079760.7319999998</v>
      </c>
    </row>
    <row r="11" spans="1:19" x14ac:dyDescent="0.25">
      <c r="A11">
        <v>2017</v>
      </c>
      <c r="B11" s="22">
        <v>1395234.0320000001</v>
      </c>
      <c r="C11" s="22">
        <v>1450923.6409999998</v>
      </c>
      <c r="D11" s="22">
        <v>800033.97500000009</v>
      </c>
      <c r="E11" s="22">
        <v>276772.48100000003</v>
      </c>
      <c r="F11" s="22">
        <v>15076.635999999999</v>
      </c>
      <c r="G11" s="22">
        <v>1136.202</v>
      </c>
      <c r="H11" s="11">
        <v>3939176.9670000002</v>
      </c>
      <c r="I11" s="22">
        <v>684</v>
      </c>
      <c r="J11" s="11">
        <v>3939860.9670000002</v>
      </c>
      <c r="K11" s="11"/>
      <c r="L11">
        <f t="shared" si="1"/>
        <v>2017</v>
      </c>
      <c r="M11" s="22">
        <v>1395234.04</v>
      </c>
      <c r="N11" s="22">
        <v>1457929.19</v>
      </c>
      <c r="O11" s="22">
        <v>812293.68</v>
      </c>
      <c r="P11" s="22">
        <v>281442.84999999998</v>
      </c>
      <c r="Q11" s="22">
        <v>16212.837999999998</v>
      </c>
      <c r="R11" s="26">
        <f t="shared" si="2"/>
        <v>3963112.5980000002</v>
      </c>
    </row>
    <row r="12" spans="1:19" x14ac:dyDescent="0.25">
      <c r="A12">
        <v>2018</v>
      </c>
      <c r="B12" s="22">
        <v>1563655.52</v>
      </c>
      <c r="C12" s="22">
        <v>1479510.963</v>
      </c>
      <c r="D12" s="22">
        <v>814988.88699999999</v>
      </c>
      <c r="E12" s="22">
        <v>284443.36400000006</v>
      </c>
      <c r="F12" s="22">
        <v>14317.231</v>
      </c>
      <c r="G12" s="22">
        <v>689.28200000000004</v>
      </c>
      <c r="H12" s="11">
        <v>4157605.2470000004</v>
      </c>
      <c r="I12" s="22">
        <v>776.27099999999984</v>
      </c>
      <c r="J12" s="11">
        <v>4158381.5180000006</v>
      </c>
      <c r="K12" s="11"/>
      <c r="L12">
        <f t="shared" si="1"/>
        <v>2018</v>
      </c>
      <c r="M12" s="22">
        <v>1568884.42</v>
      </c>
      <c r="N12" s="22">
        <v>1489143.35</v>
      </c>
      <c r="O12" s="22">
        <v>831845.55</v>
      </c>
      <c r="P12" s="22">
        <v>290864.94999999995</v>
      </c>
      <c r="Q12" s="22">
        <v>15006.512999999999</v>
      </c>
      <c r="R12" s="26">
        <f t="shared" si="2"/>
        <v>4195744.7830000008</v>
      </c>
    </row>
    <row r="13" spans="1:19" x14ac:dyDescent="0.25">
      <c r="A13">
        <v>2019</v>
      </c>
      <c r="B13" s="22">
        <v>1512663.9469999999</v>
      </c>
      <c r="C13" s="22">
        <v>1460449.6629999997</v>
      </c>
      <c r="D13" s="22">
        <v>817559.38600000006</v>
      </c>
      <c r="E13" s="22">
        <v>275131.83500000002</v>
      </c>
      <c r="F13" s="22">
        <v>13759.195000000002</v>
      </c>
      <c r="G13" s="22">
        <v>928.30100000000027</v>
      </c>
      <c r="H13" s="11">
        <v>4080492.3269999991</v>
      </c>
      <c r="I13" s="22">
        <v>667.404</v>
      </c>
      <c r="J13" s="11">
        <v>4081159.7309999992</v>
      </c>
      <c r="K13" s="11"/>
      <c r="L13">
        <f>L14-1</f>
        <v>2019</v>
      </c>
      <c r="M13" s="22">
        <v>1529903.4500000002</v>
      </c>
      <c r="N13" s="22">
        <v>1475224.31</v>
      </c>
      <c r="O13" s="22">
        <v>843415</v>
      </c>
      <c r="P13" s="22">
        <v>284981.61000000004</v>
      </c>
      <c r="Q13" s="22">
        <v>14687.496000000001</v>
      </c>
      <c r="R13" s="26">
        <f t="shared" si="2"/>
        <v>4148211.8659999999</v>
      </c>
    </row>
    <row r="14" spans="1:19" x14ac:dyDescent="0.25">
      <c r="A14">
        <v>2020</v>
      </c>
      <c r="B14" s="22">
        <v>1477913.73</v>
      </c>
      <c r="C14" s="22">
        <v>1416427.0919999999</v>
      </c>
      <c r="D14" s="22">
        <v>746181.60000000009</v>
      </c>
      <c r="E14" s="22">
        <v>187139.68000000002</v>
      </c>
      <c r="F14" s="22">
        <v>13826.707000000002</v>
      </c>
      <c r="G14" s="22">
        <v>590.947</v>
      </c>
      <c r="H14" s="11">
        <v>3842079.7560000001</v>
      </c>
      <c r="I14" s="22">
        <v>625.58800000000008</v>
      </c>
      <c r="J14" s="11">
        <v>3842705.344</v>
      </c>
      <c r="K14" s="11"/>
      <c r="L14">
        <v>2020</v>
      </c>
      <c r="M14" s="22">
        <v>1494087.46</v>
      </c>
      <c r="N14" s="22">
        <v>1469752.42</v>
      </c>
      <c r="O14" s="22">
        <v>838398.44000000006</v>
      </c>
      <c r="P14" s="22">
        <v>280353.39</v>
      </c>
      <c r="Q14" s="22">
        <v>14417.654000000002</v>
      </c>
      <c r="R14" s="26">
        <f t="shared" si="2"/>
        <v>4097009.3640000001</v>
      </c>
    </row>
    <row r="15" spans="1:19" x14ac:dyDescent="0.25">
      <c r="A15">
        <v>2021</v>
      </c>
      <c r="B15" s="11">
        <v>1481262.0599999994</v>
      </c>
      <c r="C15" s="11">
        <v>1440776.06</v>
      </c>
      <c r="D15" s="11">
        <v>812705.0500000004</v>
      </c>
      <c r="E15" s="11">
        <v>225381.97000000003</v>
      </c>
      <c r="F15" s="11">
        <v>13663.58</v>
      </c>
      <c r="G15" s="11">
        <v>828.58</v>
      </c>
      <c r="H15" s="11">
        <v>3974617.3</v>
      </c>
      <c r="I15" s="11">
        <v>679.68</v>
      </c>
      <c r="J15" s="11">
        <v>3975296.98</v>
      </c>
      <c r="K15" s="23">
        <v>0</v>
      </c>
      <c r="L15">
        <v>2021</v>
      </c>
      <c r="M15" s="11">
        <v>1483075.3799999994</v>
      </c>
      <c r="N15" s="11">
        <v>1441950.6500000001</v>
      </c>
      <c r="O15" s="11">
        <v>816816.10000000021</v>
      </c>
      <c r="P15" s="11">
        <v>226165.02000000002</v>
      </c>
      <c r="Q15" s="11">
        <v>14492.159999999998</v>
      </c>
      <c r="R15" s="26">
        <f t="shared" si="2"/>
        <v>3982499.3099999996</v>
      </c>
      <c r="S15" s="23">
        <v>0</v>
      </c>
    </row>
    <row r="16" spans="1:19" x14ac:dyDescent="0.25">
      <c r="A16">
        <v>2022</v>
      </c>
      <c r="B16" s="11">
        <v>1477025.9000000001</v>
      </c>
      <c r="C16" s="11">
        <v>1409836.5999999999</v>
      </c>
      <c r="D16" s="11">
        <v>866225.33000000019</v>
      </c>
      <c r="E16" s="11">
        <v>266182.80000000005</v>
      </c>
      <c r="F16" s="11">
        <v>13616.87</v>
      </c>
      <c r="G16" s="11">
        <v>828.58</v>
      </c>
      <c r="H16" s="11">
        <v>4033716.08</v>
      </c>
      <c r="I16" s="11">
        <v>679.68</v>
      </c>
      <c r="J16" s="11">
        <v>4034395.7600000002</v>
      </c>
      <c r="K16" s="11"/>
      <c r="L16">
        <v>2022</v>
      </c>
      <c r="M16" s="11">
        <v>1482005.0700000003</v>
      </c>
      <c r="N16" s="11">
        <v>1413154.93</v>
      </c>
      <c r="O16" s="11">
        <v>877839.44000000029</v>
      </c>
      <c r="P16" s="11">
        <v>268395</v>
      </c>
      <c r="Q16" s="11">
        <v>14445.45</v>
      </c>
      <c r="R16" s="26">
        <f t="shared" si="2"/>
        <v>4055839.8900000006</v>
      </c>
      <c r="S16" s="23">
        <v>0</v>
      </c>
    </row>
    <row r="17" spans="1:19" x14ac:dyDescent="0.25">
      <c r="A17">
        <v>2023</v>
      </c>
      <c r="B17" s="11">
        <v>1483566.3799999994</v>
      </c>
      <c r="C17" s="11">
        <v>1412459.5399999993</v>
      </c>
      <c r="D17" s="11">
        <v>931160.92000000027</v>
      </c>
      <c r="E17" s="11">
        <v>267807.55</v>
      </c>
      <c r="F17" s="11">
        <v>13580.8</v>
      </c>
      <c r="G17" s="11">
        <v>828.58</v>
      </c>
      <c r="H17" s="11">
        <v>4109403.7699999991</v>
      </c>
      <c r="I17" s="11">
        <v>679.68</v>
      </c>
      <c r="J17" s="11">
        <v>4110083.4499999993</v>
      </c>
      <c r="K17" s="11"/>
      <c r="L17">
        <v>2023</v>
      </c>
      <c r="M17" s="11">
        <v>1491382.7399999995</v>
      </c>
      <c r="N17" s="11">
        <v>1417867.9799999995</v>
      </c>
      <c r="O17" s="11">
        <v>950090.51000000024</v>
      </c>
      <c r="P17" s="11">
        <v>271413.19999999995</v>
      </c>
      <c r="Q17" s="11">
        <v>14409.38</v>
      </c>
      <c r="R17" s="26">
        <f t="shared" si="2"/>
        <v>4145163.8099999987</v>
      </c>
    </row>
    <row r="18" spans="1:19" x14ac:dyDescent="0.25">
      <c r="A18">
        <v>2024</v>
      </c>
      <c r="B18" s="11">
        <v>1491406.2800000005</v>
      </c>
      <c r="C18" s="11">
        <v>1420430.4400000006</v>
      </c>
      <c r="D18" s="11">
        <v>928475.00000000012</v>
      </c>
      <c r="E18" s="11">
        <v>267961.94</v>
      </c>
      <c r="F18" s="11">
        <v>13563.219999999998</v>
      </c>
      <c r="G18" s="11">
        <v>828.58</v>
      </c>
      <c r="H18" s="11">
        <v>4122665.4600000014</v>
      </c>
      <c r="I18" s="11">
        <v>679.68</v>
      </c>
      <c r="J18" s="11">
        <v>4123345.1400000015</v>
      </c>
      <c r="K18" s="11"/>
      <c r="L18">
        <v>2024</v>
      </c>
      <c r="M18" s="11">
        <v>1501878.2200000004</v>
      </c>
      <c r="N18" s="11">
        <v>1427896.6200000006</v>
      </c>
      <c r="O18" s="11">
        <v>954606.63000000024</v>
      </c>
      <c r="P18" s="11">
        <v>272939.37</v>
      </c>
      <c r="Q18" s="11">
        <v>14391.800000000001</v>
      </c>
      <c r="R18" s="26">
        <f t="shared" si="2"/>
        <v>4171712.6400000011</v>
      </c>
    </row>
    <row r="19" spans="1:19" x14ac:dyDescent="0.25">
      <c r="A19">
        <v>2025</v>
      </c>
      <c r="B19" s="11">
        <v>1516641.3999999992</v>
      </c>
      <c r="C19" s="11">
        <v>1434560.4400000002</v>
      </c>
      <c r="D19" s="11">
        <v>957140.73000000045</v>
      </c>
      <c r="E19" s="11">
        <v>268539.75</v>
      </c>
      <c r="F19" s="11">
        <v>13548.6</v>
      </c>
      <c r="G19" s="11">
        <v>828.58</v>
      </c>
      <c r="H19" s="11">
        <v>4191259.5</v>
      </c>
      <c r="I19" s="11">
        <v>679.68</v>
      </c>
      <c r="J19" s="11">
        <v>4191939.18</v>
      </c>
      <c r="K19" s="23">
        <v>0</v>
      </c>
      <c r="L19">
        <v>2025</v>
      </c>
      <c r="M19" s="11">
        <v>1529707.0599999996</v>
      </c>
      <c r="N19" s="11">
        <v>1444041.2799999998</v>
      </c>
      <c r="O19" s="11">
        <v>990323.63000000035</v>
      </c>
      <c r="P19" s="11">
        <v>274860.31</v>
      </c>
      <c r="Q19" s="11">
        <v>14377.179999999998</v>
      </c>
      <c r="R19" s="26">
        <f t="shared" si="2"/>
        <v>4253309.459999999</v>
      </c>
    </row>
    <row r="20" spans="1:19" x14ac:dyDescent="0.25">
      <c r="A20">
        <v>2026</v>
      </c>
      <c r="B20" s="11">
        <v>1525979.2299999995</v>
      </c>
      <c r="C20" s="11">
        <v>1430348.69</v>
      </c>
      <c r="D20" s="11">
        <v>950315.85999999975</v>
      </c>
      <c r="E20" s="11">
        <v>269375.28999999998</v>
      </c>
      <c r="F20" s="11">
        <v>13534.46</v>
      </c>
      <c r="G20" s="11">
        <v>828.58</v>
      </c>
      <c r="H20" s="11">
        <v>4190382.1099999994</v>
      </c>
      <c r="I20" s="11">
        <v>679.68</v>
      </c>
      <c r="J20" s="11">
        <v>4191061.7899999996</v>
      </c>
      <c r="K20" s="11"/>
      <c r="L20">
        <v>2026</v>
      </c>
      <c r="M20" s="11">
        <v>1541613.2199999995</v>
      </c>
      <c r="N20" s="11">
        <v>1441814.8200000003</v>
      </c>
      <c r="O20" s="11">
        <v>990447.36</v>
      </c>
      <c r="P20" s="11">
        <v>277019.38999999996</v>
      </c>
      <c r="Q20" s="11">
        <v>14363.039999999997</v>
      </c>
      <c r="R20" s="26">
        <f t="shared" si="2"/>
        <v>4265257.83</v>
      </c>
    </row>
    <row r="21" spans="1:19" x14ac:dyDescent="0.25">
      <c r="A21">
        <v>2027</v>
      </c>
      <c r="B21" s="11">
        <v>1542688.9599999997</v>
      </c>
      <c r="C21" s="11">
        <v>1431045.57</v>
      </c>
      <c r="D21" s="11">
        <v>945168.95000000007</v>
      </c>
      <c r="E21" s="11">
        <v>270809.26999999996</v>
      </c>
      <c r="F21" s="11">
        <v>13524.369999999999</v>
      </c>
      <c r="G21" s="11">
        <v>828.58</v>
      </c>
      <c r="H21" s="11">
        <v>4204065.7</v>
      </c>
      <c r="I21" s="11">
        <v>679.68</v>
      </c>
      <c r="J21" s="11">
        <v>4204745.38</v>
      </c>
      <c r="K21" s="11"/>
      <c r="L21">
        <v>2027</v>
      </c>
      <c r="M21" s="11">
        <v>1560889.24</v>
      </c>
      <c r="N21" s="11">
        <v>1444497.36</v>
      </c>
      <c r="O21" s="11">
        <v>992250.24000000034</v>
      </c>
      <c r="P21" s="11">
        <v>279777.13999999996</v>
      </c>
      <c r="Q21" s="11">
        <v>14352.949999999997</v>
      </c>
      <c r="R21" s="26">
        <f t="shared" si="2"/>
        <v>4291766.9300000006</v>
      </c>
    </row>
    <row r="22" spans="1:19" x14ac:dyDescent="0.25">
      <c r="A22">
        <v>2028</v>
      </c>
      <c r="B22" s="11">
        <v>1558264.4099999997</v>
      </c>
      <c r="C22" s="11">
        <v>1433163.4699999995</v>
      </c>
      <c r="D22" s="11">
        <v>943013.4</v>
      </c>
      <c r="E22" s="11">
        <v>272456.02</v>
      </c>
      <c r="F22" s="11">
        <v>13515.870000000003</v>
      </c>
      <c r="G22" s="11">
        <v>828.58</v>
      </c>
      <c r="H22" s="11">
        <v>4221241.7499999991</v>
      </c>
      <c r="I22" s="11">
        <v>679.68</v>
      </c>
      <c r="J22" s="11">
        <v>4221921.4299999988</v>
      </c>
      <c r="K22" s="11"/>
      <c r="L22">
        <v>2028</v>
      </c>
      <c r="M22" s="11">
        <v>1579030.9999999998</v>
      </c>
      <c r="N22" s="11">
        <v>1448601.5099999995</v>
      </c>
      <c r="O22" s="11">
        <v>997046.6</v>
      </c>
      <c r="P22" s="11">
        <v>282748.07</v>
      </c>
      <c r="Q22" s="11">
        <v>14344.45</v>
      </c>
      <c r="R22" s="26">
        <f t="shared" si="2"/>
        <v>4321771.63</v>
      </c>
    </row>
    <row r="23" spans="1:19" x14ac:dyDescent="0.25">
      <c r="A23">
        <v>2029</v>
      </c>
      <c r="B23" s="11">
        <v>1575040.1800000004</v>
      </c>
      <c r="C23" s="11">
        <v>1434508.6700000006</v>
      </c>
      <c r="D23" s="11">
        <v>940265.63000000047</v>
      </c>
      <c r="E23" s="11">
        <v>274015.04999999993</v>
      </c>
      <c r="F23" s="11">
        <v>13509.61</v>
      </c>
      <c r="G23" s="11">
        <v>828.58</v>
      </c>
      <c r="H23" s="11">
        <v>4238167.7200000016</v>
      </c>
      <c r="I23" s="11">
        <v>679.68</v>
      </c>
      <c r="J23" s="11">
        <v>4238847.4000000013</v>
      </c>
      <c r="K23" s="11"/>
      <c r="L23">
        <v>2029</v>
      </c>
      <c r="M23" s="11">
        <v>1598222.3299999998</v>
      </c>
      <c r="N23" s="11">
        <v>1451933.5100000009</v>
      </c>
      <c r="O23" s="11">
        <v>1001252.5600000003</v>
      </c>
      <c r="P23" s="11">
        <v>285631.60999999993</v>
      </c>
      <c r="Q23" s="11">
        <v>14338.189999999999</v>
      </c>
      <c r="R23" s="26">
        <f t="shared" si="2"/>
        <v>4351378.200000002</v>
      </c>
    </row>
    <row r="24" spans="1:19" x14ac:dyDescent="0.25">
      <c r="A24">
        <v>2030</v>
      </c>
      <c r="B24" s="11">
        <v>1599006.1799999997</v>
      </c>
      <c r="C24" s="11">
        <v>1436910.2999999998</v>
      </c>
      <c r="D24" s="11">
        <v>973099.31</v>
      </c>
      <c r="E24" s="11">
        <v>275594.44</v>
      </c>
      <c r="F24" s="11">
        <v>13437.86</v>
      </c>
      <c r="G24" s="11">
        <v>828.58</v>
      </c>
      <c r="H24" s="11">
        <v>4298876.67</v>
      </c>
      <c r="I24" s="11">
        <v>679.68</v>
      </c>
      <c r="J24" s="11">
        <v>4299556.3499999996</v>
      </c>
      <c r="K24" s="23">
        <v>0</v>
      </c>
      <c r="L24">
        <v>2030</v>
      </c>
      <c r="M24" s="11">
        <v>1624474.73</v>
      </c>
      <c r="N24" s="11">
        <v>1456321.93</v>
      </c>
      <c r="O24" s="11">
        <v>1041039.9700000001</v>
      </c>
      <c r="P24" s="11">
        <v>288535.51999999996</v>
      </c>
      <c r="Q24" s="11">
        <v>14266.44</v>
      </c>
      <c r="R24" s="26">
        <f t="shared" si="2"/>
        <v>4424638.5900000008</v>
      </c>
    </row>
    <row r="25" spans="1:19" x14ac:dyDescent="0.25">
      <c r="A25">
        <v>2031</v>
      </c>
      <c r="B25" s="11">
        <v>1615818.3299999998</v>
      </c>
      <c r="C25" s="11">
        <v>1434916.3000000005</v>
      </c>
      <c r="D25" s="11">
        <v>972075.93</v>
      </c>
      <c r="E25" s="11">
        <v>277012.77</v>
      </c>
      <c r="F25" s="11">
        <v>13386.49</v>
      </c>
      <c r="G25" s="11">
        <v>828.58</v>
      </c>
      <c r="H25" s="11">
        <v>4314038.4000000004</v>
      </c>
      <c r="I25" s="11">
        <v>679.68</v>
      </c>
      <c r="J25" s="11">
        <v>4314718.08</v>
      </c>
      <c r="K25" s="11"/>
      <c r="L25">
        <v>2031</v>
      </c>
      <c r="M25" s="11">
        <v>1643231.4899999998</v>
      </c>
      <c r="N25" s="11">
        <v>1456056.6600000006</v>
      </c>
      <c r="O25" s="11">
        <v>1046067.24</v>
      </c>
      <c r="P25" s="11">
        <v>291106.33</v>
      </c>
      <c r="Q25" s="11">
        <v>14215.069999999998</v>
      </c>
      <c r="R25" s="26">
        <f t="shared" si="2"/>
        <v>4450676.790000001</v>
      </c>
      <c r="S25" s="23">
        <v>0</v>
      </c>
    </row>
    <row r="26" spans="1:19" x14ac:dyDescent="0.25">
      <c r="A26">
        <v>2032</v>
      </c>
      <c r="B26" s="11">
        <v>1638608.9599999993</v>
      </c>
      <c r="C26" s="11">
        <v>1439346.9000000004</v>
      </c>
      <c r="D26" s="11">
        <v>971338.44000000018</v>
      </c>
      <c r="E26" s="11">
        <v>278305.98999999993</v>
      </c>
      <c r="F26" s="11">
        <v>13356.100000000002</v>
      </c>
      <c r="G26" s="11">
        <v>828.58</v>
      </c>
      <c r="H26" s="11">
        <v>4341784.97</v>
      </c>
      <c r="I26" s="11">
        <v>679.68</v>
      </c>
      <c r="J26" s="11">
        <v>4342464.6499999994</v>
      </c>
      <c r="K26" s="11"/>
      <c r="L26">
        <v>2032</v>
      </c>
      <c r="M26" s="11">
        <v>1667455.5699999996</v>
      </c>
      <c r="N26" s="11">
        <v>1462002.82</v>
      </c>
      <c r="O26" s="11">
        <v>1050634.1099999999</v>
      </c>
      <c r="P26" s="11">
        <v>293409.91999999993</v>
      </c>
      <c r="Q26" s="11">
        <v>14184.68</v>
      </c>
      <c r="R26" s="26">
        <f t="shared" si="2"/>
        <v>4487687.0999999996</v>
      </c>
    </row>
    <row r="27" spans="1:19" x14ac:dyDescent="0.25">
      <c r="A27">
        <v>2033</v>
      </c>
      <c r="B27" s="11">
        <v>1664854.9399999992</v>
      </c>
      <c r="C27" s="11">
        <v>1443725.83</v>
      </c>
      <c r="D27" s="11">
        <v>968388.19000000053</v>
      </c>
      <c r="E27" s="11">
        <v>279418.43</v>
      </c>
      <c r="F27" s="11">
        <v>13345.71</v>
      </c>
      <c r="G27" s="11">
        <v>828.58</v>
      </c>
      <c r="H27" s="11">
        <v>4370561.68</v>
      </c>
      <c r="I27" s="11">
        <v>679.68</v>
      </c>
      <c r="J27" s="11">
        <v>4371241.3599999994</v>
      </c>
      <c r="K27" s="11"/>
      <c r="L27">
        <v>2033</v>
      </c>
      <c r="M27" s="11">
        <v>1694521.0699999994</v>
      </c>
      <c r="N27" s="11">
        <v>1467912.6200000003</v>
      </c>
      <c r="O27" s="11">
        <v>1053041.8800000004</v>
      </c>
      <c r="P27" s="11">
        <v>295542.95999999996</v>
      </c>
      <c r="Q27" s="11">
        <v>14174.289999999999</v>
      </c>
      <c r="R27" s="26">
        <f t="shared" si="2"/>
        <v>4525192.82</v>
      </c>
    </row>
    <row r="28" spans="1:19" x14ac:dyDescent="0.25">
      <c r="A28">
        <v>2034</v>
      </c>
      <c r="B28" s="11">
        <v>1686489.84</v>
      </c>
      <c r="C28" s="11">
        <v>1445171.1399999994</v>
      </c>
      <c r="D28" s="11">
        <v>965092.06000000017</v>
      </c>
      <c r="E28" s="11">
        <v>280315.08999999985</v>
      </c>
      <c r="F28" s="11">
        <v>13339.399999999998</v>
      </c>
      <c r="G28" s="11">
        <v>828.58</v>
      </c>
      <c r="H28" s="11">
        <v>4391236.1099999994</v>
      </c>
      <c r="I28" s="11">
        <v>679.68</v>
      </c>
      <c r="J28" s="11">
        <v>4391915.7899999991</v>
      </c>
      <c r="K28" s="11"/>
      <c r="L28">
        <v>2034</v>
      </c>
      <c r="M28" s="11">
        <v>1716795.13</v>
      </c>
      <c r="N28" s="11">
        <v>1470884.7399999993</v>
      </c>
      <c r="O28" s="11">
        <v>1055089.6499999999</v>
      </c>
      <c r="P28" s="11">
        <v>297457.48999999993</v>
      </c>
      <c r="Q28" s="11">
        <v>14167.979999999996</v>
      </c>
      <c r="R28" s="26">
        <f t="shared" si="2"/>
        <v>4554394.99</v>
      </c>
    </row>
    <row r="29" spans="1:19" x14ac:dyDescent="0.25">
      <c r="A29">
        <v>2035</v>
      </c>
      <c r="B29" s="11">
        <v>1716110.2900000005</v>
      </c>
      <c r="C29" s="11">
        <v>1452756.5600000005</v>
      </c>
      <c r="D29" s="11">
        <v>963369.32000000041</v>
      </c>
      <c r="E29" s="11">
        <v>281296.74000000005</v>
      </c>
      <c r="F29" s="11">
        <v>13338.2</v>
      </c>
      <c r="G29" s="11">
        <v>828.58</v>
      </c>
      <c r="H29" s="11">
        <v>4427699.6900000013</v>
      </c>
      <c r="I29" s="11">
        <v>679.68</v>
      </c>
      <c r="J29" s="11">
        <v>4428379.370000001</v>
      </c>
      <c r="K29" s="23">
        <v>0</v>
      </c>
      <c r="L29">
        <v>2035</v>
      </c>
      <c r="M29" s="11">
        <v>1747064.7500000005</v>
      </c>
      <c r="N29" s="11">
        <v>1479483.69</v>
      </c>
      <c r="O29" s="11">
        <v>1056914.3900000004</v>
      </c>
      <c r="P29" s="11">
        <v>299114.86</v>
      </c>
      <c r="Q29" s="11">
        <v>14166.779999999997</v>
      </c>
      <c r="R29" s="26">
        <f t="shared" si="2"/>
        <v>4596744.4700000016</v>
      </c>
    </row>
    <row r="30" spans="1:19" x14ac:dyDescent="0.25">
      <c r="A30">
        <v>2036</v>
      </c>
      <c r="B30" s="11">
        <v>1755426.1199999994</v>
      </c>
      <c r="C30" s="11">
        <v>1470077.17</v>
      </c>
      <c r="D30" s="11">
        <v>964939.00000000035</v>
      </c>
      <c r="E30" s="11">
        <v>282504.81</v>
      </c>
      <c r="F30" s="11">
        <v>13339.11</v>
      </c>
      <c r="G30" s="11">
        <v>828.58</v>
      </c>
      <c r="H30" s="11">
        <v>4487114.79</v>
      </c>
      <c r="I30" s="11">
        <v>679.68</v>
      </c>
      <c r="J30" s="11">
        <v>4487794.47</v>
      </c>
      <c r="K30" s="11"/>
      <c r="L30">
        <v>2036</v>
      </c>
      <c r="M30" s="11">
        <v>1786508.4599999997</v>
      </c>
      <c r="N30" s="11">
        <v>1497011.8099999998</v>
      </c>
      <c r="O30" s="11">
        <v>1059210.2700000003</v>
      </c>
      <c r="P30" s="11">
        <v>300461.27999999997</v>
      </c>
      <c r="Q30" s="11">
        <v>14167.690000000002</v>
      </c>
      <c r="R30" s="26">
        <f t="shared" si="2"/>
        <v>4657359.5100000007</v>
      </c>
    </row>
    <row r="31" spans="1:19" x14ac:dyDescent="0.25">
      <c r="A31">
        <v>2037</v>
      </c>
      <c r="B31" s="11">
        <v>1779930.2199999995</v>
      </c>
      <c r="C31" s="11">
        <v>1475188.4999999998</v>
      </c>
      <c r="D31" s="11">
        <v>965972.27000000025</v>
      </c>
      <c r="E31" s="11">
        <v>283520.96999999991</v>
      </c>
      <c r="F31" s="11">
        <v>13340.409999999998</v>
      </c>
      <c r="G31" s="11">
        <v>828.58</v>
      </c>
      <c r="H31" s="11">
        <v>4518780.9499999993</v>
      </c>
      <c r="I31" s="11">
        <v>679.68</v>
      </c>
      <c r="J31" s="11">
        <v>4519460.629999999</v>
      </c>
      <c r="K31" s="11"/>
      <c r="L31">
        <v>2037</v>
      </c>
      <c r="M31" s="11">
        <v>1810899.0099999998</v>
      </c>
      <c r="N31" s="11">
        <v>1502023.7000000002</v>
      </c>
      <c r="O31" s="11">
        <v>1059895.3900000001</v>
      </c>
      <c r="P31" s="11">
        <v>301411.08999999997</v>
      </c>
      <c r="Q31" s="11">
        <v>14168.989999999996</v>
      </c>
      <c r="R31" s="26">
        <f t="shared" si="2"/>
        <v>4688398.18</v>
      </c>
    </row>
    <row r="32" spans="1:19" x14ac:dyDescent="0.25">
      <c r="A32">
        <v>2038</v>
      </c>
      <c r="B32" s="11">
        <v>1812453.2499999991</v>
      </c>
      <c r="C32" s="11">
        <v>1487979.2899999993</v>
      </c>
      <c r="D32" s="11">
        <v>967982.39000000013</v>
      </c>
      <c r="E32" s="11">
        <v>284459.34000000003</v>
      </c>
      <c r="F32" s="11">
        <v>13341.58</v>
      </c>
      <c r="G32" s="11">
        <v>828.58</v>
      </c>
      <c r="H32" s="11">
        <v>4567044.4299999978</v>
      </c>
      <c r="I32" s="11">
        <v>679.68</v>
      </c>
      <c r="J32" s="11">
        <v>4567724.1099999975</v>
      </c>
      <c r="K32" s="11"/>
      <c r="L32">
        <v>2038</v>
      </c>
      <c r="M32" s="11">
        <v>1843421.3999999997</v>
      </c>
      <c r="N32" s="11">
        <v>1514744.3799999997</v>
      </c>
      <c r="O32" s="11">
        <v>1061660.22</v>
      </c>
      <c r="P32" s="11">
        <v>302302.7</v>
      </c>
      <c r="Q32" s="11">
        <v>14170.159999999998</v>
      </c>
      <c r="R32" s="26">
        <f t="shared" si="2"/>
        <v>4736298.8599999994</v>
      </c>
      <c r="S32" s="23">
        <v>0</v>
      </c>
    </row>
    <row r="33" spans="1:18" x14ac:dyDescent="0.25">
      <c r="A33">
        <f>A32+1</f>
        <v>2039</v>
      </c>
      <c r="B33" s="11">
        <v>1844418.1199999992</v>
      </c>
      <c r="C33" s="11">
        <v>1501546.16</v>
      </c>
      <c r="D33" s="11">
        <v>970167.44000000006</v>
      </c>
      <c r="E33" s="11">
        <v>285287.55</v>
      </c>
      <c r="F33" s="11">
        <v>13342.960000000003</v>
      </c>
      <c r="G33" s="11">
        <v>828.58</v>
      </c>
      <c r="H33" s="11">
        <v>4615590.8099999996</v>
      </c>
      <c r="I33" s="11">
        <v>679.68</v>
      </c>
      <c r="J33" s="11">
        <v>4616270.4899999993</v>
      </c>
      <c r="K33" s="23">
        <v>0</v>
      </c>
      <c r="L33">
        <f>L32+1</f>
        <v>2039</v>
      </c>
      <c r="M33" s="11">
        <v>1875407.9699999993</v>
      </c>
      <c r="N33" s="11">
        <v>1528265.9400000002</v>
      </c>
      <c r="O33" s="11">
        <v>1063686.6400000001</v>
      </c>
      <c r="P33" s="11">
        <v>303100.72000000003</v>
      </c>
      <c r="Q33" s="11">
        <v>14171.54</v>
      </c>
      <c r="R33" s="26">
        <f t="shared" si="2"/>
        <v>4784632.8099999987</v>
      </c>
    </row>
    <row r="34" spans="1:18" x14ac:dyDescent="0.25">
      <c r="A34">
        <f t="shared" ref="A34" si="3">A33+1</f>
        <v>2040</v>
      </c>
      <c r="B34" s="11">
        <v>1876353.42</v>
      </c>
      <c r="C34" s="11">
        <v>1506320.1099999999</v>
      </c>
      <c r="D34" s="11">
        <v>973054.19000000041</v>
      </c>
      <c r="E34" s="11">
        <v>286146.32000000007</v>
      </c>
      <c r="F34" s="11">
        <v>13328.84</v>
      </c>
      <c r="G34" s="11">
        <v>828.58</v>
      </c>
      <c r="H34" s="11">
        <v>4656031.4600000009</v>
      </c>
      <c r="I34" s="11">
        <v>679.68</v>
      </c>
      <c r="J34" s="11">
        <v>4656711.1400000006</v>
      </c>
      <c r="L34">
        <f>L33+1</f>
        <v>2040</v>
      </c>
      <c r="M34" s="11">
        <v>1907362.0399999996</v>
      </c>
      <c r="N34" s="11">
        <v>1533024.7200000002</v>
      </c>
      <c r="O34" s="11">
        <v>1066520.31</v>
      </c>
      <c r="P34" s="11">
        <v>303949.40999999997</v>
      </c>
      <c r="Q34" s="11">
        <v>14157.42</v>
      </c>
      <c r="R34" s="26">
        <f t="shared" si="2"/>
        <v>4825013.9000000004</v>
      </c>
    </row>
    <row r="35" spans="1:18" x14ac:dyDescent="0.25">
      <c r="B35" s="11"/>
      <c r="C35" s="11"/>
      <c r="D35" s="11"/>
      <c r="E35" s="11"/>
      <c r="F35" s="11"/>
      <c r="G35" s="11"/>
      <c r="H35" s="11"/>
      <c r="I35" s="11"/>
      <c r="J35" s="11"/>
      <c r="M35" s="11"/>
      <c r="N35" s="11"/>
      <c r="O35" s="11"/>
      <c r="P35" s="11"/>
      <c r="Q35" s="11"/>
      <c r="R35" s="11"/>
    </row>
  </sheetData>
  <pageMargins left="0.7" right="0.7" top="0.94791666666666663" bottom="0.75" header="0.3" footer="0.3"/>
  <pageSetup scale="62" fitToHeight="0" orientation="landscape" r:id="rId1"/>
  <headerFooter>
    <oddHeader>&amp;R&amp;"Times New Roman,Bold"&amp;10KyPSC Case No. 2021-00245
STAFF-PHDR-01-003 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576E-D4A2-4FA0-A0A5-FB8D5DB23757}">
  <sheetPr>
    <pageSetUpPr fitToPage="1"/>
  </sheetPr>
  <dimension ref="B2:AC41"/>
  <sheetViews>
    <sheetView view="pageLayout" zoomScaleNormal="90" workbookViewId="0">
      <selection activeCell="D11" sqref="D11"/>
    </sheetView>
  </sheetViews>
  <sheetFormatPr defaultRowHeight="15" x14ac:dyDescent="0.25"/>
  <cols>
    <col min="4" max="4" width="11.7109375" customWidth="1"/>
    <col min="5" max="5" width="12.140625" customWidth="1"/>
    <col min="7" max="7" width="10.7109375" customWidth="1"/>
    <col min="10" max="10" width="14.42578125" customWidth="1"/>
    <col min="11" max="11" width="18.5703125" customWidth="1"/>
    <col min="12" max="12" width="11.7109375" style="17" customWidth="1"/>
    <col min="14" max="14" width="77.28515625" bestFit="1" customWidth="1"/>
  </cols>
  <sheetData>
    <row r="2" spans="2:29" ht="14.45" customHeight="1" x14ac:dyDescent="0.25">
      <c r="B2" s="1"/>
      <c r="C2" s="27" t="s">
        <v>24</v>
      </c>
      <c r="D2" s="27"/>
      <c r="E2" s="27"/>
      <c r="F2" s="27"/>
      <c r="G2" s="27"/>
      <c r="H2" s="27"/>
      <c r="I2" s="27"/>
      <c r="J2" s="27"/>
      <c r="K2" s="27"/>
      <c r="L2" s="27"/>
    </row>
    <row r="3" spans="2:29" ht="14.45" customHeight="1" x14ac:dyDescent="0.25">
      <c r="B3" s="1"/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</row>
    <row r="4" spans="2:29" ht="14.45" customHeight="1" x14ac:dyDescent="0.25">
      <c r="B4" s="1"/>
      <c r="C4" s="27" t="s">
        <v>25</v>
      </c>
      <c r="D4" s="27"/>
      <c r="E4" s="27"/>
      <c r="F4" s="27"/>
      <c r="G4" s="27"/>
      <c r="H4" s="27"/>
      <c r="I4" s="27"/>
      <c r="J4" s="27"/>
      <c r="K4" s="27"/>
      <c r="L4" s="27"/>
    </row>
    <row r="5" spans="2:29" x14ac:dyDescent="0.25">
      <c r="B5" s="1"/>
      <c r="C5" s="27" t="s">
        <v>26</v>
      </c>
      <c r="D5" s="27"/>
      <c r="E5" s="27"/>
      <c r="F5" s="27"/>
      <c r="G5" s="27"/>
      <c r="H5" s="27"/>
      <c r="I5" s="27"/>
      <c r="J5" s="27"/>
      <c r="K5" s="27"/>
      <c r="L5" s="27"/>
    </row>
    <row r="6" spans="2:29" x14ac:dyDescent="0.25"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9" x14ac:dyDescent="0.25">
      <c r="B7" s="1"/>
      <c r="C7" s="2"/>
      <c r="D7" s="3">
        <v>-1</v>
      </c>
      <c r="E7" s="3">
        <v>-2</v>
      </c>
      <c r="F7" s="3">
        <v>-3</v>
      </c>
      <c r="G7" s="3">
        <v>-4</v>
      </c>
      <c r="H7" s="3">
        <v>-5</v>
      </c>
      <c r="I7" s="3">
        <v>-6</v>
      </c>
      <c r="J7" s="3">
        <v>-7</v>
      </c>
      <c r="K7" s="3">
        <v>-8</v>
      </c>
      <c r="L7" s="3">
        <v>-9</v>
      </c>
    </row>
    <row r="8" spans="2:29" s="5" customFormat="1" ht="45" x14ac:dyDescent="0.25">
      <c r="B8" s="4"/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27</v>
      </c>
      <c r="I8" s="4" t="s">
        <v>10</v>
      </c>
      <c r="J8" s="4" t="s">
        <v>11</v>
      </c>
      <c r="K8" s="4" t="s">
        <v>28</v>
      </c>
      <c r="L8" s="4" t="s">
        <v>13</v>
      </c>
      <c r="N8" s="5" t="s">
        <v>14</v>
      </c>
      <c r="O8" s="24" t="s">
        <v>48</v>
      </c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6">
        <v>-5</v>
      </c>
      <c r="C9" s="7">
        <f>2020+B9</f>
        <v>2015</v>
      </c>
      <c r="D9" s="8">
        <f>Annual_summ!B9</f>
        <v>1445887.1330000001</v>
      </c>
      <c r="E9" s="8">
        <f>Annual_summ!C9</f>
        <v>1477900.0859999999</v>
      </c>
      <c r="F9" s="8">
        <f>Annual_summ!D9</f>
        <v>812522.10200000007</v>
      </c>
      <c r="G9" s="8">
        <f>Annual_summ!F9</f>
        <v>15120.166000000001</v>
      </c>
      <c r="H9" s="8">
        <v>0</v>
      </c>
      <c r="I9" s="8">
        <f>Annual_summ!G9+Annual_summ!E9+Annual_summ!I9</f>
        <v>292528.37900000002</v>
      </c>
      <c r="J9" s="8">
        <f>SUM(D9:I9)</f>
        <v>4043957.8660000004</v>
      </c>
      <c r="K9" s="8">
        <f>(J9-Annual_summ!I9)*0.0793</f>
        <v>320627.49397380004</v>
      </c>
      <c r="L9" s="8">
        <f>SUM(J9:K9)</f>
        <v>4364585.3599738004</v>
      </c>
      <c r="N9" t="s">
        <v>47</v>
      </c>
    </row>
    <row r="10" spans="2:29" x14ac:dyDescent="0.25">
      <c r="B10" s="6">
        <v>-4</v>
      </c>
      <c r="C10" s="7">
        <f t="shared" ref="C10:C34" si="0">2020+B10</f>
        <v>2016</v>
      </c>
      <c r="D10" s="8">
        <f>Annual_summ!B10</f>
        <v>1451681.6649999998</v>
      </c>
      <c r="E10" s="8">
        <f>Annual_summ!C10</f>
        <v>1494014.3289999999</v>
      </c>
      <c r="F10" s="8">
        <f>Annual_summ!D10</f>
        <v>810977.38299999991</v>
      </c>
      <c r="G10" s="8">
        <f>Annual_summ!F10</f>
        <v>15263.851000000001</v>
      </c>
      <c r="H10" s="8">
        <v>0</v>
      </c>
      <c r="I10" s="8">
        <f>Annual_summ!G10+Annual_summ!E10+Annual_summ!I10</f>
        <v>293917.78200000001</v>
      </c>
      <c r="J10" s="8">
        <f t="shared" ref="J10:J14" si="1">SUM(D10:I10)</f>
        <v>4065855.01</v>
      </c>
      <c r="K10" s="8">
        <f>(J10-Annual_summ!I10)*0.0793</f>
        <v>322367.26809299999</v>
      </c>
      <c r="L10" s="8">
        <f>SUM(J10:K10)</f>
        <v>4388222.2780929999</v>
      </c>
    </row>
    <row r="11" spans="2:29" x14ac:dyDescent="0.25">
      <c r="B11" s="6">
        <v>-3</v>
      </c>
      <c r="C11" s="7">
        <f t="shared" si="0"/>
        <v>2017</v>
      </c>
      <c r="D11" s="8">
        <f>Annual_summ!B11</f>
        <v>1395234.0320000001</v>
      </c>
      <c r="E11" s="8">
        <f>Annual_summ!C11</f>
        <v>1450923.6409999998</v>
      </c>
      <c r="F11" s="8">
        <f>Annual_summ!D11</f>
        <v>800033.97500000009</v>
      </c>
      <c r="G11" s="8">
        <f>Annual_summ!F11</f>
        <v>15076.635999999999</v>
      </c>
      <c r="H11" s="8">
        <v>0</v>
      </c>
      <c r="I11" s="8">
        <f>Annual_summ!G11+Annual_summ!E11+Annual_summ!I11</f>
        <v>278592.68300000002</v>
      </c>
      <c r="J11" s="8">
        <f t="shared" si="1"/>
        <v>3939860.9670000002</v>
      </c>
      <c r="K11" s="8">
        <f>(J11-Annual_summ!I11)*0.0793</f>
        <v>312376.73348310002</v>
      </c>
      <c r="L11" s="8">
        <f>SUM(J11:K11)</f>
        <v>4252237.7004831005</v>
      </c>
      <c r="N11" t="s">
        <v>17</v>
      </c>
    </row>
    <row r="12" spans="2:29" x14ac:dyDescent="0.25">
      <c r="B12" s="6">
        <v>-2</v>
      </c>
      <c r="C12" s="7">
        <f t="shared" si="0"/>
        <v>2018</v>
      </c>
      <c r="D12" s="8">
        <f>Annual_summ!B12</f>
        <v>1563655.52</v>
      </c>
      <c r="E12" s="8">
        <f>Annual_summ!C12</f>
        <v>1479510.963</v>
      </c>
      <c r="F12" s="8">
        <f>Annual_summ!D12</f>
        <v>814988.88699999999</v>
      </c>
      <c r="G12" s="8">
        <f>Annual_summ!F12</f>
        <v>14317.231</v>
      </c>
      <c r="H12" s="8">
        <v>0</v>
      </c>
      <c r="I12" s="8">
        <f>Annual_summ!G12+Annual_summ!E12+Annual_summ!I12</f>
        <v>285908.91700000007</v>
      </c>
      <c r="J12" s="8">
        <f t="shared" si="1"/>
        <v>4158381.5180000002</v>
      </c>
      <c r="K12" s="8">
        <f>(J12-Annual_summ!I12)*0.0793</f>
        <v>329698.09608709998</v>
      </c>
      <c r="L12" s="8">
        <f>SUM(J12:K12)</f>
        <v>4488079.6140871001</v>
      </c>
    </row>
    <row r="13" spans="2:29" x14ac:dyDescent="0.25">
      <c r="B13" s="6">
        <v>-1</v>
      </c>
      <c r="C13" s="7">
        <f t="shared" si="0"/>
        <v>2019</v>
      </c>
      <c r="D13" s="8">
        <f>Annual_summ!B13</f>
        <v>1512663.9469999999</v>
      </c>
      <c r="E13" s="8">
        <f>Annual_summ!C13</f>
        <v>1460449.6629999997</v>
      </c>
      <c r="F13" s="8">
        <f>Annual_summ!D13</f>
        <v>817559.38600000006</v>
      </c>
      <c r="G13" s="8">
        <f>Annual_summ!F13</f>
        <v>13759.195000000002</v>
      </c>
      <c r="H13" s="8">
        <v>0</v>
      </c>
      <c r="I13" s="8">
        <f>Annual_summ!G13+Annual_summ!E13+Annual_summ!I13</f>
        <v>276727.53999999998</v>
      </c>
      <c r="J13" s="8">
        <f t="shared" si="1"/>
        <v>4081159.7309999992</v>
      </c>
      <c r="K13" s="8">
        <f>(J13-Annual_summ!I13)*0.0793</f>
        <v>323583.04153109994</v>
      </c>
      <c r="L13" s="8">
        <f>SUM(J13:K13)</f>
        <v>4404742.7725310996</v>
      </c>
    </row>
    <row r="14" spans="2:29" x14ac:dyDescent="0.25">
      <c r="B14" s="6">
        <v>0</v>
      </c>
      <c r="C14" s="7">
        <f t="shared" si="0"/>
        <v>2020</v>
      </c>
      <c r="D14" s="8">
        <f>Annual_summ!B14</f>
        <v>1477913.73</v>
      </c>
      <c r="E14" s="8">
        <f>Annual_summ!C14</f>
        <v>1416427.0919999999</v>
      </c>
      <c r="F14" s="8">
        <f>Annual_summ!D14</f>
        <v>746181.60000000009</v>
      </c>
      <c r="G14" s="8">
        <f>Annual_summ!F14</f>
        <v>13826.707000000002</v>
      </c>
      <c r="H14" s="8">
        <v>0</v>
      </c>
      <c r="I14" s="8">
        <f>Annual_summ!G14+Annual_summ!E14+Annual_summ!I14</f>
        <v>188356.215</v>
      </c>
      <c r="J14" s="8">
        <f t="shared" si="1"/>
        <v>3842705.3439999996</v>
      </c>
      <c r="K14" s="8">
        <f>(J14-Annual_summ!I14)*0.0793</f>
        <v>304676.92465079995</v>
      </c>
      <c r="L14" s="8">
        <f t="shared" ref="L14:L34" si="2">SUM(J14:K14)</f>
        <v>4147382.2686507995</v>
      </c>
      <c r="N14" t="s">
        <v>29</v>
      </c>
      <c r="O14" s="9"/>
      <c r="P14" s="9"/>
      <c r="R14" s="10"/>
    </row>
    <row r="15" spans="2:29" x14ac:dyDescent="0.25">
      <c r="B15" s="6">
        <v>1</v>
      </c>
      <c r="C15" s="7">
        <f t="shared" si="0"/>
        <v>2021</v>
      </c>
      <c r="D15" s="8">
        <f>Annual_summ!B15</f>
        <v>1481262.0599999994</v>
      </c>
      <c r="E15" s="8">
        <f>Annual_summ!C15</f>
        <v>1440776.06</v>
      </c>
      <c r="F15" s="8">
        <f>Annual_summ!D15</f>
        <v>812705.0500000004</v>
      </c>
      <c r="G15" s="8">
        <f>Annual_summ!F15</f>
        <v>13663.58</v>
      </c>
      <c r="H15" s="8">
        <v>0</v>
      </c>
      <c r="I15" s="8">
        <f>Annual_summ!G15+Annual_summ!E15+Annual_summ!I15</f>
        <v>226890.23</v>
      </c>
      <c r="J15" s="8">
        <f t="shared" ref="J15:J34" si="3">SUM(D15:I15)</f>
        <v>3975296.9799999995</v>
      </c>
      <c r="K15" s="8">
        <f>(J15-Annual_summ!I15)*0.0793</f>
        <v>315187.15188999992</v>
      </c>
      <c r="L15" s="8">
        <f t="shared" si="2"/>
        <v>4290484.1318899998</v>
      </c>
      <c r="M15" s="10">
        <f>K15/L15</f>
        <v>7.3461908307106805E-2</v>
      </c>
      <c r="O15" s="25">
        <v>0</v>
      </c>
      <c r="P15" s="9"/>
      <c r="Q15" s="10"/>
      <c r="R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x14ac:dyDescent="0.25">
      <c r="B16" s="6">
        <v>2</v>
      </c>
      <c r="C16" s="7">
        <f t="shared" si="0"/>
        <v>2022</v>
      </c>
      <c r="D16" s="8">
        <f>Annual_summ!B16</f>
        <v>1477025.9000000001</v>
      </c>
      <c r="E16" s="8">
        <f>Annual_summ!C16</f>
        <v>1409836.5999999999</v>
      </c>
      <c r="F16" s="8">
        <f>Annual_summ!D16</f>
        <v>866225.33000000019</v>
      </c>
      <c r="G16" s="8">
        <f>Annual_summ!F16</f>
        <v>13616.87</v>
      </c>
      <c r="H16" s="8">
        <v>0</v>
      </c>
      <c r="I16" s="8">
        <f>Annual_summ!G16+Annual_summ!E16+Annual_summ!I16</f>
        <v>267691.06000000006</v>
      </c>
      <c r="J16" s="8">
        <f t="shared" si="3"/>
        <v>4034395.7600000002</v>
      </c>
      <c r="K16" s="8">
        <f>(J16-Annual_summ!I16)*0.0793</f>
        <v>319873.68514399999</v>
      </c>
      <c r="L16" s="8">
        <f t="shared" si="2"/>
        <v>4354269.4451440005</v>
      </c>
      <c r="M16" s="10">
        <f t="shared" ref="M16:M34" si="4">K16/L16</f>
        <v>7.3462078811115328E-2</v>
      </c>
      <c r="O16" s="25">
        <v>0</v>
      </c>
      <c r="P16" s="9"/>
      <c r="Q16" s="10"/>
      <c r="R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x14ac:dyDescent="0.25">
      <c r="B17" s="6">
        <v>3</v>
      </c>
      <c r="C17" s="7">
        <f t="shared" si="0"/>
        <v>2023</v>
      </c>
      <c r="D17" s="8">
        <f>Annual_summ!B17</f>
        <v>1483566.3799999994</v>
      </c>
      <c r="E17" s="8">
        <f>Annual_summ!C17</f>
        <v>1412459.5399999993</v>
      </c>
      <c r="F17" s="8">
        <f>Annual_summ!D17</f>
        <v>931160.92000000027</v>
      </c>
      <c r="G17" s="8">
        <f>Annual_summ!F17</f>
        <v>13580.8</v>
      </c>
      <c r="H17" s="8">
        <v>0</v>
      </c>
      <c r="I17" s="8">
        <f>Annual_summ!G17+Annual_summ!E17+Annual_summ!I17</f>
        <v>269315.81</v>
      </c>
      <c r="J17" s="8">
        <f t="shared" si="3"/>
        <v>4110083.4499999993</v>
      </c>
      <c r="K17" s="8">
        <f>(J17-Annual_summ!I17)*0.0793</f>
        <v>325875.71896099992</v>
      </c>
      <c r="L17" s="8">
        <f t="shared" si="2"/>
        <v>4435959.1689609988</v>
      </c>
      <c r="M17" s="10">
        <f t="shared" si="4"/>
        <v>7.3462290014118262E-2</v>
      </c>
      <c r="O17" s="25">
        <v>0</v>
      </c>
      <c r="P17" s="9"/>
      <c r="Q17" s="10"/>
      <c r="R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2:29" x14ac:dyDescent="0.25">
      <c r="B18" s="6">
        <v>4</v>
      </c>
      <c r="C18" s="7">
        <f t="shared" si="0"/>
        <v>2024</v>
      </c>
      <c r="D18" s="8">
        <f>Annual_summ!B18</f>
        <v>1491406.2800000005</v>
      </c>
      <c r="E18" s="8">
        <f>Annual_summ!C18</f>
        <v>1420430.4400000006</v>
      </c>
      <c r="F18" s="8">
        <f>Annual_summ!D18</f>
        <v>928475.00000000012</v>
      </c>
      <c r="G18" s="8">
        <f>Annual_summ!F18</f>
        <v>13563.219999999998</v>
      </c>
      <c r="H18" s="8">
        <v>0</v>
      </c>
      <c r="I18" s="8">
        <f>Annual_summ!G18+Annual_summ!E18+Annual_summ!I18</f>
        <v>269470.2</v>
      </c>
      <c r="J18" s="8">
        <f t="shared" si="3"/>
        <v>4123345.1400000015</v>
      </c>
      <c r="K18" s="8">
        <f>(J18-Annual_summ!I18)*0.0793</f>
        <v>326927.37097800011</v>
      </c>
      <c r="L18" s="8">
        <f t="shared" si="2"/>
        <v>4450272.5109780021</v>
      </c>
      <c r="M18" s="10">
        <f t="shared" si="4"/>
        <v>7.346232622194046E-2</v>
      </c>
      <c r="O18" s="25">
        <v>0</v>
      </c>
      <c r="P18" s="9"/>
      <c r="Q18" s="10"/>
      <c r="R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2:29" x14ac:dyDescent="0.25">
      <c r="B19" s="6">
        <v>5</v>
      </c>
      <c r="C19" s="7">
        <f t="shared" si="0"/>
        <v>2025</v>
      </c>
      <c r="D19" s="8">
        <f>Annual_summ!B19</f>
        <v>1516641.3999999992</v>
      </c>
      <c r="E19" s="8">
        <f>Annual_summ!C19</f>
        <v>1434560.4400000002</v>
      </c>
      <c r="F19" s="8">
        <f>Annual_summ!D19</f>
        <v>957140.73000000045</v>
      </c>
      <c r="G19" s="8">
        <f>Annual_summ!F19</f>
        <v>13548.6</v>
      </c>
      <c r="H19" s="8">
        <v>0</v>
      </c>
      <c r="I19" s="8">
        <f>Annual_summ!G19+Annual_summ!E19+Annual_summ!I19</f>
        <v>270048.01</v>
      </c>
      <c r="J19" s="8">
        <f t="shared" si="3"/>
        <v>4191939.1799999997</v>
      </c>
      <c r="K19" s="8">
        <f>(J19-Annual_summ!I19)*0.0793</f>
        <v>332366.87834999996</v>
      </c>
      <c r="L19" s="8">
        <f t="shared" si="2"/>
        <v>4524306.0583499996</v>
      </c>
      <c r="M19" s="10">
        <f t="shared" si="4"/>
        <v>7.3462509844263973E-2</v>
      </c>
      <c r="O19" s="25">
        <v>0</v>
      </c>
      <c r="P19" s="9"/>
      <c r="Q19" s="10"/>
      <c r="R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2:29" x14ac:dyDescent="0.25">
      <c r="B20" s="6">
        <v>6</v>
      </c>
      <c r="C20" s="7">
        <f t="shared" si="0"/>
        <v>2026</v>
      </c>
      <c r="D20" s="8">
        <f>Annual_summ!B20</f>
        <v>1525979.2299999995</v>
      </c>
      <c r="E20" s="8">
        <f>Annual_summ!C20</f>
        <v>1430348.69</v>
      </c>
      <c r="F20" s="8">
        <f>Annual_summ!D20</f>
        <v>950315.85999999975</v>
      </c>
      <c r="G20" s="8">
        <f>Annual_summ!F20</f>
        <v>13534.46</v>
      </c>
      <c r="H20" s="8">
        <v>0</v>
      </c>
      <c r="I20" s="8">
        <f>Annual_summ!G20+Annual_summ!E20+Annual_summ!I20</f>
        <v>270883.55</v>
      </c>
      <c r="J20" s="8">
        <f t="shared" si="3"/>
        <v>4191061.7899999991</v>
      </c>
      <c r="K20" s="8">
        <f>(J20-Annual_summ!I20)*0.0793</f>
        <v>332297.30132299988</v>
      </c>
      <c r="L20" s="8">
        <f t="shared" si="2"/>
        <v>4523359.0913229994</v>
      </c>
      <c r="M20" s="10">
        <f t="shared" si="4"/>
        <v>7.346250753349079E-2</v>
      </c>
      <c r="O20" s="25">
        <v>0</v>
      </c>
      <c r="P20" s="9"/>
      <c r="Q20" s="10"/>
      <c r="R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x14ac:dyDescent="0.25">
      <c r="B21" s="6">
        <v>7</v>
      </c>
      <c r="C21" s="7">
        <f t="shared" si="0"/>
        <v>2027</v>
      </c>
      <c r="D21" s="8">
        <f>Annual_summ!B21</f>
        <v>1542688.9599999997</v>
      </c>
      <c r="E21" s="8">
        <f>Annual_summ!C21</f>
        <v>1431045.57</v>
      </c>
      <c r="F21" s="8">
        <f>Annual_summ!D21</f>
        <v>945168.95000000007</v>
      </c>
      <c r="G21" s="8">
        <f>Annual_summ!F21</f>
        <v>13524.369999999999</v>
      </c>
      <c r="H21" s="8">
        <v>0</v>
      </c>
      <c r="I21" s="8">
        <f>Annual_summ!G21+Annual_summ!E21+Annual_summ!I21</f>
        <v>272317.52999999997</v>
      </c>
      <c r="J21" s="8">
        <f t="shared" si="3"/>
        <v>4204745.38</v>
      </c>
      <c r="K21" s="8">
        <f>(J21-Annual_summ!I21)*0.0793</f>
        <v>333382.41000999999</v>
      </c>
      <c r="L21" s="8">
        <f t="shared" si="2"/>
        <v>4538127.7900099996</v>
      </c>
      <c r="M21" s="10">
        <f t="shared" si="4"/>
        <v>7.3462543462061783E-2</v>
      </c>
      <c r="O21" s="25">
        <v>0</v>
      </c>
      <c r="P21" s="9"/>
      <c r="Q21" s="10"/>
      <c r="R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2:29" x14ac:dyDescent="0.25">
      <c r="B22" s="6">
        <v>8</v>
      </c>
      <c r="C22" s="7">
        <f t="shared" si="0"/>
        <v>2028</v>
      </c>
      <c r="D22" s="8">
        <f>Annual_summ!B22</f>
        <v>1558264.4099999997</v>
      </c>
      <c r="E22" s="8">
        <f>Annual_summ!C22</f>
        <v>1433163.4699999995</v>
      </c>
      <c r="F22" s="8">
        <f>Annual_summ!D22</f>
        <v>943013.4</v>
      </c>
      <c r="G22" s="8">
        <f>Annual_summ!F22</f>
        <v>13515.870000000003</v>
      </c>
      <c r="H22" s="8">
        <v>0</v>
      </c>
      <c r="I22" s="8">
        <f>Annual_summ!G22+Annual_summ!E22+Annual_summ!I22</f>
        <v>273964.28000000003</v>
      </c>
      <c r="J22" s="8">
        <f t="shared" si="3"/>
        <v>4221921.4299999988</v>
      </c>
      <c r="K22" s="8">
        <f>(J22-Annual_summ!I22)*0.0793</f>
        <v>334744.47077499994</v>
      </c>
      <c r="L22" s="8">
        <f t="shared" si="2"/>
        <v>4556665.9007749986</v>
      </c>
      <c r="M22" s="10">
        <f t="shared" si="4"/>
        <v>7.3462588231027984E-2</v>
      </c>
      <c r="O22" s="25">
        <v>0</v>
      </c>
      <c r="P22" s="9"/>
      <c r="Q22" s="10"/>
      <c r="R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2:29" x14ac:dyDescent="0.25">
      <c r="B23" s="6">
        <v>9</v>
      </c>
      <c r="C23" s="7">
        <f t="shared" si="0"/>
        <v>2029</v>
      </c>
      <c r="D23" s="8">
        <f>Annual_summ!B23</f>
        <v>1575040.1800000004</v>
      </c>
      <c r="E23" s="8">
        <f>Annual_summ!C23</f>
        <v>1434508.6700000006</v>
      </c>
      <c r="F23" s="8">
        <f>Annual_summ!D23</f>
        <v>940265.63000000047</v>
      </c>
      <c r="G23" s="8">
        <f>Annual_summ!F23</f>
        <v>13509.61</v>
      </c>
      <c r="H23" s="8">
        <v>0</v>
      </c>
      <c r="I23" s="8">
        <f>Annual_summ!G23+Annual_summ!E23+Annual_summ!I23</f>
        <v>275523.30999999994</v>
      </c>
      <c r="J23" s="8">
        <f t="shared" si="3"/>
        <v>4238847.4000000013</v>
      </c>
      <c r="K23" s="8">
        <f>(J23-Annual_summ!I23)*0.0793</f>
        <v>336086.70019600011</v>
      </c>
      <c r="L23" s="8">
        <f t="shared" si="2"/>
        <v>4574934.1001960011</v>
      </c>
      <c r="M23" s="10">
        <f t="shared" si="4"/>
        <v>7.3462631993234911E-2</v>
      </c>
      <c r="O23" s="25">
        <v>0</v>
      </c>
      <c r="P23" s="9"/>
      <c r="Q23" s="10"/>
      <c r="R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x14ac:dyDescent="0.25">
      <c r="B24" s="6">
        <v>10</v>
      </c>
      <c r="C24" s="7">
        <f t="shared" si="0"/>
        <v>2030</v>
      </c>
      <c r="D24" s="8">
        <f>Annual_summ!B24</f>
        <v>1599006.1799999997</v>
      </c>
      <c r="E24" s="8">
        <f>Annual_summ!C24</f>
        <v>1436910.2999999998</v>
      </c>
      <c r="F24" s="8">
        <f>Annual_summ!D24</f>
        <v>973099.31</v>
      </c>
      <c r="G24" s="8">
        <f>Annual_summ!F24</f>
        <v>13437.86</v>
      </c>
      <c r="H24" s="8">
        <v>0</v>
      </c>
      <c r="I24" s="8">
        <f>Annual_summ!G24+Annual_summ!E24+Annual_summ!I24</f>
        <v>277102.7</v>
      </c>
      <c r="J24" s="8">
        <f t="shared" si="3"/>
        <v>4299556.3499999996</v>
      </c>
      <c r="K24" s="8">
        <f>(J24-Annual_summ!I24)*0.0793</f>
        <v>340900.91993099998</v>
      </c>
      <c r="L24" s="8">
        <f t="shared" si="2"/>
        <v>4640457.2699309997</v>
      </c>
      <c r="M24" s="10">
        <f t="shared" si="4"/>
        <v>7.3462786122383356E-2</v>
      </c>
      <c r="O24" s="25">
        <v>0</v>
      </c>
      <c r="P24" s="9"/>
      <c r="Q24" s="10"/>
      <c r="R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x14ac:dyDescent="0.25">
      <c r="B25" s="6">
        <v>11</v>
      </c>
      <c r="C25" s="7">
        <f t="shared" si="0"/>
        <v>2031</v>
      </c>
      <c r="D25" s="8">
        <f>Annual_summ!B25</f>
        <v>1615818.3299999998</v>
      </c>
      <c r="E25" s="8">
        <f>Annual_summ!C25</f>
        <v>1434916.3000000005</v>
      </c>
      <c r="F25" s="8">
        <f>Annual_summ!D25</f>
        <v>972075.93</v>
      </c>
      <c r="G25" s="8">
        <f>Annual_summ!F25</f>
        <v>13386.49</v>
      </c>
      <c r="H25" s="8">
        <v>0</v>
      </c>
      <c r="I25" s="8">
        <f>Annual_summ!G25+Annual_summ!E25+Annual_summ!I25</f>
        <v>278521.03000000003</v>
      </c>
      <c r="J25" s="8">
        <f t="shared" si="3"/>
        <v>4314718.080000001</v>
      </c>
      <c r="K25" s="8">
        <f>(J25-Annual_summ!I25)*0.0793</f>
        <v>342103.24512000009</v>
      </c>
      <c r="L25" s="8">
        <f t="shared" si="2"/>
        <v>4656821.3251200011</v>
      </c>
      <c r="M25" s="10">
        <f t="shared" si="4"/>
        <v>7.3462823938426389E-2</v>
      </c>
      <c r="O25" s="25">
        <v>0</v>
      </c>
      <c r="P25" s="9"/>
      <c r="Q25" s="10"/>
      <c r="R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2:29" x14ac:dyDescent="0.25">
      <c r="B26" s="6">
        <v>12</v>
      </c>
      <c r="C26" s="7">
        <f t="shared" si="0"/>
        <v>2032</v>
      </c>
      <c r="D26" s="8">
        <f>Annual_summ!B26</f>
        <v>1638608.9599999993</v>
      </c>
      <c r="E26" s="8">
        <f>Annual_summ!C26</f>
        <v>1439346.9000000004</v>
      </c>
      <c r="F26" s="8">
        <f>Annual_summ!D26</f>
        <v>971338.44000000018</v>
      </c>
      <c r="G26" s="8">
        <f>Annual_summ!F26</f>
        <v>13356.100000000002</v>
      </c>
      <c r="H26" s="8">
        <v>0</v>
      </c>
      <c r="I26" s="8">
        <f>Annual_summ!G26+Annual_summ!E26+Annual_summ!I26</f>
        <v>279814.24999999994</v>
      </c>
      <c r="J26" s="8">
        <f t="shared" si="3"/>
        <v>4342464.6499999994</v>
      </c>
      <c r="K26" s="8">
        <f>(J26-Annual_summ!I26)*0.0793</f>
        <v>344303.54812099994</v>
      </c>
      <c r="L26" s="8">
        <f t="shared" si="2"/>
        <v>4686768.1981209991</v>
      </c>
      <c r="M26" s="10">
        <f t="shared" si="4"/>
        <v>7.3462892459464232E-2</v>
      </c>
      <c r="O26" s="25">
        <v>0</v>
      </c>
      <c r="P26" s="9"/>
      <c r="Q26" s="10"/>
      <c r="R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2:29" x14ac:dyDescent="0.25">
      <c r="B27" s="6">
        <v>13</v>
      </c>
      <c r="C27" s="7">
        <f t="shared" si="0"/>
        <v>2033</v>
      </c>
      <c r="D27" s="8">
        <f>Annual_summ!B27</f>
        <v>1664854.9399999992</v>
      </c>
      <c r="E27" s="8">
        <f>Annual_summ!C27</f>
        <v>1443725.83</v>
      </c>
      <c r="F27" s="8">
        <f>Annual_summ!D27</f>
        <v>968388.19000000053</v>
      </c>
      <c r="G27" s="8">
        <f>Annual_summ!F27</f>
        <v>13345.71</v>
      </c>
      <c r="H27" s="8">
        <v>0</v>
      </c>
      <c r="I27" s="8">
        <f>Annual_summ!G27+Annual_summ!E27+Annual_summ!I27</f>
        <v>280926.69</v>
      </c>
      <c r="J27" s="8">
        <f t="shared" si="3"/>
        <v>4371241.3600000003</v>
      </c>
      <c r="K27" s="8">
        <f>(J27-Annual_summ!I27)*0.0793</f>
        <v>346585.54122400004</v>
      </c>
      <c r="L27" s="8">
        <f t="shared" si="2"/>
        <v>4717826.9012240004</v>
      </c>
      <c r="M27" s="10">
        <f t="shared" si="4"/>
        <v>7.3462962605533783E-2</v>
      </c>
      <c r="O27" s="25">
        <v>0</v>
      </c>
      <c r="P27" s="9"/>
      <c r="Q27" s="10"/>
      <c r="R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2:29" x14ac:dyDescent="0.25">
      <c r="B28" s="6">
        <v>14</v>
      </c>
      <c r="C28" s="7">
        <f t="shared" si="0"/>
        <v>2034</v>
      </c>
      <c r="D28" s="8">
        <f>Annual_summ!B28</f>
        <v>1686489.84</v>
      </c>
      <c r="E28" s="8">
        <f>Annual_summ!C28</f>
        <v>1445171.1399999994</v>
      </c>
      <c r="F28" s="8">
        <f>Annual_summ!D28</f>
        <v>965092.06000000017</v>
      </c>
      <c r="G28" s="8">
        <f>Annual_summ!F28</f>
        <v>13339.399999999998</v>
      </c>
      <c r="H28" s="8">
        <v>0</v>
      </c>
      <c r="I28" s="8">
        <f>Annual_summ!G28+Annual_summ!E28+Annual_summ!I28</f>
        <v>281823.34999999986</v>
      </c>
      <c r="J28" s="8">
        <f t="shared" si="3"/>
        <v>4391915.7899999991</v>
      </c>
      <c r="K28" s="8">
        <f>(J28-Annual_summ!I28)*0.0793</f>
        <v>348225.02352299995</v>
      </c>
      <c r="L28" s="8">
        <f t="shared" si="2"/>
        <v>4740140.8135229992</v>
      </c>
      <c r="M28" s="10">
        <f t="shared" si="4"/>
        <v>7.3463012434052524E-2</v>
      </c>
      <c r="O28" s="25">
        <v>0</v>
      </c>
      <c r="P28" s="9"/>
      <c r="Q28" s="10"/>
      <c r="R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x14ac:dyDescent="0.25">
      <c r="B29" s="6">
        <v>15</v>
      </c>
      <c r="C29" s="7">
        <f t="shared" si="0"/>
        <v>2035</v>
      </c>
      <c r="D29" s="8">
        <f>Annual_summ!B29</f>
        <v>1716110.2900000005</v>
      </c>
      <c r="E29" s="8">
        <f>Annual_summ!C29</f>
        <v>1452756.5600000005</v>
      </c>
      <c r="F29" s="8">
        <f>Annual_summ!D29</f>
        <v>963369.32000000041</v>
      </c>
      <c r="G29" s="8">
        <f>Annual_summ!F29</f>
        <v>13338.2</v>
      </c>
      <c r="H29" s="8">
        <v>0</v>
      </c>
      <c r="I29" s="8">
        <f>Annual_summ!G29+Annual_summ!E29+Annual_summ!I29</f>
        <v>282805.00000000006</v>
      </c>
      <c r="J29" s="8">
        <f t="shared" si="3"/>
        <v>4428379.370000002</v>
      </c>
      <c r="K29" s="8">
        <f>(J29-Annual_summ!I29)*0.0793</f>
        <v>351116.58541700017</v>
      </c>
      <c r="L29" s="8">
        <f t="shared" si="2"/>
        <v>4779495.9554170026</v>
      </c>
      <c r="M29" s="10">
        <f t="shared" si="4"/>
        <v>7.3463099182885669E-2</v>
      </c>
      <c r="O29" s="25">
        <v>0</v>
      </c>
      <c r="P29" s="9"/>
      <c r="Q29" s="10"/>
      <c r="R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2:29" x14ac:dyDescent="0.25">
      <c r="B30" s="6">
        <v>16</v>
      </c>
      <c r="C30" s="7">
        <f t="shared" si="0"/>
        <v>2036</v>
      </c>
      <c r="D30" s="8">
        <f>Annual_summ!B30</f>
        <v>1755426.1199999994</v>
      </c>
      <c r="E30" s="8">
        <f>Annual_summ!C30</f>
        <v>1470077.17</v>
      </c>
      <c r="F30" s="8">
        <f>Annual_summ!D30</f>
        <v>964939.00000000035</v>
      </c>
      <c r="G30" s="8">
        <f>Annual_summ!F30</f>
        <v>13339.11</v>
      </c>
      <c r="H30" s="8">
        <v>0</v>
      </c>
      <c r="I30" s="8">
        <f>Annual_summ!G30+Annual_summ!E30+Annual_summ!I30</f>
        <v>284013.07</v>
      </c>
      <c r="J30" s="8">
        <f t="shared" si="3"/>
        <v>4487794.47</v>
      </c>
      <c r="K30" s="8">
        <f>(J30-Annual_summ!I30)*0.0793</f>
        <v>355828.20284699998</v>
      </c>
      <c r="L30" s="8">
        <f t="shared" si="2"/>
        <v>4843622.672847</v>
      </c>
      <c r="M30" s="10">
        <f t="shared" si="4"/>
        <v>7.3463237514711302E-2</v>
      </c>
      <c r="O30" s="25">
        <v>0</v>
      </c>
      <c r="P30" s="9"/>
      <c r="Q30" s="10"/>
      <c r="R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x14ac:dyDescent="0.25">
      <c r="B31" s="6">
        <v>17</v>
      </c>
      <c r="C31" s="7">
        <f t="shared" si="0"/>
        <v>2037</v>
      </c>
      <c r="D31" s="8">
        <f>Annual_summ!B31</f>
        <v>1779930.2199999995</v>
      </c>
      <c r="E31" s="8">
        <f>Annual_summ!C31</f>
        <v>1475188.4999999998</v>
      </c>
      <c r="F31" s="8">
        <f>Annual_summ!D31</f>
        <v>965972.27000000025</v>
      </c>
      <c r="G31" s="8">
        <f>Annual_summ!F31</f>
        <v>13340.409999999998</v>
      </c>
      <c r="H31" s="8">
        <v>0</v>
      </c>
      <c r="I31" s="8">
        <f>Annual_summ!G31+Annual_summ!E31+Annual_summ!I31</f>
        <v>285029.22999999992</v>
      </c>
      <c r="J31" s="8">
        <f t="shared" si="3"/>
        <v>4519460.629999999</v>
      </c>
      <c r="K31" s="8">
        <f>(J31-Annual_summ!I31)*0.0793</f>
        <v>358339.3293349999</v>
      </c>
      <c r="L31" s="8">
        <f t="shared" si="2"/>
        <v>4877799.9593349993</v>
      </c>
      <c r="M31" s="10">
        <f t="shared" si="4"/>
        <v>7.3463309754886519E-2</v>
      </c>
      <c r="O31" s="25">
        <v>0</v>
      </c>
      <c r="P31" s="9"/>
      <c r="Q31" s="10"/>
      <c r="R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x14ac:dyDescent="0.25">
      <c r="B32" s="6">
        <v>18</v>
      </c>
      <c r="C32" s="7">
        <f t="shared" si="0"/>
        <v>2038</v>
      </c>
      <c r="D32" s="8">
        <f>Annual_summ!B32</f>
        <v>1812453.2499999991</v>
      </c>
      <c r="E32" s="8">
        <f>Annual_summ!C32</f>
        <v>1487979.2899999993</v>
      </c>
      <c r="F32" s="8">
        <f>Annual_summ!D32</f>
        <v>967982.39000000013</v>
      </c>
      <c r="G32" s="8">
        <f>Annual_summ!F32</f>
        <v>13341.58</v>
      </c>
      <c r="H32" s="8">
        <v>0</v>
      </c>
      <c r="I32" s="8">
        <f>Annual_summ!G32+Annual_summ!E32+Annual_summ!I32</f>
        <v>285967.60000000003</v>
      </c>
      <c r="J32" s="8">
        <f t="shared" si="3"/>
        <v>4567724.1099999975</v>
      </c>
      <c r="K32" s="8">
        <f>(J32-Annual_summ!I32)*0.0793</f>
        <v>362166.6232989998</v>
      </c>
      <c r="L32" s="8">
        <f t="shared" si="2"/>
        <v>4929890.7332989974</v>
      </c>
      <c r="M32" s="10">
        <f t="shared" si="4"/>
        <v>7.3463417931911079E-2</v>
      </c>
      <c r="O32" s="25">
        <v>0</v>
      </c>
      <c r="P32" s="9"/>
      <c r="Q32" s="10"/>
      <c r="R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2:29" x14ac:dyDescent="0.25">
      <c r="B33" s="6">
        <v>19</v>
      </c>
      <c r="C33" s="7">
        <f t="shared" si="0"/>
        <v>2039</v>
      </c>
      <c r="D33" s="8">
        <f>Annual_summ!B33</f>
        <v>1844418.1199999992</v>
      </c>
      <c r="E33" s="8">
        <f>Annual_summ!C33</f>
        <v>1501546.16</v>
      </c>
      <c r="F33" s="8">
        <f>Annual_summ!D33</f>
        <v>970167.44000000006</v>
      </c>
      <c r="G33" s="8">
        <f>Annual_summ!F33</f>
        <v>13342.960000000003</v>
      </c>
      <c r="H33" s="8">
        <v>0</v>
      </c>
      <c r="I33" s="8">
        <f>Annual_summ!G33+Annual_summ!E33+Annual_summ!I33</f>
        <v>286795.81</v>
      </c>
      <c r="J33" s="8">
        <f t="shared" si="3"/>
        <v>4616270.4899999993</v>
      </c>
      <c r="K33" s="8">
        <f>(J33-Annual_summ!I33)*0.0793</f>
        <v>366016.35123299994</v>
      </c>
      <c r="L33" s="8">
        <f t="shared" si="2"/>
        <v>4982286.8412329992</v>
      </c>
      <c r="M33" s="10">
        <f t="shared" si="4"/>
        <v>7.3463524461072474E-2</v>
      </c>
      <c r="O33" s="25">
        <v>0</v>
      </c>
      <c r="P33" s="9"/>
      <c r="Q33" s="10"/>
      <c r="R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2:29" x14ac:dyDescent="0.25">
      <c r="B34" s="6">
        <v>20</v>
      </c>
      <c r="C34" s="7">
        <f t="shared" si="0"/>
        <v>2040</v>
      </c>
      <c r="D34" s="8">
        <f>Annual_summ!B34</f>
        <v>1876353.42</v>
      </c>
      <c r="E34" s="8">
        <f>Annual_summ!C34</f>
        <v>1506320.1099999999</v>
      </c>
      <c r="F34" s="8">
        <f>Annual_summ!D34</f>
        <v>973054.19000000041</v>
      </c>
      <c r="G34" s="8">
        <f>Annual_summ!F34</f>
        <v>13328.84</v>
      </c>
      <c r="H34" s="8">
        <v>0</v>
      </c>
      <c r="I34" s="8">
        <f>Annual_summ!G34+Annual_summ!E34+Annual_summ!I34</f>
        <v>287654.58000000007</v>
      </c>
      <c r="J34" s="8">
        <f t="shared" si="3"/>
        <v>4656711.1400000006</v>
      </c>
      <c r="K34" s="8">
        <f>(J34-Annual_summ!I34)*0.0793</f>
        <v>369223.29477800004</v>
      </c>
      <c r="L34" s="8">
        <f t="shared" si="2"/>
        <v>5025934.4347780002</v>
      </c>
      <c r="M34" s="10">
        <f t="shared" si="4"/>
        <v>7.3463611507361207E-2</v>
      </c>
      <c r="O34" s="25">
        <v>0</v>
      </c>
      <c r="P34" s="9"/>
      <c r="Q34" s="10"/>
      <c r="R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 x14ac:dyDescent="0.2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29" x14ac:dyDescent="0.25">
      <c r="B36" s="12"/>
      <c r="C36" s="13" t="s">
        <v>19</v>
      </c>
      <c r="D36" s="15" t="s">
        <v>30</v>
      </c>
      <c r="E36" s="13"/>
      <c r="F36" s="13"/>
      <c r="G36" s="13"/>
      <c r="H36" s="13"/>
      <c r="I36" s="13"/>
      <c r="J36" s="13"/>
      <c r="K36" s="13"/>
      <c r="L36" s="13"/>
      <c r="U36" s="16"/>
      <c r="V36" s="16"/>
      <c r="W36" s="16"/>
      <c r="X36" s="16"/>
      <c r="Y36" s="16"/>
      <c r="Z36" s="16"/>
      <c r="AA36" s="16"/>
      <c r="AB36" s="16"/>
      <c r="AC36" s="16"/>
    </row>
    <row r="37" spans="2:29" x14ac:dyDescent="0.25">
      <c r="B37" s="12"/>
      <c r="C37" s="13" t="s">
        <v>31</v>
      </c>
      <c r="D37" s="15" t="s">
        <v>20</v>
      </c>
      <c r="E37" s="13"/>
      <c r="F37" s="13"/>
      <c r="G37" s="13"/>
      <c r="H37" s="13"/>
      <c r="I37" s="13"/>
      <c r="J37" s="13"/>
      <c r="K37" s="13"/>
      <c r="L37" s="13"/>
    </row>
    <row r="38" spans="2:29" ht="14.45" customHeight="1" x14ac:dyDescent="0.25">
      <c r="B38" s="12"/>
      <c r="C38" s="13" t="s">
        <v>32</v>
      </c>
      <c r="D38" s="15" t="s">
        <v>22</v>
      </c>
      <c r="E38" s="13"/>
      <c r="F38" s="13"/>
      <c r="G38" s="12"/>
      <c r="H38" s="12"/>
      <c r="I38" s="12"/>
      <c r="J38" s="12"/>
      <c r="K38" s="12"/>
      <c r="L38" s="13"/>
    </row>
    <row r="41" spans="2:29" x14ac:dyDescent="0.25">
      <c r="B41" t="s">
        <v>23</v>
      </c>
      <c r="C41" s="17"/>
      <c r="D41" s="18">
        <f>0.05*LN(D34/D14)</f>
        <v>1.193493858142051E-2</v>
      </c>
    </row>
  </sheetData>
  <mergeCells count="5">
    <mergeCell ref="C2:L2"/>
    <mergeCell ref="C3:L3"/>
    <mergeCell ref="C4:L4"/>
    <mergeCell ref="C5:L5"/>
    <mergeCell ref="C6:L6"/>
  </mergeCells>
  <pageMargins left="0.7" right="0.7" top="0.94791666666666663" bottom="0.75" header="0.3" footer="0.3"/>
  <pageSetup scale="78" fitToWidth="0" orientation="landscape" r:id="rId1"/>
  <headerFooter>
    <oddHeader>&amp;R&amp;"Times New Roman,Bold"&amp;10KyPSC Case No. 2021-00245
STAFF-PHDR-01-003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5466CD10A9D4A8CA9DE69279A9847" ma:contentTypeVersion="4" ma:contentTypeDescription="Create a new document." ma:contentTypeScope="" ma:versionID="85a9370f7009bc07aa9aa82969bbaba5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3D9DC6F1-8043-4216-8DF7-38CC8B687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724C94-0710-49E0-AA84-76771B8F8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A648D-94F0-4492-9766-2025761D540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8C89C92A-7BB5-4C1E-BE8A-FEFE6191A403}">
  <ds:schemaRefs>
    <ds:schemaRef ds:uri="http://schemas.microsoft.com/office/infopath/2007/PartnerControls"/>
    <ds:schemaRef ds:uri="3c9d8c27-8a6d-4d9e-a15e-ef5d28c114a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612a682-5ffb-4b9c-9555-01761893517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Table B-2 (Energy before EE)</vt:lpstr>
      <vt:lpstr>Annual_summ</vt:lpstr>
      <vt:lpstr>Table B-2 (Energy after EE)</vt:lpstr>
      <vt:lpstr>GR_anchor</vt:lpstr>
      <vt:lpstr>MWH_noUEE</vt:lpstr>
      <vt:lpstr>MWH_wUEE</vt:lpstr>
      <vt:lpstr>'Table B-2 (Energy after EE)'!Print_Area</vt:lpstr>
      <vt:lpstr>'Table B-2 (Energy before EE)'!Print_Area</vt:lpstr>
      <vt:lpstr>smr_peak_forecast</vt:lpstr>
      <vt:lpstr>wntr_Peak_Forecast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Passty, Benjamin Walter</dc:creator>
  <cp:lastModifiedBy>Sunderman, Minna</cp:lastModifiedBy>
  <cp:lastPrinted>2022-06-03T14:10:50Z</cp:lastPrinted>
  <dcterms:created xsi:type="dcterms:W3CDTF">2021-06-02T18:29:46Z</dcterms:created>
  <dcterms:modified xsi:type="dcterms:W3CDTF">2022-06-03T14:11:01Z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0x01010075B5466CD10A9D4A8CA9DE69279A9847</vt:lpwstr>
  </property>
</Properties>
</file>