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hidePivotFieldList="1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1-00214 (2021 Kentucky Rate Case)\AG Set 2 Attachments\"/>
    </mc:Choice>
  </mc:AlternateContent>
  <xr:revisionPtr revIDLastSave="0" documentId="13_ncr:1_{3F6782AE-8274-46F3-9C07-711E5B2FA0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7" r:id="rId1"/>
    <sheet name="Pivot - Atmos-Account Ending B" sheetId="3" r:id="rId2"/>
    <sheet name="STAT" sheetId="5" r:id="rId3"/>
    <sheet name="STAT Parm" sheetId="6" r:id="rId4"/>
    <sheet name="Report Parameters1 - Atmos-Acc" sheetId="4" r:id="rId5"/>
  </sheets>
  <calcPr calcId="191029"/>
  <pivotCaches>
    <pivotCache cacheId="0" r:id="rId6"/>
    <pivotCache cacheId="1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7" l="1"/>
  <c r="B17" i="7"/>
  <c r="M17" i="7"/>
  <c r="L17" i="7"/>
  <c r="J17" i="7"/>
  <c r="H17" i="7"/>
  <c r="G17" i="7"/>
  <c r="F17" i="7"/>
  <c r="E17" i="7"/>
  <c r="D17" i="7"/>
  <c r="I17" i="7"/>
  <c r="K17" i="7"/>
  <c r="B14" i="7"/>
  <c r="M16" i="7"/>
  <c r="L16" i="7"/>
  <c r="K16" i="7"/>
  <c r="J16" i="7"/>
  <c r="I16" i="7"/>
  <c r="H16" i="7"/>
  <c r="G16" i="7"/>
  <c r="F16" i="7"/>
  <c r="E16" i="7"/>
  <c r="D16" i="7"/>
  <c r="C16" i="7"/>
  <c r="M14" i="7"/>
  <c r="L14" i="7"/>
  <c r="K14" i="7"/>
  <c r="J14" i="7"/>
  <c r="I14" i="7"/>
  <c r="H14" i="7"/>
  <c r="G14" i="7"/>
  <c r="F14" i="7"/>
  <c r="E14" i="7"/>
  <c r="D14" i="7"/>
  <c r="C14" i="7"/>
  <c r="B16" i="7"/>
  <c r="B18" i="7" l="1"/>
  <c r="D18" i="7"/>
  <c r="J18" i="7"/>
  <c r="I18" i="7"/>
  <c r="G18" i="7"/>
  <c r="F18" i="7"/>
  <c r="L18" i="7"/>
  <c r="H18" i="7"/>
  <c r="M18" i="7"/>
  <c r="E18" i="7"/>
  <c r="K18" i="7"/>
  <c r="C18" i="7"/>
</calcChain>
</file>

<file path=xl/sharedStrings.xml><?xml version="1.0" encoding="utf-8"?>
<sst xmlns="http://schemas.openxmlformats.org/spreadsheetml/2006/main" count="149" uniqueCount="63">
  <si>
    <t>Period Name</t>
  </si>
  <si>
    <t>GLCC#COMPANY</t>
  </si>
  <si>
    <t>GLCC#ACCOUNT</t>
  </si>
  <si>
    <t>GLCC#SUB_ACCOUNT</t>
  </si>
  <si>
    <t>Year End Balance</t>
  </si>
  <si>
    <t>EiS eXpress Reporting</t>
  </si>
  <si>
    <t>Report Name</t>
  </si>
  <si>
    <t>Report Parameters</t>
  </si>
  <si>
    <t>Atmos-Account Ending Balances by YTD</t>
  </si>
  <si>
    <t>GLCC#Company</t>
  </si>
  <si>
    <t>050</t>
  </si>
  <si>
    <t>Currency Code</t>
  </si>
  <si>
    <t>USD'</t>
  </si>
  <si>
    <t>SEP-20','OCT-20','NOV-20','DEC-20','JAN-21','FEB-21','MAR-21','APR-21','MAY-21','JUN-21','JUL-21','AUG-21'</t>
  </si>
  <si>
    <t>GLCC#Account</t>
  </si>
  <si>
    <t>1641</t>
  </si>
  <si>
    <t>GLCC#Service_Area</t>
  </si>
  <si>
    <t>009000:009999</t>
  </si>
  <si>
    <t>Supress Zero Rows</t>
  </si>
  <si>
    <t>Yes'</t>
  </si>
  <si>
    <t>Report Summary</t>
  </si>
  <si>
    <t>Responsibility Name</t>
  </si>
  <si>
    <t>ATM_GL_INQUIRY( Access Set =&gt; Atmos Energy Corporation )</t>
  </si>
  <si>
    <t>Module Name</t>
  </si>
  <si>
    <t>General Ledger</t>
  </si>
  <si>
    <t>JSBAUGH</t>
  </si>
  <si>
    <t>Requested By</t>
  </si>
  <si>
    <t>53999352</t>
  </si>
  <si>
    <t>Request Id</t>
  </si>
  <si>
    <t>762290</t>
  </si>
  <si>
    <t>Process Id</t>
  </si>
  <si>
    <t>08-SEP-2021</t>
  </si>
  <si>
    <t>Request Date &amp; Time</t>
  </si>
  <si>
    <t>08-SEP-202104:43:27 PM</t>
  </si>
  <si>
    <t>Actual Start Date</t>
  </si>
  <si>
    <t>08-SEP-202104:43:29 PM</t>
  </si>
  <si>
    <t>Actual Completion Date</t>
  </si>
  <si>
    <t>JAN-21</t>
  </si>
  <si>
    <t>FEB-21</t>
  </si>
  <si>
    <t>AUG-21</t>
  </si>
  <si>
    <t>SEP-20</t>
  </si>
  <si>
    <t>DEC-20</t>
  </si>
  <si>
    <t>MAR-21</t>
  </si>
  <si>
    <t>JUN-21</t>
  </si>
  <si>
    <t>MAY-21</t>
  </si>
  <si>
    <t>JUL-21</t>
  </si>
  <si>
    <t>OCT-20</t>
  </si>
  <si>
    <t>APR-21</t>
  </si>
  <si>
    <t>NOV-20</t>
  </si>
  <si>
    <t>Grand Total</t>
  </si>
  <si>
    <t>(All)</t>
  </si>
  <si>
    <t>Atmos-Account Ending Balances by YTD - STAT</t>
  </si>
  <si>
    <t>STAT'</t>
  </si>
  <si>
    <t>SEP-20','OCT-20','NOV-20','NOV-20','DEC-20','JAN-21','FEB-21','MAR-21','APR-21','MAY-21','JUN-21','JUL-21','AUG-21'</t>
  </si>
  <si>
    <t>53999357</t>
  </si>
  <si>
    <t>762292</t>
  </si>
  <si>
    <t>08-SEP-202104:45:01 PM</t>
  </si>
  <si>
    <t>08-SEP-202104:45:03 PM</t>
  </si>
  <si>
    <t>Average Price</t>
  </si>
  <si>
    <t>Average daily amount</t>
  </si>
  <si>
    <t>Average daily stat</t>
  </si>
  <si>
    <t>Average daily cost/stat</t>
  </si>
  <si>
    <t>STAT (Mcf)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</si>
</sst>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0_);[Red]\(###0\)"/>
    <numFmt numFmtId="165" formatCode="[$-409]dd\-mmm\-yyyy;@"/>
    <numFmt numFmtId="166" formatCode="_(* #,##0.000_);_(* \(#,##0.000\);_(* &quot;-&quot;??_);_(@_)"/>
    <numFmt numFmtId="167" formatCode="_(&quot;$&quot;* #,##0_);_(&quot;$&quot;* \(#,##0\);_(&quot;$&quot;* &quot;-&quot;??_);_(@_)"/>
  </numFmts>
  <fonts count="4" x14ac:knownFonts="1"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rgb="FF99FFFF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2">
    <xf numFmtId="0" fontId="0" fillId="0" borderId="0" xfId="0" applyFont="1"/>
    <xf numFmtId="0" fontId="0" fillId="0" borderId="0" xfId="0" applyFont="1"/>
    <xf numFmtId="0" fontId="0" fillId="3" borderId="0" xfId="0" applyFont="1" applyFill="1"/>
    <xf numFmtId="0" fontId="2" fillId="3" borderId="0" xfId="0" applyFont="1" applyFill="1"/>
    <xf numFmtId="0" fontId="0" fillId="3" borderId="0" xfId="0" quotePrefix="1" applyFont="1" applyFill="1"/>
    <xf numFmtId="49" fontId="0" fillId="0" borderId="0" xfId="0" applyNumberFormat="1" applyFont="1"/>
    <xf numFmtId="0" fontId="0" fillId="0" borderId="0" xfId="0" pivotButton="1" applyFont="1"/>
    <xf numFmtId="0" fontId="0" fillId="0" borderId="0" xfId="0" pivotButton="1" applyFont="1" applyAlignment="1"/>
    <xf numFmtId="43" fontId="0" fillId="0" borderId="0" xfId="0" applyNumberFormat="1" applyFont="1"/>
    <xf numFmtId="0" fontId="0" fillId="0" borderId="0" xfId="0" applyFont="1" applyAlignment="1"/>
    <xf numFmtId="0" fontId="0" fillId="0" borderId="0" xfId="0"/>
    <xf numFmtId="0" fontId="0" fillId="3" borderId="0" xfId="0" applyFill="1"/>
    <xf numFmtId="0" fontId="0" fillId="3" borderId="0" xfId="0" quotePrefix="1" applyFill="1"/>
    <xf numFmtId="40" fontId="0" fillId="0" borderId="0" xfId="0" applyNumberFormat="1" applyFont="1"/>
    <xf numFmtId="43" fontId="0" fillId="0" borderId="0" xfId="4" applyFont="1"/>
    <xf numFmtId="166" fontId="0" fillId="0" borderId="0" xfId="4" applyNumberFormat="1" applyFont="1"/>
    <xf numFmtId="166" fontId="0" fillId="0" borderId="0" xfId="0" applyNumberFormat="1" applyFont="1"/>
    <xf numFmtId="167" fontId="0" fillId="0" borderId="0" xfId="0" applyNumberFormat="1" applyFont="1"/>
    <xf numFmtId="38" fontId="0" fillId="0" borderId="0" xfId="0" applyNumberFormat="1" applyFont="1"/>
    <xf numFmtId="0" fontId="3" fillId="2" borderId="0" xfId="0" applyFont="1" applyFill="1" applyAlignment="1">
      <alignment horizontal="center" vertical="center"/>
    </xf>
    <xf numFmtId="0" fontId="0" fillId="0" borderId="0" xfId="0"/>
    <xf numFmtId="0" fontId="0" fillId="0" borderId="0" xfId="0" applyFont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5">
    <dxf>
      <font>
        <sz val="8"/>
      </font>
    </dxf>
    <dxf>
      <numFmt numFmtId="35" formatCode="_(* #,##0.00_);_(* \(#,##0.00\);_(* &quot;-&quot;??_);_(@_)"/>
    </dxf>
    <dxf>
      <font>
        <sz val="8"/>
      </font>
    </dxf>
    <dxf>
      <numFmt numFmtId="167" formatCode="_(&quot;$&quot;* #,##0_);_(&quot;$&quot;* \(#,##0\);_(&quot;$&quot;* &quot;-&quot;??_);_(@_)"/>
    </dxf>
    <dxf>
      <font>
        <sz val="8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FFCC"/>
      <rgbColor rgb="0099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sbaugh\Downloads\pora00_Atmos-Account%20Ending%20Balances%20by%20YTD%20-%20STAT_7646_762292_1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sbaugh\Downloads\pora00_Atmos-Account%20Ending%20Balances%20by%20YTD_7646_762290_1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John S Baugh" refreshedDate="44447.724927314812" createdVersion="3" refreshedVersion="7" minRefreshableVersion="3" recordCount="84" xr:uid="{729F6FA8-A466-4E3D-97F6-6E151ECBBB29}">
  <cacheSource type="worksheet">
    <worksheetSource ref="A1:O85" sheet="Data" r:id="rId2"/>
  </cacheSource>
  <cacheFields count="15">
    <cacheField name="Period Name" numFmtId="49">
      <sharedItems containsBlank="1" count="13">
        <s v="SEP-20"/>
        <s v="OCT-20"/>
        <s v="NOV-20"/>
        <s v="DEC-20"/>
        <s v="JAN-21"/>
        <s v="FEB-21"/>
        <s v="MAR-21"/>
        <s v="APR-21"/>
        <s v="MAY-21"/>
        <s v="JUN-21"/>
        <s v="JUL-21"/>
        <s v="AUG-21"/>
        <m u="1"/>
      </sharedItems>
    </cacheField>
    <cacheField name="End Date" numFmtId="165">
      <sharedItems containsSemiMixedTypes="0" containsNonDate="0" containsDate="1" containsString="0" minDate="2020-09-30T00:00:00" maxDate="2021-09-01T00:00:00" count="12">
        <d v="2020-09-30T00:00:00"/>
        <d v="2020-10-31T00:00:00"/>
        <d v="2020-11-30T00:00:00"/>
        <d v="2020-12-31T00:00:00"/>
        <d v="2021-01-31T00:00:00"/>
        <d v="2021-02-28T00:00:00"/>
        <d v="2021-03-31T00:00:00"/>
        <d v="2021-04-30T00:00:00"/>
        <d v="2021-05-31T00:00:00"/>
        <d v="2021-06-30T00:00:00"/>
        <d v="2021-07-31T00:00:00"/>
        <d v="2021-08-31T00:00:00"/>
      </sharedItems>
    </cacheField>
    <cacheField name="GLCC#COMPANY" numFmtId="49">
      <sharedItems count="1">
        <s v="050"/>
      </sharedItems>
    </cacheField>
    <cacheField name="GLCC#COMPANY Descr" numFmtId="49">
      <sharedItems count="1">
        <s v="Atmos Energy-KY/Mid-States"/>
      </sharedItems>
    </cacheField>
    <cacheField name="GLCC#COST_CENTER" numFmtId="49">
      <sharedItems count="1">
        <s v="0000"/>
      </sharedItems>
    </cacheField>
    <cacheField name="GLCC#COST_CENTER Descr" numFmtId="49">
      <sharedItems count="1">
        <s v="ATM-Default"/>
      </sharedItems>
    </cacheField>
    <cacheField name="GLCC#ACCOUNT" numFmtId="49">
      <sharedItems containsBlank="1" count="2">
        <s v="1641"/>
        <m u="1"/>
      </sharedItems>
    </cacheField>
    <cacheField name="GLCC#ACCOUNT Descr" numFmtId="49">
      <sharedItems count="1">
        <s v="Gas stored underground-Current"/>
      </sharedItems>
    </cacheField>
    <cacheField name="GLCC#SUB_ACCOUNT" numFmtId="49">
      <sharedItems containsBlank="1" count="8">
        <s v="16013"/>
        <s v="16017"/>
        <s v="16016"/>
        <s v="16014"/>
        <s v="15901"/>
        <s v="16006"/>
        <s v="16015"/>
        <m u="1"/>
      </sharedItems>
    </cacheField>
    <cacheField name="GLCC#SUB_ACCOUNT Descr" numFmtId="49">
      <sharedItems count="7">
        <s v="Bon Harbor Storage"/>
        <s v="St. Charles Storage"/>
        <s v="Kirkwood Storage"/>
        <s v="Grandview Storage"/>
        <s v="P/L Stored Gas"/>
        <s v="East Diamond Storage Facility"/>
        <s v="Hickory Storage"/>
      </sharedItems>
    </cacheField>
    <cacheField name="GLCC#SERVICE_AREA" numFmtId="49">
      <sharedItems count="1">
        <s v="009000"/>
      </sharedItems>
    </cacheField>
    <cacheField name="GLCC#SERVICE_AREA Descr" numFmtId="49">
      <sharedItems count="1">
        <s v="KY"/>
      </sharedItems>
    </cacheField>
    <cacheField name="Year Begin Balance" numFmtId="40">
      <sharedItems containsSemiMixedTypes="0" containsString="0" containsNumber="1" containsInteger="1" minValue="214338" maxValue="2394193" count="14">
        <n v="683937"/>
        <n v="2378467"/>
        <n v="214338"/>
        <n v="289752"/>
        <n v="1093141"/>
        <n v="1824098"/>
        <n v="431312"/>
        <n v="2394193"/>
        <n v="1894507"/>
        <n v="1081620"/>
        <n v="438911"/>
        <n v="219472"/>
        <n v="271044"/>
        <n v="680679"/>
      </sharedItems>
    </cacheField>
    <cacheField name="Year Activity" numFmtId="40">
      <sharedItems containsSemiMixedTypes="0" containsString="0" containsNumber="1" containsInteger="1" minValue="-1690223" maxValue="220596"/>
    </cacheField>
    <cacheField name="Year End Balance" numFmtId="40">
      <sharedItems containsSemiMixedTypes="0" containsString="0" containsNumber="1" containsInteger="1" minValue="36261" maxValue="26147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John S Baugh" refreshedDate="44447.724927546296" createdVersion="3" refreshedVersion="7" recordCount="84" xr:uid="{00000000-000A-0000-FFFF-FFFF01000000}">
  <cacheSource type="worksheet">
    <worksheetSource ref="A1:O85" sheet="Data" r:id="rId2"/>
  </cacheSource>
  <cacheFields count="15">
    <cacheField name="Period Name" numFmtId="49">
      <sharedItems containsBlank="1" count="13">
        <s v="JAN-21"/>
        <s v="FEB-21"/>
        <s v="AUG-21"/>
        <s v="SEP-20"/>
        <s v="DEC-20"/>
        <s v="MAR-21"/>
        <s v="JUN-21"/>
        <s v="MAY-21"/>
        <s v="JUL-21"/>
        <s v="OCT-20"/>
        <s v="APR-21"/>
        <s v="NOV-20"/>
        <m u="1"/>
      </sharedItems>
    </cacheField>
    <cacheField name="Last Update Date" numFmtId="165">
      <sharedItems containsSemiMixedTypes="0" containsNonDate="0" containsDate="1" containsString="0" minDate="2018-10-02T15:44:09" maxDate="2019-11-01T08:26:07"/>
    </cacheField>
    <cacheField name="GLCC#COMPANY" numFmtId="49">
      <sharedItems containsBlank="1" count="2">
        <s v="050"/>
        <m u="1"/>
      </sharedItems>
    </cacheField>
    <cacheField name="GLCC#COMPANY Descr" numFmtId="49">
      <sharedItems/>
    </cacheField>
    <cacheField name="GLCC#COST_CENTER" numFmtId="49">
      <sharedItems/>
    </cacheField>
    <cacheField name="GLCC#COST_CENTER Descr" numFmtId="49">
      <sharedItems/>
    </cacheField>
    <cacheField name="GLCC#ACCOUNT" numFmtId="49">
      <sharedItems containsBlank="1" count="2">
        <s v="1641"/>
        <m u="1"/>
      </sharedItems>
    </cacheField>
    <cacheField name="GLCC#ACCOUNT Descr" numFmtId="49">
      <sharedItems/>
    </cacheField>
    <cacheField name="GLCC#SUB_ACCOUNT" numFmtId="49">
      <sharedItems containsBlank="1" count="8">
        <s v="16017"/>
        <s v="16006"/>
        <s v="15901"/>
        <s v="16013"/>
        <s v="16016"/>
        <s v="16015"/>
        <s v="16014"/>
        <m u="1"/>
      </sharedItems>
    </cacheField>
    <cacheField name="GLCC#SUB_ACCOUNT Descr" numFmtId="49">
      <sharedItems/>
    </cacheField>
    <cacheField name="GLCC#SERVICE_AREA" numFmtId="49">
      <sharedItems/>
    </cacheField>
    <cacheField name="GLCC#SERVICE_AREA Descr" numFmtId="49">
      <sharedItems/>
    </cacheField>
    <cacheField name="Year Begin Balance" numFmtId="164">
      <sharedItems containsSemiMixedTypes="0" containsString="0" containsNumber="1" minValue="392854.88" maxValue="5394363.1600000001"/>
    </cacheField>
    <cacheField name="Year Activity" numFmtId="164">
      <sharedItems containsSemiMixedTypes="0" containsString="0" containsNumber="1" minValue="-3092700.3" maxValue="1133483.18"/>
    </cacheField>
    <cacheField name="Year End Balance" numFmtId="164">
      <sharedItems containsSemiMixedTypes="0" containsString="0" containsNumber="1" minValue="78686.37" maxValue="5565134.41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">
  <r>
    <x v="0"/>
    <x v="0"/>
    <x v="0"/>
    <x v="0"/>
    <x v="0"/>
    <x v="0"/>
    <x v="0"/>
    <x v="0"/>
    <x v="0"/>
    <x v="0"/>
    <x v="0"/>
    <x v="0"/>
    <x v="0"/>
    <n v="-3258"/>
    <n v="680679"/>
  </r>
  <r>
    <x v="0"/>
    <x v="0"/>
    <x v="0"/>
    <x v="0"/>
    <x v="0"/>
    <x v="0"/>
    <x v="0"/>
    <x v="0"/>
    <x v="1"/>
    <x v="1"/>
    <x v="0"/>
    <x v="0"/>
    <x v="1"/>
    <n v="15726"/>
    <n v="2394193"/>
  </r>
  <r>
    <x v="0"/>
    <x v="0"/>
    <x v="0"/>
    <x v="0"/>
    <x v="0"/>
    <x v="0"/>
    <x v="0"/>
    <x v="0"/>
    <x v="2"/>
    <x v="2"/>
    <x v="0"/>
    <x v="0"/>
    <x v="2"/>
    <n v="5134"/>
    <n v="219472"/>
  </r>
  <r>
    <x v="0"/>
    <x v="0"/>
    <x v="0"/>
    <x v="0"/>
    <x v="0"/>
    <x v="0"/>
    <x v="0"/>
    <x v="0"/>
    <x v="3"/>
    <x v="3"/>
    <x v="0"/>
    <x v="0"/>
    <x v="3"/>
    <n v="-18708"/>
    <n v="271044"/>
  </r>
  <r>
    <x v="0"/>
    <x v="0"/>
    <x v="0"/>
    <x v="0"/>
    <x v="0"/>
    <x v="0"/>
    <x v="0"/>
    <x v="0"/>
    <x v="4"/>
    <x v="4"/>
    <x v="0"/>
    <x v="0"/>
    <x v="4"/>
    <n v="-11521"/>
    <n v="1081620"/>
  </r>
  <r>
    <x v="0"/>
    <x v="0"/>
    <x v="0"/>
    <x v="0"/>
    <x v="0"/>
    <x v="0"/>
    <x v="0"/>
    <x v="0"/>
    <x v="5"/>
    <x v="5"/>
    <x v="0"/>
    <x v="0"/>
    <x v="5"/>
    <n v="70409"/>
    <n v="1894507"/>
  </r>
  <r>
    <x v="0"/>
    <x v="0"/>
    <x v="0"/>
    <x v="0"/>
    <x v="0"/>
    <x v="0"/>
    <x v="0"/>
    <x v="0"/>
    <x v="6"/>
    <x v="6"/>
    <x v="0"/>
    <x v="0"/>
    <x v="6"/>
    <n v="7599"/>
    <n v="438911"/>
  </r>
  <r>
    <x v="1"/>
    <x v="1"/>
    <x v="0"/>
    <x v="0"/>
    <x v="0"/>
    <x v="0"/>
    <x v="0"/>
    <x v="0"/>
    <x v="1"/>
    <x v="1"/>
    <x v="0"/>
    <x v="0"/>
    <x v="7"/>
    <n v="220596"/>
    <n v="2614789"/>
  </r>
  <r>
    <x v="1"/>
    <x v="1"/>
    <x v="0"/>
    <x v="0"/>
    <x v="0"/>
    <x v="0"/>
    <x v="0"/>
    <x v="0"/>
    <x v="5"/>
    <x v="5"/>
    <x v="0"/>
    <x v="0"/>
    <x v="8"/>
    <n v="178529"/>
    <n v="2073036"/>
  </r>
  <r>
    <x v="1"/>
    <x v="1"/>
    <x v="0"/>
    <x v="0"/>
    <x v="0"/>
    <x v="0"/>
    <x v="0"/>
    <x v="0"/>
    <x v="4"/>
    <x v="4"/>
    <x v="0"/>
    <x v="0"/>
    <x v="9"/>
    <n v="162654"/>
    <n v="1244274"/>
  </r>
  <r>
    <x v="1"/>
    <x v="1"/>
    <x v="0"/>
    <x v="0"/>
    <x v="0"/>
    <x v="0"/>
    <x v="0"/>
    <x v="0"/>
    <x v="6"/>
    <x v="6"/>
    <x v="0"/>
    <x v="0"/>
    <x v="10"/>
    <n v="45819"/>
    <n v="484730"/>
  </r>
  <r>
    <x v="1"/>
    <x v="1"/>
    <x v="0"/>
    <x v="0"/>
    <x v="0"/>
    <x v="0"/>
    <x v="0"/>
    <x v="0"/>
    <x v="2"/>
    <x v="2"/>
    <x v="0"/>
    <x v="0"/>
    <x v="11"/>
    <n v="22848"/>
    <n v="242320"/>
  </r>
  <r>
    <x v="1"/>
    <x v="1"/>
    <x v="0"/>
    <x v="0"/>
    <x v="0"/>
    <x v="0"/>
    <x v="0"/>
    <x v="0"/>
    <x v="3"/>
    <x v="3"/>
    <x v="0"/>
    <x v="0"/>
    <x v="12"/>
    <n v="25452"/>
    <n v="296496"/>
  </r>
  <r>
    <x v="1"/>
    <x v="1"/>
    <x v="0"/>
    <x v="0"/>
    <x v="0"/>
    <x v="0"/>
    <x v="0"/>
    <x v="0"/>
    <x v="0"/>
    <x v="0"/>
    <x v="0"/>
    <x v="0"/>
    <x v="13"/>
    <n v="69471"/>
    <n v="750150"/>
  </r>
  <r>
    <x v="2"/>
    <x v="2"/>
    <x v="0"/>
    <x v="0"/>
    <x v="0"/>
    <x v="0"/>
    <x v="0"/>
    <x v="0"/>
    <x v="1"/>
    <x v="1"/>
    <x v="0"/>
    <x v="0"/>
    <x v="7"/>
    <n v="-76452"/>
    <n v="2317741"/>
  </r>
  <r>
    <x v="2"/>
    <x v="2"/>
    <x v="0"/>
    <x v="0"/>
    <x v="0"/>
    <x v="0"/>
    <x v="0"/>
    <x v="0"/>
    <x v="2"/>
    <x v="2"/>
    <x v="0"/>
    <x v="0"/>
    <x v="11"/>
    <n v="-2253"/>
    <n v="217219"/>
  </r>
  <r>
    <x v="2"/>
    <x v="2"/>
    <x v="0"/>
    <x v="0"/>
    <x v="0"/>
    <x v="0"/>
    <x v="0"/>
    <x v="0"/>
    <x v="5"/>
    <x v="5"/>
    <x v="0"/>
    <x v="0"/>
    <x v="8"/>
    <n v="178529"/>
    <n v="2073036"/>
  </r>
  <r>
    <x v="2"/>
    <x v="2"/>
    <x v="0"/>
    <x v="0"/>
    <x v="0"/>
    <x v="0"/>
    <x v="0"/>
    <x v="0"/>
    <x v="4"/>
    <x v="4"/>
    <x v="0"/>
    <x v="0"/>
    <x v="9"/>
    <n v="-3140"/>
    <n v="1078480"/>
  </r>
  <r>
    <x v="2"/>
    <x v="2"/>
    <x v="0"/>
    <x v="0"/>
    <x v="0"/>
    <x v="0"/>
    <x v="0"/>
    <x v="0"/>
    <x v="6"/>
    <x v="6"/>
    <x v="0"/>
    <x v="0"/>
    <x v="10"/>
    <n v="-4402"/>
    <n v="434509"/>
  </r>
  <r>
    <x v="2"/>
    <x v="2"/>
    <x v="0"/>
    <x v="0"/>
    <x v="0"/>
    <x v="0"/>
    <x v="0"/>
    <x v="0"/>
    <x v="3"/>
    <x v="3"/>
    <x v="0"/>
    <x v="0"/>
    <x v="12"/>
    <n v="-9649"/>
    <n v="261395"/>
  </r>
  <r>
    <x v="2"/>
    <x v="2"/>
    <x v="0"/>
    <x v="0"/>
    <x v="0"/>
    <x v="0"/>
    <x v="0"/>
    <x v="0"/>
    <x v="0"/>
    <x v="0"/>
    <x v="0"/>
    <x v="0"/>
    <x v="13"/>
    <n v="-15609"/>
    <n v="665070"/>
  </r>
  <r>
    <x v="3"/>
    <x v="3"/>
    <x v="0"/>
    <x v="0"/>
    <x v="0"/>
    <x v="0"/>
    <x v="0"/>
    <x v="0"/>
    <x v="5"/>
    <x v="5"/>
    <x v="0"/>
    <x v="0"/>
    <x v="8"/>
    <n v="-52498"/>
    <n v="1842009"/>
  </r>
  <r>
    <x v="3"/>
    <x v="3"/>
    <x v="0"/>
    <x v="0"/>
    <x v="0"/>
    <x v="0"/>
    <x v="0"/>
    <x v="0"/>
    <x v="1"/>
    <x v="1"/>
    <x v="0"/>
    <x v="0"/>
    <x v="7"/>
    <n v="-362250"/>
    <n v="2031943"/>
  </r>
  <r>
    <x v="3"/>
    <x v="3"/>
    <x v="0"/>
    <x v="0"/>
    <x v="0"/>
    <x v="0"/>
    <x v="0"/>
    <x v="0"/>
    <x v="6"/>
    <x v="6"/>
    <x v="0"/>
    <x v="0"/>
    <x v="10"/>
    <n v="-45947"/>
    <n v="392964"/>
  </r>
  <r>
    <x v="3"/>
    <x v="3"/>
    <x v="0"/>
    <x v="0"/>
    <x v="0"/>
    <x v="0"/>
    <x v="0"/>
    <x v="0"/>
    <x v="3"/>
    <x v="3"/>
    <x v="0"/>
    <x v="0"/>
    <x v="12"/>
    <n v="-48471"/>
    <n v="222573"/>
  </r>
  <r>
    <x v="3"/>
    <x v="3"/>
    <x v="0"/>
    <x v="0"/>
    <x v="0"/>
    <x v="0"/>
    <x v="0"/>
    <x v="0"/>
    <x v="2"/>
    <x v="2"/>
    <x v="0"/>
    <x v="0"/>
    <x v="11"/>
    <n v="-28203"/>
    <n v="191269"/>
  </r>
  <r>
    <x v="3"/>
    <x v="3"/>
    <x v="0"/>
    <x v="0"/>
    <x v="0"/>
    <x v="0"/>
    <x v="0"/>
    <x v="0"/>
    <x v="4"/>
    <x v="4"/>
    <x v="0"/>
    <x v="0"/>
    <x v="9"/>
    <n v="-270781"/>
    <n v="810839"/>
  </r>
  <r>
    <x v="3"/>
    <x v="3"/>
    <x v="0"/>
    <x v="0"/>
    <x v="0"/>
    <x v="0"/>
    <x v="0"/>
    <x v="0"/>
    <x v="0"/>
    <x v="0"/>
    <x v="0"/>
    <x v="0"/>
    <x v="13"/>
    <n v="-100447"/>
    <n v="580232"/>
  </r>
  <r>
    <x v="4"/>
    <x v="4"/>
    <x v="0"/>
    <x v="0"/>
    <x v="0"/>
    <x v="0"/>
    <x v="0"/>
    <x v="0"/>
    <x v="0"/>
    <x v="0"/>
    <x v="0"/>
    <x v="0"/>
    <x v="13"/>
    <n v="-181029"/>
    <n v="499650"/>
  </r>
  <r>
    <x v="4"/>
    <x v="4"/>
    <x v="0"/>
    <x v="0"/>
    <x v="0"/>
    <x v="0"/>
    <x v="0"/>
    <x v="0"/>
    <x v="3"/>
    <x v="3"/>
    <x v="0"/>
    <x v="0"/>
    <x v="12"/>
    <n v="-91701"/>
    <n v="179343"/>
  </r>
  <r>
    <x v="4"/>
    <x v="4"/>
    <x v="0"/>
    <x v="0"/>
    <x v="0"/>
    <x v="0"/>
    <x v="0"/>
    <x v="0"/>
    <x v="6"/>
    <x v="6"/>
    <x v="0"/>
    <x v="0"/>
    <x v="10"/>
    <n v="-92387"/>
    <n v="346524"/>
  </r>
  <r>
    <x v="4"/>
    <x v="4"/>
    <x v="0"/>
    <x v="0"/>
    <x v="0"/>
    <x v="0"/>
    <x v="0"/>
    <x v="0"/>
    <x v="2"/>
    <x v="2"/>
    <x v="0"/>
    <x v="0"/>
    <x v="11"/>
    <n v="-61938"/>
    <n v="157534"/>
  </r>
  <r>
    <x v="4"/>
    <x v="4"/>
    <x v="0"/>
    <x v="0"/>
    <x v="0"/>
    <x v="0"/>
    <x v="0"/>
    <x v="0"/>
    <x v="4"/>
    <x v="4"/>
    <x v="0"/>
    <x v="0"/>
    <x v="9"/>
    <n v="-606524"/>
    <n v="475096"/>
  </r>
  <r>
    <x v="4"/>
    <x v="4"/>
    <x v="0"/>
    <x v="0"/>
    <x v="0"/>
    <x v="0"/>
    <x v="0"/>
    <x v="0"/>
    <x v="1"/>
    <x v="1"/>
    <x v="0"/>
    <x v="0"/>
    <x v="7"/>
    <n v="-664923"/>
    <n v="1729270"/>
  </r>
  <r>
    <x v="4"/>
    <x v="4"/>
    <x v="0"/>
    <x v="0"/>
    <x v="0"/>
    <x v="0"/>
    <x v="0"/>
    <x v="0"/>
    <x v="5"/>
    <x v="5"/>
    <x v="0"/>
    <x v="0"/>
    <x v="8"/>
    <n v="-368608"/>
    <n v="1525899"/>
  </r>
  <r>
    <x v="5"/>
    <x v="5"/>
    <x v="0"/>
    <x v="0"/>
    <x v="0"/>
    <x v="0"/>
    <x v="0"/>
    <x v="0"/>
    <x v="4"/>
    <x v="4"/>
    <x v="0"/>
    <x v="0"/>
    <x v="9"/>
    <n v="-840164"/>
    <n v="241456"/>
  </r>
  <r>
    <x v="5"/>
    <x v="5"/>
    <x v="0"/>
    <x v="0"/>
    <x v="0"/>
    <x v="0"/>
    <x v="0"/>
    <x v="0"/>
    <x v="3"/>
    <x v="3"/>
    <x v="0"/>
    <x v="0"/>
    <x v="12"/>
    <n v="-136275"/>
    <n v="134769"/>
  </r>
  <r>
    <x v="5"/>
    <x v="5"/>
    <x v="0"/>
    <x v="0"/>
    <x v="0"/>
    <x v="0"/>
    <x v="0"/>
    <x v="0"/>
    <x v="2"/>
    <x v="2"/>
    <x v="0"/>
    <x v="0"/>
    <x v="11"/>
    <n v="-132210"/>
    <n v="87262"/>
  </r>
  <r>
    <x v="5"/>
    <x v="5"/>
    <x v="0"/>
    <x v="0"/>
    <x v="0"/>
    <x v="0"/>
    <x v="0"/>
    <x v="0"/>
    <x v="0"/>
    <x v="0"/>
    <x v="0"/>
    <x v="0"/>
    <x v="13"/>
    <n v="-390689"/>
    <n v="289990"/>
  </r>
  <r>
    <x v="5"/>
    <x v="5"/>
    <x v="0"/>
    <x v="0"/>
    <x v="0"/>
    <x v="0"/>
    <x v="0"/>
    <x v="0"/>
    <x v="5"/>
    <x v="5"/>
    <x v="0"/>
    <x v="0"/>
    <x v="8"/>
    <n v="-902159"/>
    <n v="992348"/>
  </r>
  <r>
    <x v="5"/>
    <x v="5"/>
    <x v="0"/>
    <x v="0"/>
    <x v="0"/>
    <x v="0"/>
    <x v="0"/>
    <x v="0"/>
    <x v="1"/>
    <x v="1"/>
    <x v="0"/>
    <x v="0"/>
    <x v="7"/>
    <n v="-1266808"/>
    <n v="1127385"/>
  </r>
  <r>
    <x v="5"/>
    <x v="5"/>
    <x v="0"/>
    <x v="0"/>
    <x v="0"/>
    <x v="0"/>
    <x v="0"/>
    <x v="0"/>
    <x v="6"/>
    <x v="6"/>
    <x v="0"/>
    <x v="0"/>
    <x v="10"/>
    <n v="-294767"/>
    <n v="144144"/>
  </r>
  <r>
    <x v="6"/>
    <x v="6"/>
    <x v="0"/>
    <x v="0"/>
    <x v="0"/>
    <x v="0"/>
    <x v="0"/>
    <x v="0"/>
    <x v="6"/>
    <x v="6"/>
    <x v="0"/>
    <x v="0"/>
    <x v="10"/>
    <n v="-339367"/>
    <n v="99544"/>
  </r>
  <r>
    <x v="6"/>
    <x v="6"/>
    <x v="0"/>
    <x v="0"/>
    <x v="0"/>
    <x v="0"/>
    <x v="0"/>
    <x v="0"/>
    <x v="0"/>
    <x v="0"/>
    <x v="0"/>
    <x v="0"/>
    <x v="13"/>
    <n v="-416689"/>
    <n v="263990"/>
  </r>
  <r>
    <x v="6"/>
    <x v="6"/>
    <x v="0"/>
    <x v="0"/>
    <x v="0"/>
    <x v="0"/>
    <x v="0"/>
    <x v="0"/>
    <x v="2"/>
    <x v="2"/>
    <x v="0"/>
    <x v="0"/>
    <x v="11"/>
    <n v="-183211"/>
    <n v="36261"/>
  </r>
  <r>
    <x v="6"/>
    <x v="6"/>
    <x v="0"/>
    <x v="0"/>
    <x v="0"/>
    <x v="0"/>
    <x v="0"/>
    <x v="0"/>
    <x v="1"/>
    <x v="1"/>
    <x v="0"/>
    <x v="0"/>
    <x v="7"/>
    <n v="-1690223"/>
    <n v="703970"/>
  </r>
  <r>
    <x v="6"/>
    <x v="6"/>
    <x v="0"/>
    <x v="0"/>
    <x v="0"/>
    <x v="0"/>
    <x v="0"/>
    <x v="0"/>
    <x v="4"/>
    <x v="4"/>
    <x v="0"/>
    <x v="0"/>
    <x v="9"/>
    <n v="-997704"/>
    <n v="83916"/>
  </r>
  <r>
    <x v="6"/>
    <x v="6"/>
    <x v="0"/>
    <x v="0"/>
    <x v="0"/>
    <x v="0"/>
    <x v="0"/>
    <x v="0"/>
    <x v="3"/>
    <x v="3"/>
    <x v="0"/>
    <x v="0"/>
    <x v="12"/>
    <n v="-148859"/>
    <n v="122185"/>
  </r>
  <r>
    <x v="6"/>
    <x v="6"/>
    <x v="0"/>
    <x v="0"/>
    <x v="0"/>
    <x v="0"/>
    <x v="0"/>
    <x v="0"/>
    <x v="5"/>
    <x v="5"/>
    <x v="0"/>
    <x v="0"/>
    <x v="8"/>
    <n v="-1059159"/>
    <n v="835348"/>
  </r>
  <r>
    <x v="7"/>
    <x v="7"/>
    <x v="0"/>
    <x v="0"/>
    <x v="0"/>
    <x v="0"/>
    <x v="0"/>
    <x v="0"/>
    <x v="3"/>
    <x v="3"/>
    <x v="0"/>
    <x v="0"/>
    <x v="12"/>
    <n v="-125927"/>
    <n v="145117"/>
  </r>
  <r>
    <x v="7"/>
    <x v="7"/>
    <x v="0"/>
    <x v="0"/>
    <x v="0"/>
    <x v="0"/>
    <x v="0"/>
    <x v="0"/>
    <x v="0"/>
    <x v="0"/>
    <x v="0"/>
    <x v="0"/>
    <x v="13"/>
    <n v="-347419"/>
    <n v="333260"/>
  </r>
  <r>
    <x v="7"/>
    <x v="7"/>
    <x v="0"/>
    <x v="0"/>
    <x v="0"/>
    <x v="0"/>
    <x v="0"/>
    <x v="0"/>
    <x v="6"/>
    <x v="6"/>
    <x v="0"/>
    <x v="0"/>
    <x v="10"/>
    <n v="-288771"/>
    <n v="150140"/>
  </r>
  <r>
    <x v="7"/>
    <x v="7"/>
    <x v="0"/>
    <x v="0"/>
    <x v="0"/>
    <x v="0"/>
    <x v="0"/>
    <x v="0"/>
    <x v="5"/>
    <x v="5"/>
    <x v="0"/>
    <x v="0"/>
    <x v="8"/>
    <n v="-888729"/>
    <n v="1005778"/>
  </r>
  <r>
    <x v="7"/>
    <x v="7"/>
    <x v="0"/>
    <x v="0"/>
    <x v="0"/>
    <x v="0"/>
    <x v="0"/>
    <x v="0"/>
    <x v="1"/>
    <x v="1"/>
    <x v="0"/>
    <x v="0"/>
    <x v="7"/>
    <n v="-1441379"/>
    <n v="952814"/>
  </r>
  <r>
    <x v="7"/>
    <x v="7"/>
    <x v="0"/>
    <x v="0"/>
    <x v="0"/>
    <x v="0"/>
    <x v="0"/>
    <x v="0"/>
    <x v="4"/>
    <x v="4"/>
    <x v="0"/>
    <x v="0"/>
    <x v="9"/>
    <n v="-863907"/>
    <n v="217713"/>
  </r>
  <r>
    <x v="7"/>
    <x v="7"/>
    <x v="0"/>
    <x v="0"/>
    <x v="0"/>
    <x v="0"/>
    <x v="0"/>
    <x v="0"/>
    <x v="2"/>
    <x v="2"/>
    <x v="0"/>
    <x v="0"/>
    <x v="11"/>
    <n v="-159159"/>
    <n v="60313"/>
  </r>
  <r>
    <x v="8"/>
    <x v="8"/>
    <x v="0"/>
    <x v="0"/>
    <x v="0"/>
    <x v="0"/>
    <x v="0"/>
    <x v="0"/>
    <x v="1"/>
    <x v="1"/>
    <x v="0"/>
    <x v="0"/>
    <x v="7"/>
    <n v="-1166316"/>
    <n v="1227877"/>
  </r>
  <r>
    <x v="8"/>
    <x v="8"/>
    <x v="0"/>
    <x v="0"/>
    <x v="0"/>
    <x v="0"/>
    <x v="0"/>
    <x v="0"/>
    <x v="5"/>
    <x v="5"/>
    <x v="0"/>
    <x v="0"/>
    <x v="8"/>
    <n v="-712008"/>
    <n v="1182499"/>
  </r>
  <r>
    <x v="8"/>
    <x v="8"/>
    <x v="0"/>
    <x v="0"/>
    <x v="0"/>
    <x v="0"/>
    <x v="0"/>
    <x v="0"/>
    <x v="2"/>
    <x v="2"/>
    <x v="0"/>
    <x v="0"/>
    <x v="11"/>
    <n v="-127384"/>
    <n v="92088"/>
  </r>
  <r>
    <x v="8"/>
    <x v="8"/>
    <x v="0"/>
    <x v="0"/>
    <x v="0"/>
    <x v="0"/>
    <x v="0"/>
    <x v="0"/>
    <x v="0"/>
    <x v="0"/>
    <x v="0"/>
    <x v="0"/>
    <x v="13"/>
    <n v="-275840"/>
    <n v="404839"/>
  </r>
  <r>
    <x v="8"/>
    <x v="8"/>
    <x v="0"/>
    <x v="0"/>
    <x v="0"/>
    <x v="0"/>
    <x v="0"/>
    <x v="0"/>
    <x v="6"/>
    <x v="6"/>
    <x v="0"/>
    <x v="0"/>
    <x v="10"/>
    <n v="-232754"/>
    <n v="206157"/>
  </r>
  <r>
    <x v="8"/>
    <x v="8"/>
    <x v="0"/>
    <x v="0"/>
    <x v="0"/>
    <x v="0"/>
    <x v="0"/>
    <x v="0"/>
    <x v="4"/>
    <x v="4"/>
    <x v="0"/>
    <x v="0"/>
    <x v="9"/>
    <n v="-683529"/>
    <n v="398091"/>
  </r>
  <r>
    <x v="8"/>
    <x v="8"/>
    <x v="0"/>
    <x v="0"/>
    <x v="0"/>
    <x v="0"/>
    <x v="0"/>
    <x v="0"/>
    <x v="3"/>
    <x v="3"/>
    <x v="0"/>
    <x v="0"/>
    <x v="12"/>
    <n v="-100538"/>
    <n v="170506"/>
  </r>
  <r>
    <x v="9"/>
    <x v="9"/>
    <x v="0"/>
    <x v="0"/>
    <x v="0"/>
    <x v="0"/>
    <x v="0"/>
    <x v="0"/>
    <x v="6"/>
    <x v="6"/>
    <x v="0"/>
    <x v="0"/>
    <x v="10"/>
    <n v="-178544"/>
    <n v="260367"/>
  </r>
  <r>
    <x v="9"/>
    <x v="9"/>
    <x v="0"/>
    <x v="0"/>
    <x v="0"/>
    <x v="0"/>
    <x v="0"/>
    <x v="0"/>
    <x v="3"/>
    <x v="3"/>
    <x v="0"/>
    <x v="0"/>
    <x v="12"/>
    <n v="-75968"/>
    <n v="195076"/>
  </r>
  <r>
    <x v="9"/>
    <x v="9"/>
    <x v="0"/>
    <x v="0"/>
    <x v="0"/>
    <x v="0"/>
    <x v="0"/>
    <x v="0"/>
    <x v="5"/>
    <x v="5"/>
    <x v="0"/>
    <x v="0"/>
    <x v="8"/>
    <n v="-541278"/>
    <n v="1353229"/>
  </r>
  <r>
    <x v="9"/>
    <x v="9"/>
    <x v="0"/>
    <x v="0"/>
    <x v="0"/>
    <x v="0"/>
    <x v="0"/>
    <x v="0"/>
    <x v="1"/>
    <x v="1"/>
    <x v="0"/>
    <x v="0"/>
    <x v="7"/>
    <n v="-900126"/>
    <n v="1494067"/>
  </r>
  <r>
    <x v="9"/>
    <x v="9"/>
    <x v="0"/>
    <x v="0"/>
    <x v="0"/>
    <x v="0"/>
    <x v="0"/>
    <x v="0"/>
    <x v="2"/>
    <x v="2"/>
    <x v="0"/>
    <x v="0"/>
    <x v="11"/>
    <n v="-96634"/>
    <n v="122838"/>
  </r>
  <r>
    <x v="9"/>
    <x v="9"/>
    <x v="0"/>
    <x v="0"/>
    <x v="0"/>
    <x v="0"/>
    <x v="0"/>
    <x v="0"/>
    <x v="0"/>
    <x v="0"/>
    <x v="0"/>
    <x v="0"/>
    <x v="13"/>
    <n v="-206570"/>
    <n v="474109"/>
  </r>
  <r>
    <x v="9"/>
    <x v="9"/>
    <x v="0"/>
    <x v="0"/>
    <x v="0"/>
    <x v="0"/>
    <x v="0"/>
    <x v="0"/>
    <x v="4"/>
    <x v="4"/>
    <x v="0"/>
    <x v="0"/>
    <x v="9"/>
    <n v="-510734"/>
    <n v="570886"/>
  </r>
  <r>
    <x v="10"/>
    <x v="10"/>
    <x v="0"/>
    <x v="0"/>
    <x v="0"/>
    <x v="0"/>
    <x v="0"/>
    <x v="0"/>
    <x v="3"/>
    <x v="3"/>
    <x v="0"/>
    <x v="0"/>
    <x v="12"/>
    <n v="-50579"/>
    <n v="220465"/>
  </r>
  <r>
    <x v="10"/>
    <x v="10"/>
    <x v="0"/>
    <x v="0"/>
    <x v="0"/>
    <x v="0"/>
    <x v="0"/>
    <x v="0"/>
    <x v="4"/>
    <x v="4"/>
    <x v="0"/>
    <x v="0"/>
    <x v="9"/>
    <n v="-343289"/>
    <n v="738331"/>
  </r>
  <r>
    <x v="10"/>
    <x v="10"/>
    <x v="0"/>
    <x v="0"/>
    <x v="0"/>
    <x v="0"/>
    <x v="0"/>
    <x v="0"/>
    <x v="5"/>
    <x v="5"/>
    <x v="0"/>
    <x v="0"/>
    <x v="8"/>
    <n v="-364857"/>
    <n v="1529650"/>
  </r>
  <r>
    <x v="10"/>
    <x v="10"/>
    <x v="0"/>
    <x v="0"/>
    <x v="0"/>
    <x v="0"/>
    <x v="0"/>
    <x v="0"/>
    <x v="1"/>
    <x v="1"/>
    <x v="0"/>
    <x v="0"/>
    <x v="7"/>
    <n v="-625063"/>
    <n v="1769130"/>
  </r>
  <r>
    <x v="10"/>
    <x v="10"/>
    <x v="0"/>
    <x v="0"/>
    <x v="0"/>
    <x v="0"/>
    <x v="0"/>
    <x v="0"/>
    <x v="6"/>
    <x v="6"/>
    <x v="0"/>
    <x v="0"/>
    <x v="10"/>
    <n v="-118590"/>
    <n v="320321"/>
  </r>
  <r>
    <x v="10"/>
    <x v="10"/>
    <x v="0"/>
    <x v="0"/>
    <x v="0"/>
    <x v="0"/>
    <x v="0"/>
    <x v="0"/>
    <x v="0"/>
    <x v="0"/>
    <x v="0"/>
    <x v="0"/>
    <x v="13"/>
    <n v="-134991"/>
    <n v="545688"/>
  </r>
  <r>
    <x v="10"/>
    <x v="10"/>
    <x v="0"/>
    <x v="0"/>
    <x v="0"/>
    <x v="0"/>
    <x v="0"/>
    <x v="0"/>
    <x v="2"/>
    <x v="2"/>
    <x v="0"/>
    <x v="0"/>
    <x v="11"/>
    <n v="-65110"/>
    <n v="154362"/>
  </r>
  <r>
    <x v="11"/>
    <x v="11"/>
    <x v="0"/>
    <x v="0"/>
    <x v="0"/>
    <x v="0"/>
    <x v="0"/>
    <x v="0"/>
    <x v="3"/>
    <x v="3"/>
    <x v="0"/>
    <x v="0"/>
    <x v="12"/>
    <n v="-25190"/>
    <n v="245854"/>
  </r>
  <r>
    <x v="11"/>
    <x v="11"/>
    <x v="0"/>
    <x v="0"/>
    <x v="0"/>
    <x v="0"/>
    <x v="0"/>
    <x v="0"/>
    <x v="2"/>
    <x v="2"/>
    <x v="0"/>
    <x v="0"/>
    <x v="11"/>
    <n v="-35164"/>
    <n v="184308"/>
  </r>
  <r>
    <x v="11"/>
    <x v="11"/>
    <x v="0"/>
    <x v="0"/>
    <x v="0"/>
    <x v="0"/>
    <x v="0"/>
    <x v="0"/>
    <x v="1"/>
    <x v="1"/>
    <x v="0"/>
    <x v="0"/>
    <x v="7"/>
    <n v="-329974"/>
    <n v="2064219"/>
  </r>
  <r>
    <x v="11"/>
    <x v="11"/>
    <x v="0"/>
    <x v="0"/>
    <x v="0"/>
    <x v="0"/>
    <x v="0"/>
    <x v="0"/>
    <x v="5"/>
    <x v="5"/>
    <x v="0"/>
    <x v="0"/>
    <x v="8"/>
    <n v="-188436"/>
    <n v="1706071"/>
  </r>
  <r>
    <x v="11"/>
    <x v="11"/>
    <x v="0"/>
    <x v="0"/>
    <x v="0"/>
    <x v="0"/>
    <x v="0"/>
    <x v="0"/>
    <x v="4"/>
    <x v="4"/>
    <x v="0"/>
    <x v="0"/>
    <x v="9"/>
    <n v="-166955"/>
    <n v="914665"/>
  </r>
  <r>
    <x v="11"/>
    <x v="11"/>
    <x v="0"/>
    <x v="0"/>
    <x v="0"/>
    <x v="0"/>
    <x v="0"/>
    <x v="0"/>
    <x v="0"/>
    <x v="0"/>
    <x v="0"/>
    <x v="0"/>
    <x v="13"/>
    <n v="-63412"/>
    <n v="617267"/>
  </r>
  <r>
    <x v="11"/>
    <x v="11"/>
    <x v="0"/>
    <x v="0"/>
    <x v="0"/>
    <x v="0"/>
    <x v="0"/>
    <x v="0"/>
    <x v="6"/>
    <x v="6"/>
    <x v="0"/>
    <x v="0"/>
    <x v="10"/>
    <n v="-65332"/>
    <n v="37357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">
  <r>
    <x v="0"/>
    <d v="2019-11-01T08:26:07"/>
    <x v="0"/>
    <s v="Atmos Energy-KY/Mid-States"/>
    <s v="0000"/>
    <s v="ATM-Default"/>
    <x v="0"/>
    <s v="Gas stored underground-Current"/>
    <x v="0"/>
    <s v="St. Charles Storage"/>
    <s v="009000"/>
    <s v="KY"/>
    <n v="4431651.24"/>
    <n v="-1142579.7"/>
    <n v="3289071.54"/>
  </r>
  <r>
    <x v="1"/>
    <d v="2019-11-01T08:26:07"/>
    <x v="0"/>
    <s v="Atmos Energy-KY/Mid-States"/>
    <s v="0000"/>
    <s v="ATM-Default"/>
    <x v="0"/>
    <s v="Gas stored underground-Current"/>
    <x v="0"/>
    <s v="St. Charles Storage"/>
    <s v="009000"/>
    <s v="KY"/>
    <n v="4431651.24"/>
    <n v="-2287364.9700000002"/>
    <n v="2144286.27"/>
  </r>
  <r>
    <x v="2"/>
    <d v="2019-11-01T08:26:07"/>
    <x v="0"/>
    <s v="Atmos Energy-KY/Mid-States"/>
    <s v="0000"/>
    <s v="ATM-Default"/>
    <x v="0"/>
    <s v="Gas stored underground-Current"/>
    <x v="0"/>
    <s v="St. Charles Storage"/>
    <s v="009000"/>
    <s v="KY"/>
    <n v="4431651.24"/>
    <n v="1133483.18"/>
    <n v="5565134.4199999999"/>
  </r>
  <r>
    <x v="3"/>
    <d v="2018-10-02T15:44:09"/>
    <x v="0"/>
    <s v="Atmos Energy-KY/Mid-States"/>
    <s v="0000"/>
    <s v="ATM-Default"/>
    <x v="0"/>
    <s v="Gas stored underground-Current"/>
    <x v="1"/>
    <s v="East Diamond Storage Facility"/>
    <s v="009000"/>
    <s v="KY"/>
    <n v="4443502.7300000004"/>
    <n v="-946242.81"/>
    <n v="3497259.92"/>
  </r>
  <r>
    <x v="4"/>
    <d v="2019-11-01T08:26:07"/>
    <x v="0"/>
    <s v="Atmos Energy-KY/Mid-States"/>
    <s v="0000"/>
    <s v="ATM-Default"/>
    <x v="0"/>
    <s v="Gas stored underground-Current"/>
    <x v="1"/>
    <s v="East Diamond Storage Facility"/>
    <s v="009000"/>
    <s v="KY"/>
    <n v="3497259.92"/>
    <n v="9925.2199999999993"/>
    <n v="3507185.14"/>
  </r>
  <r>
    <x v="5"/>
    <d v="2019-11-01T08:26:07"/>
    <x v="0"/>
    <s v="Atmos Energy-KY/Mid-States"/>
    <s v="0000"/>
    <s v="ATM-Default"/>
    <x v="0"/>
    <s v="Gas stored underground-Current"/>
    <x v="2"/>
    <s v="P/L Stored Gas"/>
    <s v="009000"/>
    <s v="KY"/>
    <n v="1830101.04"/>
    <n v="-1651611.71"/>
    <n v="178489.33"/>
  </r>
  <r>
    <x v="6"/>
    <d v="2019-11-01T08:26:07"/>
    <x v="0"/>
    <s v="Atmos Energy-KY/Mid-States"/>
    <s v="0000"/>
    <s v="ATM-Default"/>
    <x v="0"/>
    <s v="Gas stored underground-Current"/>
    <x v="2"/>
    <s v="P/L Stored Gas"/>
    <s v="009000"/>
    <s v="KY"/>
    <n v="1830101.04"/>
    <n v="-288135.34999999998"/>
    <n v="1541965.69"/>
  </r>
  <r>
    <x v="5"/>
    <d v="2019-11-01T08:26:07"/>
    <x v="0"/>
    <s v="Atmos Energy-KY/Mid-States"/>
    <s v="0000"/>
    <s v="ATM-Default"/>
    <x v="0"/>
    <s v="Gas stored underground-Current"/>
    <x v="3"/>
    <s v="Bon Harbor Storage"/>
    <s v="009000"/>
    <s v="KY"/>
    <n v="1251768.68"/>
    <n v="-752299.6"/>
    <n v="499469.08"/>
  </r>
  <r>
    <x v="5"/>
    <d v="2019-11-01T08:26:07"/>
    <x v="0"/>
    <s v="Atmos Energy-KY/Mid-States"/>
    <s v="0000"/>
    <s v="ATM-Default"/>
    <x v="0"/>
    <s v="Gas stored underground-Current"/>
    <x v="4"/>
    <s v="Kirkwood Storage"/>
    <s v="009000"/>
    <s v="KY"/>
    <n v="392854.88"/>
    <n v="-314168.51"/>
    <n v="78686.37"/>
  </r>
  <r>
    <x v="5"/>
    <d v="2019-11-01T08:26:07"/>
    <x v="0"/>
    <s v="Atmos Energy-KY/Mid-States"/>
    <s v="0000"/>
    <s v="ATM-Default"/>
    <x v="0"/>
    <s v="Gas stored underground-Current"/>
    <x v="0"/>
    <s v="St. Charles Storage"/>
    <s v="009000"/>
    <s v="KY"/>
    <n v="4431651.24"/>
    <n v="-3092700.3"/>
    <n v="1338950.94"/>
  </r>
  <r>
    <x v="7"/>
    <d v="2019-11-01T08:26:07"/>
    <x v="0"/>
    <s v="Atmos Energy-KY/Mid-States"/>
    <s v="0000"/>
    <s v="ATM-Default"/>
    <x v="0"/>
    <s v="Gas stored underground-Current"/>
    <x v="1"/>
    <s v="East Diamond Storage Facility"/>
    <s v="009000"/>
    <s v="KY"/>
    <n v="3497259.92"/>
    <n v="-1136991.92"/>
    <n v="2360268"/>
  </r>
  <r>
    <x v="0"/>
    <d v="2019-11-01T08:26:07"/>
    <x v="0"/>
    <s v="Atmos Energy-KY/Mid-States"/>
    <s v="0000"/>
    <s v="ATM-Default"/>
    <x v="0"/>
    <s v="Gas stored underground-Current"/>
    <x v="2"/>
    <s v="P/L Stored Gas"/>
    <s v="009000"/>
    <s v="KY"/>
    <n v="1830101.04"/>
    <n v="-940721.33"/>
    <n v="889379.71"/>
  </r>
  <r>
    <x v="7"/>
    <d v="2019-11-01T08:26:07"/>
    <x v="0"/>
    <s v="Atmos Energy-KY/Mid-States"/>
    <s v="0000"/>
    <s v="ATM-Default"/>
    <x v="0"/>
    <s v="Gas stored underground-Current"/>
    <x v="3"/>
    <s v="Bon Harbor Storage"/>
    <s v="009000"/>
    <s v="KY"/>
    <n v="1251768.68"/>
    <n v="-439256.81"/>
    <n v="812511.87"/>
  </r>
  <r>
    <x v="6"/>
    <d v="2019-11-01T08:26:07"/>
    <x v="0"/>
    <s v="Atmos Energy-KY/Mid-States"/>
    <s v="0000"/>
    <s v="ATM-Default"/>
    <x v="0"/>
    <s v="Gas stored underground-Current"/>
    <x v="3"/>
    <s v="Bon Harbor Storage"/>
    <s v="009000"/>
    <s v="KY"/>
    <n v="1251768.68"/>
    <n v="-184549.21"/>
    <n v="1067219.47"/>
  </r>
  <r>
    <x v="3"/>
    <d v="2018-10-02T15:44:09"/>
    <x v="0"/>
    <s v="Atmos Energy-KY/Mid-States"/>
    <s v="0000"/>
    <s v="ATM-Default"/>
    <x v="0"/>
    <s v="Gas stored underground-Current"/>
    <x v="5"/>
    <s v="Hickory Storage"/>
    <s v="009000"/>
    <s v="KY"/>
    <n v="1043343.73"/>
    <n v="-224335.8"/>
    <n v="819007.93"/>
  </r>
  <r>
    <x v="6"/>
    <d v="2019-11-01T08:26:07"/>
    <x v="0"/>
    <s v="Atmos Energy-KY/Mid-States"/>
    <s v="0000"/>
    <s v="ATM-Default"/>
    <x v="0"/>
    <s v="Gas stored underground-Current"/>
    <x v="5"/>
    <s v="Hickory Storage"/>
    <s v="009000"/>
    <s v="KY"/>
    <n v="819007.93"/>
    <n v="-193606.52"/>
    <n v="625401.41"/>
  </r>
  <r>
    <x v="2"/>
    <d v="2019-11-01T08:26:07"/>
    <x v="0"/>
    <s v="Atmos Energy-KY/Mid-States"/>
    <s v="0000"/>
    <s v="ATM-Default"/>
    <x v="0"/>
    <s v="Gas stored underground-Current"/>
    <x v="5"/>
    <s v="Hickory Storage"/>
    <s v="009000"/>
    <s v="KY"/>
    <n v="819007.93"/>
    <n v="218420.95"/>
    <n v="1037428.88"/>
  </r>
  <r>
    <x v="8"/>
    <d v="2019-11-01T08:26:07"/>
    <x v="0"/>
    <s v="Atmos Energy-KY/Mid-States"/>
    <s v="0000"/>
    <s v="ATM-Default"/>
    <x v="0"/>
    <s v="Gas stored underground-Current"/>
    <x v="4"/>
    <s v="Kirkwood Storage"/>
    <s v="009000"/>
    <s v="KY"/>
    <n v="392854.88"/>
    <n v="31331.9"/>
    <n v="424186.78"/>
  </r>
  <r>
    <x v="3"/>
    <d v="2018-10-02T15:44:09"/>
    <x v="0"/>
    <s v="Atmos Energy-KY/Mid-States"/>
    <s v="0000"/>
    <s v="ATM-Default"/>
    <x v="0"/>
    <s v="Gas stored underground-Current"/>
    <x v="6"/>
    <s v="Grandview Storage"/>
    <s v="009000"/>
    <s v="KY"/>
    <n v="616302.5"/>
    <n v="-96982.2"/>
    <n v="519320.3"/>
  </r>
  <r>
    <x v="8"/>
    <d v="2019-11-01T08:26:07"/>
    <x v="0"/>
    <s v="Atmos Energy-KY/Mid-States"/>
    <s v="0000"/>
    <s v="ATM-Default"/>
    <x v="0"/>
    <s v="Gas stored underground-Current"/>
    <x v="6"/>
    <s v="Grandview Storage"/>
    <s v="009000"/>
    <s v="KY"/>
    <n v="519320.3"/>
    <n v="-2550.34"/>
    <n v="516769.96"/>
  </r>
  <r>
    <x v="9"/>
    <d v="2019-11-01T08:26:07"/>
    <x v="0"/>
    <s v="Atmos Energy-KY/Mid-States"/>
    <s v="0000"/>
    <s v="ATM-Default"/>
    <x v="0"/>
    <s v="Gas stored underground-Current"/>
    <x v="0"/>
    <s v="St. Charles Storage"/>
    <s v="009000"/>
    <s v="KY"/>
    <n v="4431651.24"/>
    <n v="497226.03"/>
    <n v="4928877.2699999996"/>
  </r>
  <r>
    <x v="9"/>
    <d v="2019-11-01T08:26:07"/>
    <x v="0"/>
    <s v="Atmos Energy-KY/Mid-States"/>
    <s v="0000"/>
    <s v="ATM-Default"/>
    <x v="0"/>
    <s v="Gas stored underground-Current"/>
    <x v="1"/>
    <s v="East Diamond Storage Facility"/>
    <s v="009000"/>
    <s v="KY"/>
    <n v="3497259.92"/>
    <n v="410412.94"/>
    <n v="3907672.86"/>
  </r>
  <r>
    <x v="6"/>
    <d v="2019-11-01T08:26:07"/>
    <x v="0"/>
    <s v="Atmos Energy-KY/Mid-States"/>
    <s v="0000"/>
    <s v="ATM-Default"/>
    <x v="0"/>
    <s v="Gas stored underground-Current"/>
    <x v="1"/>
    <s v="East Diamond Storage Facility"/>
    <s v="009000"/>
    <s v="KY"/>
    <n v="3497259.92"/>
    <n v="-507976.85"/>
    <n v="2989283.07"/>
  </r>
  <r>
    <x v="4"/>
    <d v="2019-11-01T08:26:07"/>
    <x v="0"/>
    <s v="Atmos Energy-KY/Mid-States"/>
    <s v="0000"/>
    <s v="ATM-Default"/>
    <x v="0"/>
    <s v="Gas stored underground-Current"/>
    <x v="2"/>
    <s v="P/L Stored Gas"/>
    <s v="009000"/>
    <s v="KY"/>
    <n v="1830101.04"/>
    <n v="-319507.98"/>
    <n v="1510593.06"/>
  </r>
  <r>
    <x v="10"/>
    <d v="2019-11-01T08:26:07"/>
    <x v="0"/>
    <s v="Atmos Energy-KY/Mid-States"/>
    <s v="0000"/>
    <s v="ATM-Default"/>
    <x v="0"/>
    <s v="Gas stored underground-Current"/>
    <x v="2"/>
    <s v="P/L Stored Gas"/>
    <s v="009000"/>
    <s v="KY"/>
    <n v="1830101.04"/>
    <n v="-1282988.27"/>
    <n v="547112.77"/>
  </r>
  <r>
    <x v="0"/>
    <d v="2019-11-01T08:26:07"/>
    <x v="0"/>
    <s v="Atmos Energy-KY/Mid-States"/>
    <s v="0000"/>
    <s v="ATM-Default"/>
    <x v="0"/>
    <s v="Gas stored underground-Current"/>
    <x v="4"/>
    <s v="Kirkwood Storage"/>
    <s v="009000"/>
    <s v="KY"/>
    <n v="392854.88"/>
    <n v="-100944.38"/>
    <n v="291910.5"/>
  </r>
  <r>
    <x v="2"/>
    <d v="2019-11-01T08:26:07"/>
    <x v="0"/>
    <s v="Atmos Energy-KY/Mid-States"/>
    <s v="0000"/>
    <s v="ATM-Default"/>
    <x v="0"/>
    <s v="Gas stored underground-Current"/>
    <x v="4"/>
    <s v="Kirkwood Storage"/>
    <s v="009000"/>
    <s v="KY"/>
    <n v="392854.88"/>
    <n v="146983.25"/>
    <n v="539838.13"/>
  </r>
  <r>
    <x v="7"/>
    <d v="2019-11-01T08:26:07"/>
    <x v="0"/>
    <s v="Atmos Energy-KY/Mid-States"/>
    <s v="0000"/>
    <s v="ATM-Default"/>
    <x v="0"/>
    <s v="Gas stored underground-Current"/>
    <x v="6"/>
    <s v="Grandview Storage"/>
    <s v="009000"/>
    <s v="KY"/>
    <n v="519320.3"/>
    <n v="-177285.26"/>
    <n v="342035.04"/>
  </r>
  <r>
    <x v="4"/>
    <d v="2019-11-01T08:26:07"/>
    <x v="0"/>
    <s v="Atmos Energy-KY/Mid-States"/>
    <s v="0000"/>
    <s v="ATM-Default"/>
    <x v="0"/>
    <s v="Gas stored underground-Current"/>
    <x v="0"/>
    <s v="St. Charles Storage"/>
    <s v="009000"/>
    <s v="KY"/>
    <n v="4431651.24"/>
    <n v="-566895.65"/>
    <n v="3864755.59"/>
  </r>
  <r>
    <x v="7"/>
    <d v="2019-11-01T08:26:07"/>
    <x v="0"/>
    <s v="Atmos Energy-KY/Mid-States"/>
    <s v="0000"/>
    <s v="ATM-Default"/>
    <x v="0"/>
    <s v="Gas stored underground-Current"/>
    <x v="0"/>
    <s v="St. Charles Storage"/>
    <s v="009000"/>
    <s v="KY"/>
    <n v="4431651.24"/>
    <n v="-1923098.53"/>
    <n v="2508552.71"/>
  </r>
  <r>
    <x v="5"/>
    <d v="2019-11-01T08:26:07"/>
    <x v="0"/>
    <s v="Atmos Energy-KY/Mid-States"/>
    <s v="0000"/>
    <s v="ATM-Default"/>
    <x v="0"/>
    <s v="Gas stored underground-Current"/>
    <x v="1"/>
    <s v="East Diamond Storage Facility"/>
    <s v="009000"/>
    <s v="KY"/>
    <n v="3497259.92"/>
    <n v="-1906757.33"/>
    <n v="1590502.59"/>
  </r>
  <r>
    <x v="2"/>
    <d v="2019-11-01T08:26:07"/>
    <x v="0"/>
    <s v="Atmos Energy-KY/Mid-States"/>
    <s v="0000"/>
    <s v="ATM-Default"/>
    <x v="0"/>
    <s v="Gas stored underground-Current"/>
    <x v="1"/>
    <s v="East Diamond Storage Facility"/>
    <s v="009000"/>
    <s v="KY"/>
    <n v="3497259.92"/>
    <n v="822511.85"/>
    <n v="4319771.7699999996"/>
  </r>
  <r>
    <x v="11"/>
    <d v="2019-11-01T08:26:07"/>
    <x v="0"/>
    <s v="Atmos Energy-KY/Mid-States"/>
    <s v="0000"/>
    <s v="ATM-Default"/>
    <x v="0"/>
    <s v="Gas stored underground-Current"/>
    <x v="2"/>
    <s v="P/L Stored Gas"/>
    <s v="009000"/>
    <s v="KY"/>
    <n v="1830101.04"/>
    <n v="183421.12"/>
    <n v="2013522.16"/>
  </r>
  <r>
    <x v="4"/>
    <d v="2019-11-01T08:26:07"/>
    <x v="0"/>
    <s v="Atmos Energy-KY/Mid-States"/>
    <s v="0000"/>
    <s v="ATM-Default"/>
    <x v="0"/>
    <s v="Gas stored underground-Current"/>
    <x v="3"/>
    <s v="Bon Harbor Storage"/>
    <s v="009000"/>
    <s v="KY"/>
    <n v="1251768.68"/>
    <n v="-153969.74"/>
    <n v="1097798.94"/>
  </r>
  <r>
    <x v="9"/>
    <d v="2019-11-01T08:26:07"/>
    <x v="0"/>
    <s v="Atmos Energy-KY/Mid-States"/>
    <s v="0000"/>
    <s v="ATM-Default"/>
    <x v="0"/>
    <s v="Gas stored underground-Current"/>
    <x v="4"/>
    <s v="Kirkwood Storage"/>
    <s v="009000"/>
    <s v="KY"/>
    <n v="392854.88"/>
    <n v="51317.68"/>
    <n v="444172.56"/>
  </r>
  <r>
    <x v="4"/>
    <d v="2019-11-01T08:26:07"/>
    <x v="0"/>
    <s v="Atmos Energy-KY/Mid-States"/>
    <s v="0000"/>
    <s v="ATM-Default"/>
    <x v="0"/>
    <s v="Gas stored underground-Current"/>
    <x v="4"/>
    <s v="Kirkwood Storage"/>
    <s v="009000"/>
    <s v="KY"/>
    <n v="392854.88"/>
    <n v="-38433.42"/>
    <n v="354421.46"/>
  </r>
  <r>
    <x v="10"/>
    <d v="2019-11-01T08:26:07"/>
    <x v="0"/>
    <s v="Atmos Energy-KY/Mid-States"/>
    <s v="0000"/>
    <s v="ATM-Default"/>
    <x v="0"/>
    <s v="Gas stored underground-Current"/>
    <x v="4"/>
    <s v="Kirkwood Storage"/>
    <s v="009000"/>
    <s v="KY"/>
    <n v="392854.88"/>
    <n v="-246897.42"/>
    <n v="145957.46"/>
  </r>
  <r>
    <x v="0"/>
    <d v="2019-11-01T08:26:07"/>
    <x v="0"/>
    <s v="Atmos Energy-KY/Mid-States"/>
    <s v="0000"/>
    <s v="ATM-Default"/>
    <x v="0"/>
    <s v="Gas stored underground-Current"/>
    <x v="6"/>
    <s v="Grandview Storage"/>
    <s v="009000"/>
    <s v="KY"/>
    <n v="519320.3"/>
    <n v="-170139.48"/>
    <n v="349180.82"/>
  </r>
  <r>
    <x v="1"/>
    <d v="2019-11-01T08:26:07"/>
    <x v="0"/>
    <s v="Atmos Energy-KY/Mid-States"/>
    <s v="0000"/>
    <s v="ATM-Default"/>
    <x v="0"/>
    <s v="Gas stored underground-Current"/>
    <x v="6"/>
    <s v="Grandview Storage"/>
    <s v="009000"/>
    <s v="KY"/>
    <n v="519320.3"/>
    <n v="-258003.21"/>
    <n v="261317.09"/>
  </r>
  <r>
    <x v="5"/>
    <d v="2019-11-01T08:26:07"/>
    <x v="0"/>
    <s v="Atmos Energy-KY/Mid-States"/>
    <s v="0000"/>
    <s v="ATM-Default"/>
    <x v="0"/>
    <s v="Gas stored underground-Current"/>
    <x v="6"/>
    <s v="Grandview Storage"/>
    <s v="009000"/>
    <s v="KY"/>
    <n v="519320.3"/>
    <n v="-283258.88"/>
    <n v="236061.42"/>
  </r>
  <r>
    <x v="0"/>
    <d v="2019-11-01T08:26:07"/>
    <x v="0"/>
    <s v="Atmos Energy-KY/Mid-States"/>
    <s v="0000"/>
    <s v="ATM-Default"/>
    <x v="0"/>
    <s v="Gas stored underground-Current"/>
    <x v="1"/>
    <s v="East Diamond Storage Facility"/>
    <s v="009000"/>
    <s v="KY"/>
    <n v="3497259.92"/>
    <n v="-591948.22"/>
    <n v="2905311.7"/>
  </r>
  <r>
    <x v="1"/>
    <d v="2019-11-01T08:26:07"/>
    <x v="0"/>
    <s v="Atmos Energy-KY/Mid-States"/>
    <s v="0000"/>
    <s v="ATM-Default"/>
    <x v="0"/>
    <s v="Gas stored underground-Current"/>
    <x v="1"/>
    <s v="East Diamond Storage Facility"/>
    <s v="009000"/>
    <s v="KY"/>
    <n v="3497259.92"/>
    <n v="-1607829.33"/>
    <n v="1889430.59"/>
  </r>
  <r>
    <x v="8"/>
    <d v="2019-11-01T08:26:07"/>
    <x v="0"/>
    <s v="Atmos Energy-KY/Mid-States"/>
    <s v="0000"/>
    <s v="ATM-Default"/>
    <x v="0"/>
    <s v="Gas stored underground-Current"/>
    <x v="1"/>
    <s v="East Diamond Storage Facility"/>
    <s v="009000"/>
    <s v="KY"/>
    <n v="3497259.92"/>
    <n v="134129.18"/>
    <n v="3631389.1"/>
  </r>
  <r>
    <x v="9"/>
    <d v="2019-11-01T08:26:07"/>
    <x v="0"/>
    <s v="Atmos Energy-KY/Mid-States"/>
    <s v="0000"/>
    <s v="ATM-Default"/>
    <x v="0"/>
    <s v="Gas stored underground-Current"/>
    <x v="2"/>
    <s v="P/L Stored Gas"/>
    <s v="009000"/>
    <s v="KY"/>
    <n v="1830101.04"/>
    <n v="450653.2"/>
    <n v="2280754.2400000002"/>
  </r>
  <r>
    <x v="2"/>
    <d v="2019-11-01T08:26:07"/>
    <x v="0"/>
    <s v="Atmos Energy-KY/Mid-States"/>
    <s v="0000"/>
    <s v="ATM-Default"/>
    <x v="0"/>
    <s v="Gas stored underground-Current"/>
    <x v="2"/>
    <s v="P/L Stored Gas"/>
    <s v="009000"/>
    <s v="KY"/>
    <n v="1830101.04"/>
    <n v="1000787.14"/>
    <n v="2830888.18"/>
  </r>
  <r>
    <x v="3"/>
    <d v="2018-10-02T15:44:09"/>
    <x v="0"/>
    <s v="Atmos Energy-KY/Mid-States"/>
    <s v="0000"/>
    <s v="ATM-Default"/>
    <x v="0"/>
    <s v="Gas stored underground-Current"/>
    <x v="3"/>
    <s v="Bon Harbor Storage"/>
    <s v="009000"/>
    <s v="KY"/>
    <n v="1638029.12"/>
    <n v="-386260.44"/>
    <n v="1251768.68"/>
  </r>
  <r>
    <x v="9"/>
    <d v="2019-11-01T08:26:07"/>
    <x v="0"/>
    <s v="Atmos Energy-KY/Mid-States"/>
    <s v="0000"/>
    <s v="ATM-Default"/>
    <x v="0"/>
    <s v="Gas stored underground-Current"/>
    <x v="3"/>
    <s v="Bon Harbor Storage"/>
    <s v="009000"/>
    <s v="KY"/>
    <n v="1251768.68"/>
    <n v="146510.92000000001"/>
    <n v="1398279.6"/>
  </r>
  <r>
    <x v="10"/>
    <d v="2019-11-01T08:26:07"/>
    <x v="0"/>
    <s v="Atmos Energy-KY/Mid-States"/>
    <s v="0000"/>
    <s v="ATM-Default"/>
    <x v="0"/>
    <s v="Gas stored underground-Current"/>
    <x v="5"/>
    <s v="Hickory Storage"/>
    <s v="009000"/>
    <s v="KY"/>
    <n v="819007.93"/>
    <n v="-447411.43"/>
    <n v="371596.5"/>
  </r>
  <r>
    <x v="11"/>
    <d v="2019-11-01T08:26:07"/>
    <x v="0"/>
    <s v="Atmos Energy-KY/Mid-States"/>
    <s v="0000"/>
    <s v="ATM-Default"/>
    <x v="0"/>
    <s v="Gas stored underground-Current"/>
    <x v="6"/>
    <s v="Grandview Storage"/>
    <s v="009000"/>
    <s v="KY"/>
    <n v="519320.3"/>
    <n v="-6724.71"/>
    <n v="512595.59"/>
  </r>
  <r>
    <x v="10"/>
    <d v="2019-11-01T08:26:07"/>
    <x v="0"/>
    <s v="Atmos Energy-KY/Mid-States"/>
    <s v="0000"/>
    <s v="ATM-Default"/>
    <x v="0"/>
    <s v="Gas stored underground-Current"/>
    <x v="6"/>
    <s v="Grandview Storage"/>
    <s v="009000"/>
    <s v="KY"/>
    <n v="519320.3"/>
    <n v="-168137.16"/>
    <n v="351183.14"/>
  </r>
  <r>
    <x v="2"/>
    <d v="2019-11-01T08:26:07"/>
    <x v="0"/>
    <s v="Atmos Energy-KY/Mid-States"/>
    <s v="0000"/>
    <s v="ATM-Default"/>
    <x v="0"/>
    <s v="Gas stored underground-Current"/>
    <x v="6"/>
    <s v="Grandview Storage"/>
    <s v="009000"/>
    <s v="KY"/>
    <n v="519320.3"/>
    <n v="92856.16"/>
    <n v="612176.46"/>
  </r>
  <r>
    <x v="3"/>
    <d v="2018-10-02T15:44:09"/>
    <x v="0"/>
    <s v="Atmos Energy-KY/Mid-States"/>
    <s v="0000"/>
    <s v="ATM-Default"/>
    <x v="0"/>
    <s v="Gas stored underground-Current"/>
    <x v="0"/>
    <s v="St. Charles Storage"/>
    <s v="009000"/>
    <s v="KY"/>
    <n v="5394363.1600000001"/>
    <n v="-962711.92"/>
    <n v="4431651.24"/>
  </r>
  <r>
    <x v="11"/>
    <d v="2019-11-01T08:26:07"/>
    <x v="0"/>
    <s v="Atmos Energy-KY/Mid-States"/>
    <s v="0000"/>
    <s v="ATM-Default"/>
    <x v="0"/>
    <s v="Gas stored underground-Current"/>
    <x v="0"/>
    <s v="St. Charles Storage"/>
    <s v="009000"/>
    <s v="KY"/>
    <n v="4431651.24"/>
    <n v="34635.67"/>
    <n v="4466286.91"/>
  </r>
  <r>
    <x v="11"/>
    <d v="2019-11-01T08:26:07"/>
    <x v="0"/>
    <s v="Atmos Energy-KY/Mid-States"/>
    <s v="0000"/>
    <s v="ATM-Default"/>
    <x v="0"/>
    <s v="Gas stored underground-Current"/>
    <x v="1"/>
    <s v="East Diamond Storage Facility"/>
    <s v="009000"/>
    <s v="KY"/>
    <n v="3497259.92"/>
    <n v="449800.62"/>
    <n v="3947060.54"/>
  </r>
  <r>
    <x v="10"/>
    <d v="2019-11-01T08:26:07"/>
    <x v="0"/>
    <s v="Atmos Energy-KY/Mid-States"/>
    <s v="0000"/>
    <s v="ATM-Default"/>
    <x v="0"/>
    <s v="Gas stored underground-Current"/>
    <x v="1"/>
    <s v="East Diamond Storage Facility"/>
    <s v="009000"/>
    <s v="KY"/>
    <n v="3497259.92"/>
    <n v="-1582258.61"/>
    <n v="1915001.31"/>
  </r>
  <r>
    <x v="1"/>
    <d v="2019-11-01T08:26:07"/>
    <x v="0"/>
    <s v="Atmos Energy-KY/Mid-States"/>
    <s v="0000"/>
    <s v="ATM-Default"/>
    <x v="0"/>
    <s v="Gas stored underground-Current"/>
    <x v="2"/>
    <s v="P/L Stored Gas"/>
    <s v="009000"/>
    <s v="KY"/>
    <n v="1830101.04"/>
    <n v="-1377612.5"/>
    <n v="452488.54"/>
  </r>
  <r>
    <x v="8"/>
    <d v="2019-11-01T08:26:07"/>
    <x v="0"/>
    <s v="Atmos Energy-KY/Mid-States"/>
    <s v="0000"/>
    <s v="ATM-Default"/>
    <x v="0"/>
    <s v="Gas stored underground-Current"/>
    <x v="2"/>
    <s v="P/L Stored Gas"/>
    <s v="009000"/>
    <s v="KY"/>
    <n v="1830101.04"/>
    <n v="304413.88"/>
    <n v="2134514.92"/>
  </r>
  <r>
    <x v="0"/>
    <d v="2019-11-01T08:26:07"/>
    <x v="0"/>
    <s v="Atmos Energy-KY/Mid-States"/>
    <s v="0000"/>
    <s v="ATM-Default"/>
    <x v="0"/>
    <s v="Gas stored underground-Current"/>
    <x v="3"/>
    <s v="Bon Harbor Storage"/>
    <s v="009000"/>
    <s v="KY"/>
    <n v="1251768.68"/>
    <n v="-306430.88"/>
    <n v="945337.8"/>
  </r>
  <r>
    <x v="8"/>
    <d v="2019-11-01T08:26:07"/>
    <x v="0"/>
    <s v="Atmos Energy-KY/Mid-States"/>
    <s v="0000"/>
    <s v="ATM-Default"/>
    <x v="0"/>
    <s v="Gas stored underground-Current"/>
    <x v="3"/>
    <s v="Bon Harbor Storage"/>
    <s v="009000"/>
    <s v="KY"/>
    <n v="1251768.68"/>
    <n v="75344.539999999994"/>
    <n v="1327113.22"/>
  </r>
  <r>
    <x v="11"/>
    <d v="2019-11-01T08:26:07"/>
    <x v="0"/>
    <s v="Atmos Energy-KY/Mid-States"/>
    <s v="0000"/>
    <s v="ATM-Default"/>
    <x v="0"/>
    <s v="Gas stored underground-Current"/>
    <x v="5"/>
    <s v="Hickory Storage"/>
    <s v="009000"/>
    <s v="KY"/>
    <n v="819007.93"/>
    <n v="16552.88"/>
    <n v="835560.81"/>
  </r>
  <r>
    <x v="0"/>
    <d v="2019-11-01T08:26:07"/>
    <x v="0"/>
    <s v="Atmos Energy-KY/Mid-States"/>
    <s v="0000"/>
    <s v="ATM-Default"/>
    <x v="0"/>
    <s v="Gas stored underground-Current"/>
    <x v="5"/>
    <s v="Hickory Storage"/>
    <s v="009000"/>
    <s v="KY"/>
    <n v="819007.93"/>
    <n v="-154028.37"/>
    <n v="664979.56000000006"/>
  </r>
  <r>
    <x v="5"/>
    <d v="2019-11-01T08:26:07"/>
    <x v="0"/>
    <s v="Atmos Energy-KY/Mid-States"/>
    <s v="0000"/>
    <s v="ATM-Default"/>
    <x v="0"/>
    <s v="Gas stored underground-Current"/>
    <x v="5"/>
    <s v="Hickory Storage"/>
    <s v="009000"/>
    <s v="KY"/>
    <n v="819007.93"/>
    <n v="-628381.17000000004"/>
    <n v="190626.76"/>
  </r>
  <r>
    <x v="7"/>
    <d v="2019-11-01T08:26:07"/>
    <x v="0"/>
    <s v="Atmos Energy-KY/Mid-States"/>
    <s v="0000"/>
    <s v="ATM-Default"/>
    <x v="0"/>
    <s v="Gas stored underground-Current"/>
    <x v="5"/>
    <s v="Hickory Storage"/>
    <s v="009000"/>
    <s v="KY"/>
    <n v="819007.93"/>
    <n v="-387521.33"/>
    <n v="431486.6"/>
  </r>
  <r>
    <x v="3"/>
    <d v="2018-10-02T15:44:09"/>
    <x v="0"/>
    <s v="Atmos Energy-KY/Mid-States"/>
    <s v="0000"/>
    <s v="ATM-Default"/>
    <x v="0"/>
    <s v="Gas stored underground-Current"/>
    <x v="4"/>
    <s v="Kirkwood Storage"/>
    <s v="009000"/>
    <s v="KY"/>
    <n v="518269.28"/>
    <n v="-125414.39999999999"/>
    <n v="392854.88"/>
  </r>
  <r>
    <x v="6"/>
    <d v="2019-11-01T08:26:07"/>
    <x v="0"/>
    <s v="Atmos Energy-KY/Mid-States"/>
    <s v="0000"/>
    <s v="ATM-Default"/>
    <x v="0"/>
    <s v="Gas stored underground-Current"/>
    <x v="4"/>
    <s v="Kirkwood Storage"/>
    <s v="009000"/>
    <s v="KY"/>
    <n v="392854.88"/>
    <n v="-83526.34"/>
    <n v="309328.53999999998"/>
  </r>
  <r>
    <x v="6"/>
    <d v="2019-11-01T08:26:07"/>
    <x v="0"/>
    <s v="Atmos Energy-KY/Mid-States"/>
    <s v="0000"/>
    <s v="ATM-Default"/>
    <x v="0"/>
    <s v="Gas stored underground-Current"/>
    <x v="6"/>
    <s v="Grandview Storage"/>
    <s v="009000"/>
    <s v="KY"/>
    <n v="519320.3"/>
    <n v="-90153.22"/>
    <n v="429167.08"/>
  </r>
  <r>
    <x v="6"/>
    <d v="2019-11-01T08:26:07"/>
    <x v="0"/>
    <s v="Atmos Energy-KY/Mid-States"/>
    <s v="0000"/>
    <s v="ATM-Default"/>
    <x v="0"/>
    <s v="Gas stored underground-Current"/>
    <x v="0"/>
    <s v="St. Charles Storage"/>
    <s v="009000"/>
    <s v="KY"/>
    <n v="4431651.24"/>
    <n v="-953463.63"/>
    <n v="3478187.61"/>
  </r>
  <r>
    <x v="11"/>
    <d v="2019-11-01T08:26:07"/>
    <x v="0"/>
    <s v="Atmos Energy-KY/Mid-States"/>
    <s v="0000"/>
    <s v="ATM-Default"/>
    <x v="0"/>
    <s v="Gas stored underground-Current"/>
    <x v="3"/>
    <s v="Bon Harbor Storage"/>
    <s v="009000"/>
    <s v="KY"/>
    <n v="1251768.68"/>
    <n v="21840.37"/>
    <n v="1273609.05"/>
  </r>
  <r>
    <x v="10"/>
    <d v="2019-11-01T08:26:07"/>
    <x v="0"/>
    <s v="Atmos Energy-KY/Mid-States"/>
    <s v="0000"/>
    <s v="ATM-Default"/>
    <x v="0"/>
    <s v="Gas stored underground-Current"/>
    <x v="3"/>
    <s v="Bon Harbor Storage"/>
    <s v="009000"/>
    <s v="KY"/>
    <n v="1251768.68"/>
    <n v="-445279.48"/>
    <n v="806489.2"/>
  </r>
  <r>
    <x v="2"/>
    <d v="2019-11-01T08:26:07"/>
    <x v="0"/>
    <s v="Atmos Energy-KY/Mid-States"/>
    <s v="0000"/>
    <s v="ATM-Default"/>
    <x v="0"/>
    <s v="Gas stored underground-Current"/>
    <x v="3"/>
    <s v="Bon Harbor Storage"/>
    <s v="009000"/>
    <s v="KY"/>
    <n v="1251768.68"/>
    <n v="355594.59"/>
    <n v="1607363.27"/>
  </r>
  <r>
    <x v="4"/>
    <d v="2019-11-01T08:26:07"/>
    <x v="0"/>
    <s v="Atmos Energy-KY/Mid-States"/>
    <s v="0000"/>
    <s v="ATM-Default"/>
    <x v="0"/>
    <s v="Gas stored underground-Current"/>
    <x v="5"/>
    <s v="Hickory Storage"/>
    <s v="009000"/>
    <s v="KY"/>
    <n v="819007.93"/>
    <n v="-64517.05"/>
    <n v="754490.88"/>
  </r>
  <r>
    <x v="8"/>
    <d v="2019-11-01T08:26:07"/>
    <x v="0"/>
    <s v="Atmos Energy-KY/Mid-States"/>
    <s v="0000"/>
    <s v="ATM-Default"/>
    <x v="0"/>
    <s v="Gas stored underground-Current"/>
    <x v="5"/>
    <s v="Hickory Storage"/>
    <s v="009000"/>
    <s v="KY"/>
    <n v="819007.93"/>
    <n v="13506.35"/>
    <n v="832514.28"/>
  </r>
  <r>
    <x v="1"/>
    <d v="2019-11-01T08:26:07"/>
    <x v="0"/>
    <s v="Atmos Energy-KY/Mid-States"/>
    <s v="0000"/>
    <s v="ATM-Default"/>
    <x v="0"/>
    <s v="Gas stored underground-Current"/>
    <x v="4"/>
    <s v="Kirkwood Storage"/>
    <s v="009000"/>
    <s v="KY"/>
    <n v="392854.88"/>
    <n v="-231158.39"/>
    <n v="161696.49"/>
  </r>
  <r>
    <x v="7"/>
    <d v="2019-11-01T08:26:07"/>
    <x v="0"/>
    <s v="Atmos Energy-KY/Mid-States"/>
    <s v="0000"/>
    <s v="ATM-Default"/>
    <x v="0"/>
    <s v="Gas stored underground-Current"/>
    <x v="4"/>
    <s v="Kirkwood Storage"/>
    <s v="009000"/>
    <s v="KY"/>
    <n v="392854.88"/>
    <n v="-182986.33"/>
    <n v="209868.55"/>
  </r>
  <r>
    <x v="10"/>
    <d v="2019-11-01T08:26:07"/>
    <x v="0"/>
    <s v="Atmos Energy-KY/Mid-States"/>
    <s v="0000"/>
    <s v="ATM-Default"/>
    <x v="0"/>
    <s v="Gas stored underground-Current"/>
    <x v="0"/>
    <s v="St. Charles Storage"/>
    <s v="009000"/>
    <s v="KY"/>
    <n v="4431651.24"/>
    <n v="-2125841.36"/>
    <n v="2305809.88"/>
  </r>
  <r>
    <x v="8"/>
    <d v="2019-11-01T08:26:07"/>
    <x v="0"/>
    <s v="Atmos Energy-KY/Mid-States"/>
    <s v="0000"/>
    <s v="ATM-Default"/>
    <x v="0"/>
    <s v="Gas stored underground-Current"/>
    <x v="0"/>
    <s v="St. Charles Storage"/>
    <s v="009000"/>
    <s v="KY"/>
    <n v="4431651.24"/>
    <n v="-3518.85"/>
    <n v="4428132.3899999997"/>
  </r>
  <r>
    <x v="3"/>
    <d v="2018-10-02T15:44:09"/>
    <x v="0"/>
    <s v="Atmos Energy-KY/Mid-States"/>
    <s v="0000"/>
    <s v="ATM-Default"/>
    <x v="0"/>
    <s v="Gas stored underground-Current"/>
    <x v="2"/>
    <s v="P/L Stored Gas"/>
    <s v="009000"/>
    <s v="KY"/>
    <n v="2643214.94"/>
    <n v="-813113.9"/>
    <n v="1830101.04"/>
  </r>
  <r>
    <x v="7"/>
    <d v="2019-11-01T08:26:07"/>
    <x v="0"/>
    <s v="Atmos Energy-KY/Mid-States"/>
    <s v="0000"/>
    <s v="ATM-Default"/>
    <x v="0"/>
    <s v="Gas stored underground-Current"/>
    <x v="2"/>
    <s v="P/L Stored Gas"/>
    <s v="009000"/>
    <s v="KY"/>
    <n v="1830101.04"/>
    <n v="-867915.09"/>
    <n v="962185.95"/>
  </r>
  <r>
    <x v="1"/>
    <d v="2019-11-01T08:26:07"/>
    <x v="0"/>
    <s v="Atmos Energy-KY/Mid-States"/>
    <s v="0000"/>
    <s v="ATM-Default"/>
    <x v="0"/>
    <s v="Gas stored underground-Current"/>
    <x v="3"/>
    <s v="Bon Harbor Storage"/>
    <s v="009000"/>
    <s v="KY"/>
    <n v="1251768.68"/>
    <n v="-703107.6"/>
    <n v="548661.07999999996"/>
  </r>
  <r>
    <x v="9"/>
    <d v="2019-11-01T08:26:07"/>
    <x v="0"/>
    <s v="Atmos Energy-KY/Mid-States"/>
    <s v="0000"/>
    <s v="ATM-Default"/>
    <x v="0"/>
    <s v="Gas stored underground-Current"/>
    <x v="5"/>
    <s v="Hickory Storage"/>
    <s v="009000"/>
    <s v="KY"/>
    <n v="819007.93"/>
    <n v="102463.8"/>
    <n v="921471.73"/>
  </r>
  <r>
    <x v="1"/>
    <d v="2019-11-01T08:26:07"/>
    <x v="0"/>
    <s v="Atmos Energy-KY/Mid-States"/>
    <s v="0000"/>
    <s v="ATM-Default"/>
    <x v="0"/>
    <s v="Gas stored underground-Current"/>
    <x v="5"/>
    <s v="Hickory Storage"/>
    <s v="009000"/>
    <s v="KY"/>
    <n v="819007.93"/>
    <n v="-542539.74"/>
    <n v="276468.19"/>
  </r>
  <r>
    <x v="11"/>
    <d v="2019-11-01T08:26:07"/>
    <x v="0"/>
    <s v="Atmos Energy-KY/Mid-States"/>
    <s v="0000"/>
    <s v="ATM-Default"/>
    <x v="0"/>
    <s v="Gas stored underground-Current"/>
    <x v="4"/>
    <s v="Kirkwood Storage"/>
    <s v="009000"/>
    <s v="KY"/>
    <n v="392854.88"/>
    <n v="10086.36"/>
    <n v="402941.24"/>
  </r>
  <r>
    <x v="9"/>
    <d v="2019-11-01T08:26:07"/>
    <x v="0"/>
    <s v="Atmos Energy-KY/Mid-States"/>
    <s v="0000"/>
    <s v="ATM-Default"/>
    <x v="0"/>
    <s v="Gas stored underground-Current"/>
    <x v="6"/>
    <s v="Grandview Storage"/>
    <s v="009000"/>
    <s v="KY"/>
    <n v="519320.3"/>
    <n v="56771.43"/>
    <n v="576091.73"/>
  </r>
  <r>
    <x v="4"/>
    <d v="2019-11-01T08:26:07"/>
    <x v="0"/>
    <s v="Atmos Energy-KY/Mid-States"/>
    <s v="0000"/>
    <s v="ATM-Default"/>
    <x v="0"/>
    <s v="Gas stored underground-Current"/>
    <x v="6"/>
    <s v="Grandview Storage"/>
    <s v="009000"/>
    <s v="KY"/>
    <n v="519320.3"/>
    <n v="-84412.66"/>
    <n v="434907.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8E9048-63D8-4BF0-98C5-7E48E6C94B10}" name="Pivot - Atmos-Account Ending B" cacheId="1" autoFormatId="4117" applyNumberFormats="1" applyBorderFormats="1" applyFontFormats="1" applyPatternFormats="1" applyAlignmentFormats="1" applyWidthHeightFormats="1" dataCaption="Data" updatedVersion="7" useAutoFormatting="1" pageWrap="1" colGrandTotals="0" itemPrintTitles="1" createdVersion="4" compact="0" compactData="0" gridDropZones="1">
  <location ref="A3:M6" firstHeaderRow="1" firstDataRow="2" firstDataCol="1" rowPageCount="1" colPageCount="2"/>
  <pivotFields count="15">
    <pivotField axis="axisCol" compact="0" numFmtId="49" showAll="0">
      <items count="14">
        <item m="1" x="12"/>
        <item x="3"/>
        <item x="9"/>
        <item x="11"/>
        <item x="4"/>
        <item x="0"/>
        <item x="1"/>
        <item x="5"/>
        <item x="10"/>
        <item x="7"/>
        <item x="6"/>
        <item x="8"/>
        <item x="2"/>
        <item t="default"/>
      </items>
    </pivotField>
    <pivotField compact="0" showAll="0"/>
    <pivotField axis="axisPage" compact="0" showAll="0">
      <items count="3">
        <item m="1" x="1"/>
        <item x="0"/>
        <item t="default"/>
      </items>
    </pivotField>
    <pivotField compact="0" showAll="0"/>
    <pivotField compact="0" showAll="0"/>
    <pivotField compact="0" showAll="0"/>
    <pivotField axis="axisRow" compact="0" numFmtId="49" showAll="0" insertBlankRow="1">
      <items count="3">
        <item m="1" x="1"/>
        <item x="0"/>
        <item t="default"/>
      </items>
    </pivotField>
    <pivotField compact="0" showAll="0"/>
    <pivotField axis="axisPage" compact="0" numFmtId="49" showAll="0" insertBlankRow="1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dataField="1" compact="0" showAll="0"/>
  </pivotFields>
  <rowFields count="1">
    <field x="6"/>
  </rowFields>
  <rowItems count="2">
    <i>
      <x v="1"/>
    </i>
    <i t="grand">
      <x/>
    </i>
  </rowItems>
  <colFields count="1">
    <field x="0"/>
  </colFields>
  <colItems count="1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colItems>
  <pageFields count="2">
    <pageField fld="8" hier="-1"/>
    <pageField fld="2" hier="0"/>
  </pageFields>
  <dataFields count="1">
    <dataField name="Sum of Year End Balance" fld="14" baseField="0" baseItem="0" numFmtId="167"/>
  </dataFields>
  <formats count="2">
    <format dxfId="4">
      <pivotArea type="all" dataOnly="0" outline="0" fieldPosition="0"/>
    </format>
    <format dxfId="3">
      <pivotArea outline="0" collapsedLevelsAreSubtotals="1" fieldPosition="0"/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 - Atmos-Account Ending B" cacheId="1" autoFormatId="4117" applyNumberFormats="1" applyBorderFormats="1" applyFontFormats="1" applyPatternFormats="1" applyAlignmentFormats="1" applyWidthHeightFormats="1" dataCaption="Data" updatedVersion="7" useAutoFormatting="1" pageWrap="1" colGrandTotals="0" itemPrintTitles="1" createdVersion="4" compact="0" compactData="0" gridDropZones="1">
  <location ref="A3:M6" firstHeaderRow="1" firstDataRow="2" firstDataCol="1" rowPageCount="1" colPageCount="2"/>
  <pivotFields count="15">
    <pivotField axis="axisCol" compact="0" numFmtId="49" showAll="0">
      <items count="14">
        <item m="1" x="12"/>
        <item x="3"/>
        <item x="9"/>
        <item x="11"/>
        <item x="4"/>
        <item x="0"/>
        <item x="1"/>
        <item x="5"/>
        <item x="10"/>
        <item x="7"/>
        <item x="6"/>
        <item x="8"/>
        <item x="2"/>
        <item t="default"/>
      </items>
    </pivotField>
    <pivotField compact="0" showAll="0"/>
    <pivotField axis="axisPage" compact="0" showAll="0">
      <items count="3">
        <item m="1" x="1"/>
        <item x="0"/>
        <item t="default"/>
      </items>
    </pivotField>
    <pivotField compact="0" showAll="0"/>
    <pivotField compact="0" showAll="0"/>
    <pivotField compact="0" showAll="0"/>
    <pivotField axis="axisRow" compact="0" numFmtId="49" showAll="0" insertBlankRow="1">
      <items count="3">
        <item m="1" x="1"/>
        <item x="0"/>
        <item t="default"/>
      </items>
    </pivotField>
    <pivotField compact="0" showAll="0"/>
    <pivotField axis="axisPage" compact="0" numFmtId="49" showAll="0" insertBlankRow="1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dataField="1" compact="0" showAll="0"/>
  </pivotFields>
  <rowFields count="1">
    <field x="6"/>
  </rowFields>
  <rowItems count="2">
    <i>
      <x v="1"/>
    </i>
    <i t="grand">
      <x/>
    </i>
  </rowItems>
  <colFields count="1">
    <field x="0"/>
  </colFields>
  <colItems count="1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colItems>
  <pageFields count="2">
    <pageField fld="8" hier="-1"/>
    <pageField fld="2" hier="0"/>
  </pageFields>
  <dataFields count="1">
    <dataField name="Sum of Year End Balance" fld="14" baseField="0" baseItem="0" numFmtId="43"/>
  </dataFields>
  <formats count="2">
    <format dxfId="2">
      <pivotArea type="all" dataOnly="0" outline="0" fieldPosition="0"/>
    </format>
    <format dxfId="1">
      <pivotArea outline="0" collapsedLevelsAreSubtotals="1" fieldPosition="0"/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ECC6C8-CB2C-4B0A-91D9-47A78D92473E}" name="PivotTable2" cacheId="0" autoFormatId="4117" applyNumberFormats="1" applyBorderFormats="1" applyFontFormats="1" applyPatternFormats="1" applyAlignmentFormats="1" applyWidthHeightFormats="1" dataCaption="Data" updatedVersion="7" useAutoFormatting="1" pageWrap="1" colGrandTotals="0" itemPrintTitles="1" createdVersion="4" compact="0" compactData="0" gridDropZones="1">
  <location ref="A3:M6" firstHeaderRow="1" firstDataRow="2" firstDataCol="1" rowPageCount="1" colPageCount="1"/>
  <pivotFields count="15">
    <pivotField axis="axisCol" compact="0" numFmtId="49" showAll="0">
      <items count="14">
        <item m="1"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axis="axisRow" compact="0" numFmtId="49" outline="0" subtotalTop="0" showAll="0">
      <items count="3">
        <item m="1" x="1"/>
        <item x="0"/>
        <item t="default"/>
      </items>
    </pivotField>
    <pivotField compact="0" showAll="0"/>
    <pivotField axis="axisPage" compact="0" numFmtId="49" outline="0" subtotalTop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dataField="1" compact="0" showAll="0"/>
  </pivotFields>
  <rowFields count="1">
    <field x="6"/>
  </rowFields>
  <rowItems count="2">
    <i>
      <x v="1"/>
    </i>
    <i t="grand">
      <x/>
    </i>
  </rowItems>
  <colFields count="1">
    <field x="0"/>
  </colFields>
  <colItems count="1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colItems>
  <pageFields count="1">
    <pageField fld="8" hier="-1"/>
  </pageFields>
  <dataFields count="1">
    <dataField name="Sum of Year End Balance" fld="14" baseField="0" baseItem="0" numFmtId="40"/>
  </dataFields>
  <formats count="1">
    <format dxfId="0">
      <pivotArea type="all" dataOnly="0" outline="0" fieldPosition="0"/>
    </format>
  </formats>
  <pivotTableStyleInfo name="PivotStyleLight20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C63C3-36C9-4DF5-9E81-0CEFCAA12417}">
  <sheetPr>
    <pageSetUpPr fitToPage="1"/>
  </sheetPr>
  <dimension ref="A1:M18"/>
  <sheetViews>
    <sheetView tabSelected="1" workbookViewId="0">
      <selection activeCell="H27" sqref="H27"/>
    </sheetView>
  </sheetViews>
  <sheetFormatPr defaultRowHeight="11.25" x14ac:dyDescent="0.2"/>
  <cols>
    <col min="1" max="1" width="20.1640625" bestFit="1" customWidth="1"/>
    <col min="2" max="2" width="15.6640625" bestFit="1" customWidth="1"/>
    <col min="3" max="3" width="15.1640625" bestFit="1" customWidth="1"/>
    <col min="4" max="4" width="15.83203125" bestFit="1" customWidth="1"/>
    <col min="5" max="5" width="15.1640625" bestFit="1" customWidth="1"/>
    <col min="6" max="10" width="14.1640625" bestFit="1" customWidth="1"/>
    <col min="11" max="13" width="15.1640625" bestFit="1" customWidth="1"/>
    <col min="14" max="14" width="11" bestFit="1" customWidth="1"/>
  </cols>
  <sheetData>
    <row r="1" spans="1:13" x14ac:dyDescent="0.2">
      <c r="A1" s="6" t="s">
        <v>3</v>
      </c>
      <c r="B1" s="1" t="s">
        <v>50</v>
      </c>
      <c r="D1" s="6" t="s">
        <v>1</v>
      </c>
      <c r="E1" s="1" t="s">
        <v>50</v>
      </c>
    </row>
    <row r="3" spans="1:13" x14ac:dyDescent="0.2">
      <c r="A3" s="1" t="s">
        <v>4</v>
      </c>
      <c r="B3" s="7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">
      <c r="A4" s="7" t="s">
        <v>2</v>
      </c>
      <c r="B4" s="5" t="s">
        <v>40</v>
      </c>
      <c r="C4" s="5" t="s">
        <v>46</v>
      </c>
      <c r="D4" s="5" t="s">
        <v>48</v>
      </c>
      <c r="E4" s="5" t="s">
        <v>41</v>
      </c>
      <c r="F4" s="5" t="s">
        <v>37</v>
      </c>
      <c r="G4" s="5" t="s">
        <v>38</v>
      </c>
      <c r="H4" s="5" t="s">
        <v>42</v>
      </c>
      <c r="I4" s="5" t="s">
        <v>47</v>
      </c>
      <c r="J4" s="5" t="s">
        <v>44</v>
      </c>
      <c r="K4" s="5" t="s">
        <v>43</v>
      </c>
      <c r="L4" s="5" t="s">
        <v>45</v>
      </c>
      <c r="M4" s="5" t="s">
        <v>39</v>
      </c>
    </row>
    <row r="5" spans="1:13" x14ac:dyDescent="0.2">
      <c r="A5" s="5" t="s">
        <v>15</v>
      </c>
      <c r="B5" s="17">
        <v>12741963.990000002</v>
      </c>
      <c r="C5" s="17">
        <v>14457319.99</v>
      </c>
      <c r="D5" s="17">
        <v>13451576.300000001</v>
      </c>
      <c r="E5" s="17">
        <v>11524152.710000001</v>
      </c>
      <c r="F5" s="17">
        <v>9335171.6300000008</v>
      </c>
      <c r="G5" s="17">
        <v>5734348.2500000009</v>
      </c>
      <c r="H5" s="17">
        <v>4112786.49</v>
      </c>
      <c r="I5" s="17">
        <v>6443150.2599999998</v>
      </c>
      <c r="J5" s="17">
        <v>7626908.7199999997</v>
      </c>
      <c r="K5" s="17">
        <v>10440552.870000001</v>
      </c>
      <c r="L5" s="17">
        <v>13294620.649999999</v>
      </c>
      <c r="M5" s="17">
        <v>16512601.109999999</v>
      </c>
    </row>
    <row r="6" spans="1:13" x14ac:dyDescent="0.2">
      <c r="A6" s="5" t="s">
        <v>49</v>
      </c>
      <c r="B6" s="17">
        <v>12741963.990000002</v>
      </c>
      <c r="C6" s="17">
        <v>14457319.99</v>
      </c>
      <c r="D6" s="17">
        <v>13451576.300000001</v>
      </c>
      <c r="E6" s="17">
        <v>11524152.710000001</v>
      </c>
      <c r="F6" s="17">
        <v>9335171.6300000008</v>
      </c>
      <c r="G6" s="17">
        <v>5734348.2500000009</v>
      </c>
      <c r="H6" s="17">
        <v>4112786.49</v>
      </c>
      <c r="I6" s="17">
        <v>6443150.2599999998</v>
      </c>
      <c r="J6" s="17">
        <v>7626908.7199999997</v>
      </c>
      <c r="K6" s="17">
        <v>10440552.870000001</v>
      </c>
      <c r="L6" s="17">
        <v>13294620.649999999</v>
      </c>
      <c r="M6" s="17">
        <v>16512601.109999999</v>
      </c>
    </row>
    <row r="8" spans="1:13" x14ac:dyDescent="0.2">
      <c r="A8" t="s">
        <v>62</v>
      </c>
    </row>
    <row r="9" spans="1:13" x14ac:dyDescent="0.2">
      <c r="A9" t="s">
        <v>4</v>
      </c>
      <c r="B9" s="9" t="s">
        <v>0</v>
      </c>
    </row>
    <row r="10" spans="1:13" x14ac:dyDescent="0.2">
      <c r="A10" s="9" t="s">
        <v>2</v>
      </c>
      <c r="B10" s="5" t="s">
        <v>40</v>
      </c>
      <c r="C10" s="5" t="s">
        <v>46</v>
      </c>
      <c r="D10" s="5" t="s">
        <v>48</v>
      </c>
      <c r="E10" s="5" t="s">
        <v>41</v>
      </c>
      <c r="F10" s="5" t="s">
        <v>37</v>
      </c>
      <c r="G10" s="5" t="s">
        <v>38</v>
      </c>
      <c r="H10" s="5" t="s">
        <v>42</v>
      </c>
      <c r="I10" s="5" t="s">
        <v>47</v>
      </c>
      <c r="J10" s="5" t="s">
        <v>44</v>
      </c>
      <c r="K10" s="5" t="s">
        <v>43</v>
      </c>
      <c r="L10" s="5" t="s">
        <v>45</v>
      </c>
      <c r="M10" s="5" t="s">
        <v>39</v>
      </c>
    </row>
    <row r="11" spans="1:13" x14ac:dyDescent="0.2">
      <c r="A11" s="5" t="s">
        <v>15</v>
      </c>
      <c r="B11" s="18">
        <v>6980426</v>
      </c>
      <c r="C11" s="18">
        <v>7705795</v>
      </c>
      <c r="D11" s="18">
        <v>7047450</v>
      </c>
      <c r="E11" s="18">
        <v>6071829</v>
      </c>
      <c r="F11" s="18">
        <v>4913316</v>
      </c>
      <c r="G11" s="18">
        <v>3017354</v>
      </c>
      <c r="H11" s="18">
        <v>2145214</v>
      </c>
      <c r="I11" s="18">
        <v>2865135</v>
      </c>
      <c r="J11" s="18">
        <v>3682057</v>
      </c>
      <c r="K11" s="18">
        <v>4470572</v>
      </c>
      <c r="L11" s="18">
        <v>5277947</v>
      </c>
      <c r="M11" s="18">
        <v>6105963</v>
      </c>
    </row>
    <row r="12" spans="1:13" x14ac:dyDescent="0.2">
      <c r="A12" s="5" t="s">
        <v>49</v>
      </c>
      <c r="B12" s="18">
        <v>6980426</v>
      </c>
      <c r="C12" s="18">
        <v>7705795</v>
      </c>
      <c r="D12" s="18">
        <v>7047450</v>
      </c>
      <c r="E12" s="18">
        <v>6071829</v>
      </c>
      <c r="F12" s="18">
        <v>4913316</v>
      </c>
      <c r="G12" s="18">
        <v>3017354</v>
      </c>
      <c r="H12" s="18">
        <v>2145214</v>
      </c>
      <c r="I12" s="18">
        <v>2865135</v>
      </c>
      <c r="J12" s="18">
        <v>3682057</v>
      </c>
      <c r="K12" s="18">
        <v>4470572</v>
      </c>
      <c r="L12" s="18">
        <v>5277947</v>
      </c>
      <c r="M12" s="18">
        <v>6105963</v>
      </c>
    </row>
    <row r="13" spans="1:13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x14ac:dyDescent="0.2">
      <c r="A14" t="s">
        <v>58</v>
      </c>
      <c r="B14" s="15">
        <f>+GETPIVOTDATA("Year End Balance",$A$3,"Period Name","SEP-20","GLCC#ACCOUNT","1641")/B11</f>
        <v>1.825384867628423</v>
      </c>
      <c r="C14" s="15">
        <f>+GETPIVOTDATA("Year End Balance",$A$3,"Period Name","OCT-20","GLCC#ACCOUNT","1641")/C11</f>
        <v>1.8761620300046913</v>
      </c>
      <c r="D14" s="15">
        <f>+GETPIVOTDATA("Year End Balance",$A$3,"Period Name","NOV-20","GLCC#ACCOUNT","1641")/D11</f>
        <v>1.9087153935111283</v>
      </c>
      <c r="E14" s="15">
        <f>+GETPIVOTDATA("Year End Balance",$A$3,"Period Name","DEC-20","GLCC#ACCOUNT","1641")/E11</f>
        <v>1.897970563729644</v>
      </c>
      <c r="F14" s="15">
        <f>+GETPIVOTDATA("Year End Balance",$A$3,"Period Name","JAN-21","GLCC#ACCOUNT","1641")/F11</f>
        <v>1.899973791630744</v>
      </c>
      <c r="G14" s="15">
        <f>+GETPIVOTDATA("Year End Balance",$A$3,"Period Name","FEB-21","GLCC#ACCOUNT","1641")/G11</f>
        <v>1.9004559126970189</v>
      </c>
      <c r="H14" s="15">
        <f>+GETPIVOTDATA("Year End Balance",$A$3,"Period Name","MAR-21","GLCC#ACCOUNT","1641")/H11</f>
        <v>1.9171917067481381</v>
      </c>
      <c r="I14" s="15">
        <f>+GETPIVOTDATA("Year End Balance",$A$3,"Period Name","APR-21","GLCC#ACCOUNT","1641")/I11</f>
        <v>2.2488121013494999</v>
      </c>
      <c r="J14" s="15">
        <f>+GETPIVOTDATA("Year End Balance",$A$3,"Period Name","MAY-21","GLCC#ACCOUNT","1641")/J11</f>
        <v>2.0713717142347332</v>
      </c>
      <c r="K14" s="15">
        <f>+GETPIVOTDATA("Year End Balance",$A$3,"Period Name","JUN-21","GLCC#ACCOUNT","1641")/K11</f>
        <v>2.3353953073566429</v>
      </c>
      <c r="L14" s="15">
        <f>+GETPIVOTDATA("Year End Balance",$A$3,"Period Name","JUL-21","GLCC#ACCOUNT","1641")/L11</f>
        <v>2.5188999908487144</v>
      </c>
      <c r="M14" s="15">
        <f>+GETPIVOTDATA("Year End Balance",$A$3,"Period Name","AUG-21","GLCC#ACCOUNT","1641")/M11</f>
        <v>2.7043401851599822</v>
      </c>
    </row>
    <row r="16" spans="1:13" x14ac:dyDescent="0.2">
      <c r="A16" t="s">
        <v>59</v>
      </c>
      <c r="B16" s="14">
        <f>+GETPIVOTDATA("Year End Balance",$A$3,"Period Name","SEP-20","GLCC#ACCOUNT","1641")/30</f>
        <v>424732.13300000009</v>
      </c>
      <c r="C16" s="14">
        <f>+GETPIVOTDATA("Year End Balance",$A$3,"Period Name","OCT-20","GLCC#ACCOUNT","1641")/31</f>
        <v>466365.16096774192</v>
      </c>
      <c r="D16" s="14">
        <f>+GETPIVOTDATA("Year End Balance",$A$3,"Period Name","NOV-20","GLCC#ACCOUNT","1641")/30</f>
        <v>448385.87666666671</v>
      </c>
      <c r="E16" s="14">
        <f>+GETPIVOTDATA("Year End Balance",$A$3,"Period Name","DEC-20","GLCC#ACCOUNT","1641")/31</f>
        <v>371746.86161290325</v>
      </c>
      <c r="F16" s="14">
        <f>+GETPIVOTDATA("Year End Balance",$A$3,"Period Name","JAN-21","GLCC#ACCOUNT","1641")/31</f>
        <v>301134.56870967743</v>
      </c>
      <c r="G16" s="14">
        <f>+GETPIVOTDATA("Year End Balance",$A$3,"Period Name","FEB-21","GLCC#ACCOUNT","1641")/28</f>
        <v>204798.15178571432</v>
      </c>
      <c r="H16" s="14">
        <f>+GETPIVOTDATA("Year End Balance",$A$3,"Period Name","MAR-21","GLCC#ACCOUNT","1641")/31</f>
        <v>132670.53193548389</v>
      </c>
      <c r="I16" s="14">
        <f>+GETPIVOTDATA("Year End Balance",$A$3,"Period Name","APR-21","GLCC#ACCOUNT","1641")/30</f>
        <v>214771.67533333332</v>
      </c>
      <c r="J16" s="14">
        <f>+GETPIVOTDATA("Year End Balance",$A$3,"Period Name","MAY-21","GLCC#ACCOUNT","1641")/31</f>
        <v>246029.31354838709</v>
      </c>
      <c r="K16" s="14">
        <f>+GETPIVOTDATA("Year End Balance",$A$3,"Period Name","JUN-21","GLCC#ACCOUNT","1641")/30</f>
        <v>348018.42900000006</v>
      </c>
      <c r="L16" s="14">
        <f>+GETPIVOTDATA("Year End Balance",$A$3,"Period Name","JUL-21","GLCC#ACCOUNT","1641")/31</f>
        <v>428858.73064516124</v>
      </c>
      <c r="M16" s="14">
        <f>+GETPIVOTDATA("Year End Balance",$A$3,"Period Name","AUG-21","GLCC#ACCOUNT","1641")/31</f>
        <v>532664.55193548382</v>
      </c>
    </row>
    <row r="17" spans="1:13" x14ac:dyDescent="0.2">
      <c r="A17" t="s">
        <v>60</v>
      </c>
      <c r="B17" s="14">
        <f>+B11/30</f>
        <v>232680.86666666667</v>
      </c>
      <c r="C17" s="14">
        <f>+C11/31</f>
        <v>248574.03225806452</v>
      </c>
      <c r="D17" s="14">
        <f t="shared" ref="D17:K17" si="0">+D11/30</f>
        <v>234915</v>
      </c>
      <c r="E17" s="14">
        <f>+E11/31</f>
        <v>195865.45161290321</v>
      </c>
      <c r="F17" s="14">
        <f>+F11/31</f>
        <v>158494.06451612903</v>
      </c>
      <c r="G17" s="14">
        <f>+G11/28</f>
        <v>107762.64285714286</v>
      </c>
      <c r="H17" s="14">
        <f>+H11/31</f>
        <v>69200.451612903227</v>
      </c>
      <c r="I17" s="14">
        <f t="shared" si="0"/>
        <v>95504.5</v>
      </c>
      <c r="J17" s="14">
        <f>+J11/31</f>
        <v>118776.03225806452</v>
      </c>
      <c r="K17" s="14">
        <f t="shared" si="0"/>
        <v>149019.06666666668</v>
      </c>
      <c r="L17" s="14">
        <f>+L11/31</f>
        <v>170256.35483870967</v>
      </c>
      <c r="M17" s="14">
        <f>+M11/31</f>
        <v>196966.54838709679</v>
      </c>
    </row>
    <row r="18" spans="1:13" x14ac:dyDescent="0.2">
      <c r="A18" t="s">
        <v>61</v>
      </c>
      <c r="B18" s="16">
        <f>+B16/B17</f>
        <v>1.825384867628423</v>
      </c>
      <c r="C18" s="16">
        <f t="shared" ref="C18:M18" si="1">+C16/C17</f>
        <v>1.8761620300046913</v>
      </c>
      <c r="D18" s="16">
        <f t="shared" si="1"/>
        <v>1.9087153935111283</v>
      </c>
      <c r="E18" s="16">
        <f t="shared" si="1"/>
        <v>1.8979705637296442</v>
      </c>
      <c r="F18" s="16">
        <f t="shared" si="1"/>
        <v>1.899973791630744</v>
      </c>
      <c r="G18" s="16">
        <f t="shared" si="1"/>
        <v>1.9004559126970191</v>
      </c>
      <c r="H18" s="16">
        <f t="shared" si="1"/>
        <v>1.9171917067481381</v>
      </c>
      <c r="I18" s="16">
        <f t="shared" si="1"/>
        <v>2.2488121013494999</v>
      </c>
      <c r="J18" s="16">
        <f t="shared" si="1"/>
        <v>2.0713717142347332</v>
      </c>
      <c r="K18" s="16">
        <f t="shared" si="1"/>
        <v>2.3353953073566429</v>
      </c>
      <c r="L18" s="16">
        <f t="shared" si="1"/>
        <v>2.5188999908487144</v>
      </c>
      <c r="M18" s="16">
        <f t="shared" si="1"/>
        <v>2.7043401851599818</v>
      </c>
    </row>
  </sheetData>
  <pageMargins left="0.75" right="0.75" top="1" bottom="1" header="0.5" footer="0.5"/>
  <pageSetup scale="77" orientation="landscape" r:id="rId2"/>
  <headerFooter alignWithMargins="0">
    <oddHeader>&amp;RCASE NO. 2021-00214
ATTACHMENT 1
TO AG DR NO. 2-12</oddHeader>
  </headerFooter>
  <ignoredErrors>
    <ignoredError sqref="G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"/>
  <sheetViews>
    <sheetView workbookViewId="0">
      <selection activeCell="H27" sqref="H27"/>
    </sheetView>
  </sheetViews>
  <sheetFormatPr defaultRowHeight="11.25" x14ac:dyDescent="0.2"/>
  <cols>
    <col min="1" max="1" width="20" bestFit="1" customWidth="1"/>
    <col min="2" max="2" width="15.5" bestFit="1" customWidth="1"/>
    <col min="3" max="3" width="14.1640625" bestFit="1" customWidth="1"/>
    <col min="4" max="4" width="15.6640625" bestFit="1" customWidth="1"/>
    <col min="5" max="5" width="14.1640625" bestFit="1" customWidth="1"/>
    <col min="6" max="10" width="13" bestFit="1" customWidth="1"/>
    <col min="11" max="13" width="14.1640625" bestFit="1" customWidth="1"/>
    <col min="14" max="14" width="11" bestFit="1" customWidth="1"/>
  </cols>
  <sheetData>
    <row r="1" spans="1:13" x14ac:dyDescent="0.2">
      <c r="A1" s="6" t="s">
        <v>3</v>
      </c>
      <c r="B1" s="1" t="s">
        <v>50</v>
      </c>
      <c r="D1" s="6" t="s">
        <v>1</v>
      </c>
      <c r="E1" s="1" t="s">
        <v>50</v>
      </c>
    </row>
    <row r="3" spans="1:13" x14ac:dyDescent="0.2">
      <c r="A3" s="1" t="s">
        <v>4</v>
      </c>
      <c r="B3" s="7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">
      <c r="A4" s="7" t="s">
        <v>2</v>
      </c>
      <c r="B4" s="5" t="s">
        <v>40</v>
      </c>
      <c r="C4" s="5" t="s">
        <v>46</v>
      </c>
      <c r="D4" s="5" t="s">
        <v>48</v>
      </c>
      <c r="E4" s="5" t="s">
        <v>41</v>
      </c>
      <c r="F4" s="5" t="s">
        <v>37</v>
      </c>
      <c r="G4" s="5" t="s">
        <v>38</v>
      </c>
      <c r="H4" s="5" t="s">
        <v>42</v>
      </c>
      <c r="I4" s="5" t="s">
        <v>47</v>
      </c>
      <c r="J4" s="5" t="s">
        <v>44</v>
      </c>
      <c r="K4" s="5" t="s">
        <v>43</v>
      </c>
      <c r="L4" s="5" t="s">
        <v>45</v>
      </c>
      <c r="M4" s="5" t="s">
        <v>39</v>
      </c>
    </row>
    <row r="5" spans="1:13" x14ac:dyDescent="0.2">
      <c r="A5" s="5" t="s">
        <v>15</v>
      </c>
      <c r="B5" s="8">
        <v>12741963.990000002</v>
      </c>
      <c r="C5" s="8">
        <v>14457319.99</v>
      </c>
      <c r="D5" s="8">
        <v>13451576.300000001</v>
      </c>
      <c r="E5" s="8">
        <v>11524152.710000001</v>
      </c>
      <c r="F5" s="8">
        <v>9335171.6300000008</v>
      </c>
      <c r="G5" s="8">
        <v>5734348.2500000009</v>
      </c>
      <c r="H5" s="8">
        <v>4112786.49</v>
      </c>
      <c r="I5" s="8">
        <v>6443150.2599999998</v>
      </c>
      <c r="J5" s="8">
        <v>7626908.7199999997</v>
      </c>
      <c r="K5" s="8">
        <v>10440552.870000001</v>
      </c>
      <c r="L5" s="8">
        <v>13294620.649999999</v>
      </c>
      <c r="M5" s="8">
        <v>16512601.109999999</v>
      </c>
    </row>
    <row r="6" spans="1:13" x14ac:dyDescent="0.2">
      <c r="A6" s="5" t="s">
        <v>49</v>
      </c>
      <c r="B6" s="8">
        <v>12741963.990000002</v>
      </c>
      <c r="C6" s="8">
        <v>14457319.99</v>
      </c>
      <c r="D6" s="8">
        <v>13451576.300000001</v>
      </c>
      <c r="E6" s="8">
        <v>11524152.710000001</v>
      </c>
      <c r="F6" s="8">
        <v>9335171.6300000008</v>
      </c>
      <c r="G6" s="8">
        <v>5734348.2500000009</v>
      </c>
      <c r="H6" s="8">
        <v>4112786.49</v>
      </c>
      <c r="I6" s="8">
        <v>6443150.2599999998</v>
      </c>
      <c r="J6" s="8">
        <v>7626908.7199999997</v>
      </c>
      <c r="K6" s="8">
        <v>10440552.870000001</v>
      </c>
      <c r="L6" s="8">
        <v>13294620.649999999</v>
      </c>
      <c r="M6" s="8">
        <v>16512601.109999999</v>
      </c>
    </row>
  </sheetData>
  <pageMargins left="0.75" right="0.75" top="1" bottom="1" header="0.5" footer="0.5"/>
  <pageSetup scale="80" orientation="landscape" r:id="rId2"/>
  <headerFooter alignWithMargins="0">
    <oddHeader>&amp;RCASE NO. 2021-00214
ATTACHMENT 1
TO AG DR NO. 2-12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37763-DE47-4397-8E74-E25EC67418EF}">
  <sheetPr>
    <pageSetUpPr fitToPage="1"/>
  </sheetPr>
  <dimension ref="A1:M6"/>
  <sheetViews>
    <sheetView workbookViewId="0">
      <selection activeCell="H27" sqref="H27"/>
    </sheetView>
  </sheetViews>
  <sheetFormatPr defaultColWidth="8.83203125" defaultRowHeight="11.25" x14ac:dyDescent="0.2"/>
  <cols>
    <col min="1" max="1" width="20" style="10" bestFit="1" customWidth="1"/>
    <col min="2" max="2" width="15.5" style="10" bestFit="1" customWidth="1"/>
    <col min="3" max="13" width="12.33203125" style="10" bestFit="1" customWidth="1"/>
    <col min="14" max="14" width="11.83203125" style="10" bestFit="1" customWidth="1"/>
    <col min="15" max="16384" width="8.83203125" style="10"/>
  </cols>
  <sheetData>
    <row r="1" spans="1:13" x14ac:dyDescent="0.2">
      <c r="A1" s="6" t="s">
        <v>3</v>
      </c>
      <c r="B1" s="1" t="s">
        <v>50</v>
      </c>
      <c r="D1"/>
      <c r="E1"/>
    </row>
    <row r="3" spans="1:13" x14ac:dyDescent="0.2">
      <c r="A3" s="1" t="s">
        <v>4</v>
      </c>
      <c r="B3" s="7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">
      <c r="A4" s="7" t="s">
        <v>2</v>
      </c>
      <c r="B4" s="5" t="s">
        <v>40</v>
      </c>
      <c r="C4" s="5" t="s">
        <v>46</v>
      </c>
      <c r="D4" s="5" t="s">
        <v>48</v>
      </c>
      <c r="E4" s="5" t="s">
        <v>41</v>
      </c>
      <c r="F4" s="5" t="s">
        <v>37</v>
      </c>
      <c r="G4" s="5" t="s">
        <v>38</v>
      </c>
      <c r="H4" s="5" t="s">
        <v>42</v>
      </c>
      <c r="I4" s="5" t="s">
        <v>47</v>
      </c>
      <c r="J4" s="5" t="s">
        <v>44</v>
      </c>
      <c r="K4" s="5" t="s">
        <v>43</v>
      </c>
      <c r="L4" s="5" t="s">
        <v>45</v>
      </c>
      <c r="M4" s="5" t="s">
        <v>39</v>
      </c>
    </row>
    <row r="5" spans="1:13" x14ac:dyDescent="0.2">
      <c r="A5" s="5" t="s">
        <v>15</v>
      </c>
      <c r="B5" s="13">
        <v>6980426</v>
      </c>
      <c r="C5" s="13">
        <v>7705795</v>
      </c>
      <c r="D5" s="13">
        <v>7047450</v>
      </c>
      <c r="E5" s="13">
        <v>6071829</v>
      </c>
      <c r="F5" s="13">
        <v>4913316</v>
      </c>
      <c r="G5" s="13">
        <v>3017354</v>
      </c>
      <c r="H5" s="13">
        <v>2145214</v>
      </c>
      <c r="I5" s="13">
        <v>2865135</v>
      </c>
      <c r="J5" s="13">
        <v>3682057</v>
      </c>
      <c r="K5" s="13">
        <v>4470572</v>
      </c>
      <c r="L5" s="13">
        <v>5277947</v>
      </c>
      <c r="M5" s="13">
        <v>6105963</v>
      </c>
    </row>
    <row r="6" spans="1:13" x14ac:dyDescent="0.2">
      <c r="A6" s="5" t="s">
        <v>49</v>
      </c>
      <c r="B6" s="13">
        <v>6980426</v>
      </c>
      <c r="C6" s="13">
        <v>7705795</v>
      </c>
      <c r="D6" s="13">
        <v>7047450</v>
      </c>
      <c r="E6" s="13">
        <v>6071829</v>
      </c>
      <c r="F6" s="13">
        <v>4913316</v>
      </c>
      <c r="G6" s="13">
        <v>3017354</v>
      </c>
      <c r="H6" s="13">
        <v>2145214</v>
      </c>
      <c r="I6" s="13">
        <v>2865135</v>
      </c>
      <c r="J6" s="13">
        <v>3682057</v>
      </c>
      <c r="K6" s="13">
        <v>4470572</v>
      </c>
      <c r="L6" s="13">
        <v>5277947</v>
      </c>
      <c r="M6" s="13">
        <v>6105963</v>
      </c>
    </row>
  </sheetData>
  <pageMargins left="0.75" right="0.75" top="1" bottom="1" header="0.5" footer="0.5"/>
  <pageSetup scale="90" orientation="landscape" r:id="rId2"/>
  <headerFooter alignWithMargins="0">
    <oddHeader>&amp;RCASE NO. 2021-00214
ATTACHMENT 1
TO AG DR NO. 2-12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9BE7-3E9F-42FF-8EFB-42F45A45B6D6}">
  <sheetPr>
    <pageSetUpPr fitToPage="1"/>
  </sheetPr>
  <dimension ref="A1:B22"/>
  <sheetViews>
    <sheetView workbookViewId="0">
      <selection activeCell="H27" sqref="H27"/>
    </sheetView>
  </sheetViews>
  <sheetFormatPr defaultColWidth="8.83203125" defaultRowHeight="11.25" x14ac:dyDescent="0.2"/>
  <cols>
    <col min="1" max="1" width="22.83203125" style="10" customWidth="1"/>
    <col min="2" max="2" width="115.83203125" style="10" customWidth="1"/>
    <col min="3" max="16384" width="8.83203125" style="10"/>
  </cols>
  <sheetData>
    <row r="1" spans="1:2" x14ac:dyDescent="0.2">
      <c r="A1" s="19" t="s">
        <v>5</v>
      </c>
      <c r="B1" s="20"/>
    </row>
    <row r="2" spans="1:2" x14ac:dyDescent="0.2">
      <c r="A2" s="20"/>
      <c r="B2" s="20"/>
    </row>
    <row r="3" spans="1:2" x14ac:dyDescent="0.2">
      <c r="A3" s="3" t="s">
        <v>6</v>
      </c>
      <c r="B3" s="11" t="s">
        <v>51</v>
      </c>
    </row>
    <row r="4" spans="1:2" x14ac:dyDescent="0.2">
      <c r="A4" s="11"/>
      <c r="B4" s="11"/>
    </row>
    <row r="5" spans="1:2" x14ac:dyDescent="0.2">
      <c r="A5" s="3" t="s">
        <v>7</v>
      </c>
      <c r="B5" s="11"/>
    </row>
    <row r="6" spans="1:2" x14ac:dyDescent="0.2">
      <c r="A6" s="11" t="s">
        <v>9</v>
      </c>
      <c r="B6" s="11" t="s">
        <v>10</v>
      </c>
    </row>
    <row r="7" spans="1:2" x14ac:dyDescent="0.2">
      <c r="A7" s="11" t="s">
        <v>11</v>
      </c>
      <c r="B7" s="12" t="s">
        <v>52</v>
      </c>
    </row>
    <row r="8" spans="1:2" x14ac:dyDescent="0.2">
      <c r="A8" s="11" t="s">
        <v>0</v>
      </c>
      <c r="B8" s="12" t="s">
        <v>53</v>
      </c>
    </row>
    <row r="9" spans="1:2" x14ac:dyDescent="0.2">
      <c r="A9" s="11" t="s">
        <v>14</v>
      </c>
      <c r="B9" s="11" t="s">
        <v>15</v>
      </c>
    </row>
    <row r="10" spans="1:2" x14ac:dyDescent="0.2">
      <c r="A10" s="11" t="s">
        <v>16</v>
      </c>
      <c r="B10" s="11" t="s">
        <v>17</v>
      </c>
    </row>
    <row r="11" spans="1:2" x14ac:dyDescent="0.2">
      <c r="A11" s="11" t="s">
        <v>18</v>
      </c>
      <c r="B11" s="12" t="s">
        <v>19</v>
      </c>
    </row>
    <row r="12" spans="1:2" x14ac:dyDescent="0.2">
      <c r="A12" s="11"/>
      <c r="B12" s="11"/>
    </row>
    <row r="13" spans="1:2" x14ac:dyDescent="0.2">
      <c r="A13" s="3" t="s">
        <v>20</v>
      </c>
      <c r="B13" s="11"/>
    </row>
    <row r="14" spans="1:2" x14ac:dyDescent="0.2">
      <c r="A14" s="11" t="s">
        <v>21</v>
      </c>
      <c r="B14" s="11" t="s">
        <v>22</v>
      </c>
    </row>
    <row r="15" spans="1:2" x14ac:dyDescent="0.2">
      <c r="A15" s="11" t="s">
        <v>23</v>
      </c>
      <c r="B15" s="11" t="s">
        <v>24</v>
      </c>
    </row>
    <row r="16" spans="1:2" x14ac:dyDescent="0.2">
      <c r="A16" s="11" t="s">
        <v>26</v>
      </c>
      <c r="B16" s="11" t="s">
        <v>25</v>
      </c>
    </row>
    <row r="17" spans="1:2" x14ac:dyDescent="0.2">
      <c r="A17" s="11" t="s">
        <v>28</v>
      </c>
      <c r="B17" s="11" t="s">
        <v>54</v>
      </c>
    </row>
    <row r="18" spans="1:2" x14ac:dyDescent="0.2">
      <c r="A18" s="11" t="s">
        <v>30</v>
      </c>
      <c r="B18" s="11" t="s">
        <v>55</v>
      </c>
    </row>
    <row r="19" spans="1:2" x14ac:dyDescent="0.2">
      <c r="A19" s="11" t="s">
        <v>32</v>
      </c>
      <c r="B19" s="11" t="s">
        <v>31</v>
      </c>
    </row>
    <row r="20" spans="1:2" x14ac:dyDescent="0.2">
      <c r="A20" s="11" t="s">
        <v>34</v>
      </c>
      <c r="B20" s="11" t="s">
        <v>56</v>
      </c>
    </row>
    <row r="21" spans="1:2" x14ac:dyDescent="0.2">
      <c r="A21" s="11" t="s">
        <v>36</v>
      </c>
      <c r="B21" s="11" t="s">
        <v>57</v>
      </c>
    </row>
    <row r="22" spans="1:2" x14ac:dyDescent="0.2">
      <c r="A22" s="11"/>
      <c r="B22" s="11"/>
    </row>
  </sheetData>
  <mergeCells count="1">
    <mergeCell ref="A1:B2"/>
  </mergeCells>
  <pageMargins left="0.75" right="0.75" top="1" bottom="1" header="0.5" footer="0.5"/>
  <pageSetup orientation="landscape" r:id="rId1"/>
  <headerFooter alignWithMargins="0">
    <oddHeader>&amp;RCASE NO. 2021-00214
ATTACHMENT 1
TO AG DR NO. 2-12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22"/>
  <sheetViews>
    <sheetView showGridLines="0" workbookViewId="0">
      <selection activeCell="H27" sqref="H27"/>
    </sheetView>
  </sheetViews>
  <sheetFormatPr defaultRowHeight="11.25" x14ac:dyDescent="0.2"/>
  <cols>
    <col min="1" max="1" width="22.83203125" customWidth="1"/>
    <col min="2" max="2" width="106.83203125" customWidth="1"/>
  </cols>
  <sheetData>
    <row r="1" spans="1:2" ht="18" customHeight="1" x14ac:dyDescent="0.2">
      <c r="A1" s="19" t="s">
        <v>5</v>
      </c>
      <c r="B1" s="21"/>
    </row>
    <row r="2" spans="1:2" x14ac:dyDescent="0.2">
      <c r="A2" s="21"/>
      <c r="B2" s="21"/>
    </row>
    <row r="3" spans="1:2" x14ac:dyDescent="0.2">
      <c r="A3" s="3" t="s">
        <v>6</v>
      </c>
      <c r="B3" s="2" t="s">
        <v>8</v>
      </c>
    </row>
    <row r="4" spans="1:2" x14ac:dyDescent="0.2">
      <c r="A4" s="2"/>
      <c r="B4" s="2"/>
    </row>
    <row r="5" spans="1:2" x14ac:dyDescent="0.2">
      <c r="A5" s="3" t="s">
        <v>7</v>
      </c>
      <c r="B5" s="2"/>
    </row>
    <row r="6" spans="1:2" x14ac:dyDescent="0.2">
      <c r="A6" s="2" t="s">
        <v>9</v>
      </c>
      <c r="B6" s="2" t="s">
        <v>10</v>
      </c>
    </row>
    <row r="7" spans="1:2" x14ac:dyDescent="0.2">
      <c r="A7" s="2" t="s">
        <v>11</v>
      </c>
      <c r="B7" s="4" t="s">
        <v>12</v>
      </c>
    </row>
    <row r="8" spans="1:2" x14ac:dyDescent="0.2">
      <c r="A8" s="2" t="s">
        <v>0</v>
      </c>
      <c r="B8" s="4" t="s">
        <v>13</v>
      </c>
    </row>
    <row r="9" spans="1:2" x14ac:dyDescent="0.2">
      <c r="A9" s="2" t="s">
        <v>14</v>
      </c>
      <c r="B9" s="2" t="s">
        <v>15</v>
      </c>
    </row>
    <row r="10" spans="1:2" x14ac:dyDescent="0.2">
      <c r="A10" s="2" t="s">
        <v>16</v>
      </c>
      <c r="B10" s="2" t="s">
        <v>17</v>
      </c>
    </row>
    <row r="11" spans="1:2" x14ac:dyDescent="0.2">
      <c r="A11" s="2" t="s">
        <v>18</v>
      </c>
      <c r="B11" s="4" t="s">
        <v>19</v>
      </c>
    </row>
    <row r="12" spans="1:2" x14ac:dyDescent="0.2">
      <c r="A12" s="2"/>
      <c r="B12" s="2"/>
    </row>
    <row r="13" spans="1:2" x14ac:dyDescent="0.2">
      <c r="A13" s="3" t="s">
        <v>20</v>
      </c>
      <c r="B13" s="2"/>
    </row>
    <row r="14" spans="1:2" x14ac:dyDescent="0.2">
      <c r="A14" s="2" t="s">
        <v>21</v>
      </c>
      <c r="B14" s="2" t="s">
        <v>22</v>
      </c>
    </row>
    <row r="15" spans="1:2" x14ac:dyDescent="0.2">
      <c r="A15" s="2" t="s">
        <v>23</v>
      </c>
      <c r="B15" s="2" t="s">
        <v>24</v>
      </c>
    </row>
    <row r="16" spans="1:2" x14ac:dyDescent="0.2">
      <c r="A16" s="2" t="s">
        <v>26</v>
      </c>
      <c r="B16" s="2" t="s">
        <v>25</v>
      </c>
    </row>
    <row r="17" spans="1:2" x14ac:dyDescent="0.2">
      <c r="A17" s="2" t="s">
        <v>28</v>
      </c>
      <c r="B17" s="2" t="s">
        <v>27</v>
      </c>
    </row>
    <row r="18" spans="1:2" x14ac:dyDescent="0.2">
      <c r="A18" s="2" t="s">
        <v>30</v>
      </c>
      <c r="B18" s="2" t="s">
        <v>29</v>
      </c>
    </row>
    <row r="19" spans="1:2" x14ac:dyDescent="0.2">
      <c r="A19" s="2" t="s">
        <v>32</v>
      </c>
      <c r="B19" s="2" t="s">
        <v>31</v>
      </c>
    </row>
    <row r="20" spans="1:2" x14ac:dyDescent="0.2">
      <c r="A20" s="2" t="s">
        <v>34</v>
      </c>
      <c r="B20" s="2" t="s">
        <v>33</v>
      </c>
    </row>
    <row r="21" spans="1:2" x14ac:dyDescent="0.2">
      <c r="A21" s="2" t="s">
        <v>36</v>
      </c>
      <c r="B21" s="2" t="s">
        <v>35</v>
      </c>
    </row>
    <row r="22" spans="1:2" x14ac:dyDescent="0.2">
      <c r="A22" s="2"/>
      <c r="B22" s="2"/>
    </row>
  </sheetData>
  <mergeCells count="1">
    <mergeCell ref="A1:B2"/>
  </mergeCells>
  <pageMargins left="0.75" right="0.75" top="1" bottom="1" header="0.5" footer="0.5"/>
  <pageSetup orientation="landscape" r:id="rId1"/>
  <headerFooter alignWithMargins="0">
    <oddHeader>&amp;RCASE NO. 2021-00214
ATTACHMENT 1
TO AG DR NO. 2-12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Pivot - Atmos-Account Ending B</vt:lpstr>
      <vt:lpstr>STAT</vt:lpstr>
      <vt:lpstr>STAT Parm</vt:lpstr>
      <vt:lpstr>Report Parameters1 - Atmos-Acc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Baugh, John S</dc:creator>
  <cp:keywords/>
  <dc:description/>
  <cp:lastModifiedBy>Eric J Wilen</cp:lastModifiedBy>
  <cp:lastPrinted>2021-09-09T16:58:50Z</cp:lastPrinted>
  <dcterms:created xsi:type="dcterms:W3CDTF">2021-09-08T22:01:20Z</dcterms:created>
  <dcterms:modified xsi:type="dcterms:W3CDTF">2021-09-09T16:59:00Z</dcterms:modified>
  <cp:category/>
  <cp:contentStatus/>
</cp:coreProperties>
</file>