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fileSharing readOnlyRecommended="1" userName="Thomas  Troup" algorithmName="SHA-512" hashValue="GlVDm1OJwQaXi8InFltOuwYlZ7VqRVZnHY4lO8PB7hIPe9myCp8KjgRVY72NOhVOX/W071fub+kFoVrW3hrArA==" saltValue="OACJ7VUsOfQUT/e8EBPRow==" spinCount="100000"/>
  <workbookPr codeName="ThisWorkbook"/>
  <mc:AlternateContent xmlns:mc="http://schemas.openxmlformats.org/markup-compatibility/2006">
    <mc:Choice Requires="x15">
      <x15ac:absPath xmlns:x15ac="http://schemas.microsoft.com/office/spreadsheetml/2010/11/ac" url="W:\MdSt-KY Rate Case\2021 KY Rate Case\"/>
    </mc:Choice>
  </mc:AlternateContent>
  <xr:revisionPtr revIDLastSave="0" documentId="13_ncr:10001_{6D892423-E6FB-4BD0-A5B1-B102FCFA54BA}" xr6:coauthVersionLast="47" xr6:coauthVersionMax="47" xr10:uidLastSave="{00000000-0000-0000-0000-000000000000}"/>
  <bookViews>
    <workbookView xWindow="-120" yWindow="-120" windowWidth="29040" windowHeight="15840" xr2:uid="{C2EB6CF9-84DF-4434-BE59-43E088B2D0E4}"/>
  </bookViews>
  <sheets>
    <sheet name="Table of Contents" sheetId="204" r:id="rId1"/>
    <sheet name="Allocation" sheetId="212" r:id="rId2"/>
    <sheet name="Cover A" sheetId="205" r:id="rId3"/>
    <sheet name="A.1" sheetId="1" r:id="rId4"/>
    <sheet name="Cover B" sheetId="206" r:id="rId5"/>
    <sheet name="B.1 B" sheetId="3" r:id="rId6"/>
    <sheet name="B.1 F " sheetId="137" r:id="rId7"/>
    <sheet name="B.2 B" sheetId="207" r:id="rId8"/>
    <sheet name="B.2 F" sheetId="213" r:id="rId9"/>
    <sheet name="B.3 B" sheetId="236" r:id="rId10"/>
    <sheet name="B.3 F" sheetId="209" r:id="rId11"/>
    <sheet name="B.3.1 F" sheetId="237" r:id="rId12"/>
    <sheet name="B.4 B" sheetId="31" r:id="rId13"/>
    <sheet name="B.4 F" sheetId="67" r:id="rId14"/>
    <sheet name="B.4.1 B" sheetId="30" r:id="rId15"/>
    <sheet name="B.4.1 F" sheetId="215" r:id="rId16"/>
    <sheet name="B.4.2 B" sheetId="24" r:id="rId17"/>
    <sheet name="B.4.2 F" sheetId="69" r:id="rId18"/>
    <sheet name="B.5 B" sheetId="231" r:id="rId19"/>
    <sheet name="B.5 F" sheetId="232" r:id="rId20"/>
    <sheet name="B.6 B" sheetId="243" r:id="rId21"/>
    <sheet name="B.6 F" sheetId="244" r:id="rId22"/>
    <sheet name="WP B.4.1B" sheetId="214" r:id="rId23"/>
    <sheet name="WP B.4.1F" sheetId="216" r:id="rId24"/>
    <sheet name="WP B.5 B" sheetId="230" r:id="rId25"/>
    <sheet name="WP B.5 B1" sheetId="255" r:id="rId26"/>
    <sheet name="WP B.5 F" sheetId="233" r:id="rId27"/>
    <sheet name="WP B.5 F1" sheetId="251" r:id="rId28"/>
    <sheet name="WP B.6 B" sheetId="241" r:id="rId29"/>
    <sheet name="WP B.6 F" sheetId="242" r:id="rId30"/>
    <sheet name="Cover C" sheetId="211" r:id="rId31"/>
    <sheet name="C.1" sheetId="47" r:id="rId32"/>
    <sheet name="C.2" sheetId="46" r:id="rId33"/>
    <sheet name="C.2.1 B" sheetId="45" r:id="rId34"/>
    <sheet name="C.2.1 F" sheetId="79" r:id="rId35"/>
    <sheet name="C.2.2 B 09" sheetId="44" r:id="rId36"/>
    <sheet name="C.2.2 B 02" sheetId="190" r:id="rId37"/>
    <sheet name="C.2.2 B 12" sheetId="193" r:id="rId38"/>
    <sheet name="C.2.2 B 91" sheetId="192" r:id="rId39"/>
    <sheet name="C.2.2-F 09" sheetId="222" r:id="rId40"/>
    <sheet name="C.2.2-F 02" sheetId="226" r:id="rId41"/>
    <sheet name="C.2.2-F 12" sheetId="227" r:id="rId42"/>
    <sheet name="C.2.2-F 91" sheetId="228" r:id="rId43"/>
    <sheet name="C.2.3 B" sheetId="171" r:id="rId44"/>
    <sheet name="C.2.3 F" sheetId="238" r:id="rId45"/>
    <sheet name="Cover D" sheetId="221" r:id="rId46"/>
    <sheet name="D.1" sheetId="51" r:id="rId47"/>
    <sheet name="D.2.1" sheetId="50" r:id="rId48"/>
    <sheet name="D.2.2" sheetId="49" r:id="rId49"/>
    <sheet name="D.2.3" sheetId="48" r:id="rId50"/>
    <sheet name="Cover E" sheetId="235" r:id="rId51"/>
    <sheet name="E" sheetId="84" r:id="rId52"/>
    <sheet name="Cover F" sheetId="245" r:id="rId53"/>
    <sheet name="F.1" sheetId="248" r:id="rId54"/>
    <sheet name="F.2.1" sheetId="107" r:id="rId55"/>
    <sheet name="F.2.2" sheetId="104" r:id="rId56"/>
    <sheet name="F.2.3" sheetId="105" r:id="rId57"/>
    <sheet name="F.3" sheetId="100" r:id="rId58"/>
    <sheet name="F.4" sheetId="247" r:id="rId59"/>
    <sheet name="F.5" sheetId="102" r:id="rId60"/>
    <sheet name="F.6" sheetId="106" r:id="rId61"/>
    <sheet name="F.7" sheetId="103" r:id="rId62"/>
    <sheet name="F.8" sheetId="239" r:id="rId63"/>
    <sheet name="F.9" sheetId="249" r:id="rId64"/>
    <sheet name="F.10" sheetId="250" r:id="rId65"/>
    <sheet name="F.11" sheetId="252" r:id="rId66"/>
    <sheet name="F.12" sheetId="253" r:id="rId67"/>
    <sheet name="WP F.12" sheetId="254" r:id="rId68"/>
    <sheet name="G.1" sheetId="36" r:id="rId69"/>
    <sheet name="G.2" sheetId="35" r:id="rId70"/>
    <sheet name="G.3" sheetId="34" r:id="rId71"/>
    <sheet name="H.1" sheetId="37" r:id="rId72"/>
    <sheet name="I.1" sheetId="42" r:id="rId73"/>
    <sheet name="I.2" sheetId="41" r:id="rId74"/>
    <sheet name="I.3" sheetId="39" r:id="rId75"/>
    <sheet name="J-1 Base" sheetId="4" r:id="rId76"/>
    <sheet name="J.1" sheetId="202" r:id="rId77"/>
    <sheet name="J-2 B" sheetId="5" r:id="rId78"/>
    <sheet name="J-3 B" sheetId="8" r:id="rId79"/>
    <sheet name="J-4" sheetId="9" r:id="rId80"/>
    <sheet name="J-1 F" sheetId="95" r:id="rId81"/>
    <sheet name="J-3 F" sheetId="99" r:id="rId82"/>
    <sheet name="J-2 F" sheetId="98" r:id="rId83"/>
    <sheet name="K" sheetId="10" r:id="rId84"/>
  </sheets>
  <externalReferences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</externalReferences>
  <definedNames>
    <definedName name="\p">A.1!$B$48:$B$49</definedName>
    <definedName name="_Div012" localSheetId="64">#REF!</definedName>
    <definedName name="_Div012" localSheetId="63">#REF!</definedName>
    <definedName name="_Div012">#REF!</definedName>
    <definedName name="_Div02" localSheetId="64">#REF!</definedName>
    <definedName name="_Div02" localSheetId="63">#REF!</definedName>
    <definedName name="_Div02">#REF!</definedName>
    <definedName name="_Div091" localSheetId="64">#REF!</definedName>
    <definedName name="_Div091" localSheetId="63">#REF!</definedName>
    <definedName name="_Div091">#REF!</definedName>
    <definedName name="_Regression_Int" localSheetId="3" hidden="1">1</definedName>
    <definedName name="Case_No._2006_00464" localSheetId="64">#REF!</definedName>
    <definedName name="Case_No._2006_00464" localSheetId="63">#REF!</definedName>
    <definedName name="Case_No._2006_00464">#REF!</definedName>
    <definedName name="csDesignMode">1</definedName>
    <definedName name="Div012Cap" localSheetId="64">#REF!</definedName>
    <definedName name="Div012Cap" localSheetId="63">#REF!</definedName>
    <definedName name="Div012Cap">#REF!</definedName>
    <definedName name="Div02Cap" localSheetId="64">#REF!</definedName>
    <definedName name="Div02Cap" localSheetId="63">#REF!</definedName>
    <definedName name="Div02Cap">#REF!</definedName>
    <definedName name="Div091Cap" localSheetId="64">#REF!</definedName>
    <definedName name="Div091Cap" localSheetId="63">#REF!</definedName>
    <definedName name="Div091Cap">#REF!</definedName>
    <definedName name="Div09cap" localSheetId="64">#REF!</definedName>
    <definedName name="Div09cap" localSheetId="63">#REF!</definedName>
    <definedName name="Div09cap">#REF!</definedName>
    <definedName name="EssOptions" localSheetId="54">"A1100000000030000000001100020_0000"</definedName>
    <definedName name="EssOptions" localSheetId="57">"A1100000000030000000001100020_0000"</definedName>
    <definedName name="kytax" localSheetId="64">#REF!</definedName>
    <definedName name="kytax" localSheetId="63">#REF!</definedName>
    <definedName name="kytax">#REF!</definedName>
    <definedName name="ltdrate" localSheetId="64">#REF!</definedName>
    <definedName name="ltdrate" localSheetId="63">#REF!</definedName>
    <definedName name="ltdrate">#REF!</definedName>
    <definedName name="_xlnm.Print_Area" localSheetId="3">A.1!$A$1:$G$45</definedName>
    <definedName name="_xlnm.Print_Area" localSheetId="1">Allocation!$A$1:$I$31</definedName>
    <definedName name="_xlnm.Print_Area" localSheetId="5">'B.1 B'!$A$1:$F$31</definedName>
    <definedName name="_xlnm.Print_Area" localSheetId="6">'B.1 F '!$A$1:$F$31</definedName>
    <definedName name="_xlnm.Print_Area" localSheetId="7">'B.2 B'!$A$1:$N$269</definedName>
    <definedName name="_xlnm.Print_Area" localSheetId="8">'B.2 F'!$A$1:$N$269</definedName>
    <definedName name="_xlnm.Print_Area" localSheetId="9">'B.3 B'!$A$1:$N$264</definedName>
    <definedName name="_xlnm.Print_Area" localSheetId="10">'B.3 F'!$A$1:$N$266</definedName>
    <definedName name="_xlnm.Print_Area" localSheetId="11">'B.3.1 F'!$A$1:$H$264</definedName>
    <definedName name="_xlnm.Print_Area" localSheetId="12">'B.4 B'!$A$1:$E$24</definedName>
    <definedName name="_xlnm.Print_Area" localSheetId="13">'B.4 F'!$A$1:$E$24</definedName>
    <definedName name="_xlnm.Print_Area" localSheetId="14">'B.4.1 B'!$A$1:$K$37</definedName>
    <definedName name="_xlnm.Print_Area" localSheetId="15">'B.4.1 F'!$A$1:$K$37</definedName>
    <definedName name="_xlnm.Print_Area" localSheetId="16">'B.4.2 B'!$A$1:$H$34</definedName>
    <definedName name="_xlnm.Print_Area" localSheetId="17">'B.4.2 F'!$A$1:$H$33</definedName>
    <definedName name="_xlnm.Print_Area" localSheetId="18">'B.5 B'!$A$1:$L$51</definedName>
    <definedName name="_xlnm.Print_Area" localSheetId="19">'B.5 F'!$A$1:$L$88</definedName>
    <definedName name="_xlnm.Print_Area" localSheetId="20">'B.6 B'!$A$1:$L$25</definedName>
    <definedName name="_xlnm.Print_Area" localSheetId="21">'B.6 F'!$A$1:$L$25</definedName>
    <definedName name="_xlnm.Print_Area" localSheetId="31">'C.1'!$A$1:$J$31</definedName>
    <definedName name="_xlnm.Print_Area" localSheetId="32">'C.2'!$A$1:$O$34</definedName>
    <definedName name="_xlnm.Print_Area" localSheetId="33">'C.2.1 B'!$A$1:$D$183</definedName>
    <definedName name="_xlnm.Print_Area" localSheetId="34">'C.2.1 F'!$A$1:$D$178</definedName>
    <definedName name="_xlnm.Print_Area" localSheetId="36">'C.2.2 B 02'!$A$14:$P$49</definedName>
    <definedName name="_xlnm.Print_Area" localSheetId="35">'C.2.2 B 09'!$A$12:$P$117</definedName>
    <definedName name="_xlnm.Print_Area" localSheetId="37">'C.2.2 B 12'!$A$12:$P$37</definedName>
    <definedName name="_xlnm.Print_Area" localSheetId="38">'C.2.2 B 91'!$A$14:$P$68</definedName>
    <definedName name="_xlnm.Print_Area" localSheetId="40">'C.2.2-F 02'!$A$12:$P$47</definedName>
    <definedName name="_xlnm.Print_Area" localSheetId="39">'C.2.2-F 09'!$A$12:$P$116</definedName>
    <definedName name="_xlnm.Print_Area" localSheetId="41">'C.2.2-F 12'!$A$12:$P$37</definedName>
    <definedName name="_xlnm.Print_Area" localSheetId="42">'C.2.2-F 91'!$A$12:$P$66</definedName>
    <definedName name="_xlnm.Print_Area" localSheetId="43">'C.2.3 B'!$A$1:$O$67</definedName>
    <definedName name="_xlnm.Print_Area" localSheetId="44">'C.2.3 F'!$A$1:$O$68</definedName>
    <definedName name="_xlnm.Print_Area" localSheetId="4">'Cover B'!$A$1:$C$24</definedName>
    <definedName name="_xlnm.Print_Area" localSheetId="30">'Cover C'!$A$1:$C$20</definedName>
    <definedName name="_xlnm.Print_Area" localSheetId="45">'Cover D'!$A$1:$C$23</definedName>
    <definedName name="_xlnm.Print_Area" localSheetId="50">'Cover E'!$A$1:$C$22</definedName>
    <definedName name="_xlnm.Print_Area" localSheetId="52">'Cover F'!$A$1:$C$31</definedName>
    <definedName name="_xlnm.Print_Area" localSheetId="46">D.1!$A$1:$P$172</definedName>
    <definedName name="_xlnm.Print_Area" localSheetId="47">'D.2.1'!$A$1:$D$72</definedName>
    <definedName name="_xlnm.Print_Area" localSheetId="48">'D.2.2'!$A$1:$D$45</definedName>
    <definedName name="_xlnm.Print_Area" localSheetId="49">'D.2.3'!$A$1:$D$23</definedName>
    <definedName name="_xlnm.Print_Area" localSheetId="51">E!$A$1:$H$37</definedName>
    <definedName name="_xlnm.Print_Area" localSheetId="53">F.1!$A$1:$I$93</definedName>
    <definedName name="_xlnm.Print_Area" localSheetId="64">F.10!$A$1:$F$43</definedName>
    <definedName name="_xlnm.Print_Area" localSheetId="65">F.11!$A$1:$F$20</definedName>
    <definedName name="_xlnm.Print_Area" localSheetId="66">F.12!$A$1:$J$63</definedName>
    <definedName name="_xlnm.Print_Area" localSheetId="54">'F.2.1'!$A$1:$F$38</definedName>
    <definedName name="_xlnm.Print_Area" localSheetId="55">'F.2.2'!$A$1:$J$28</definedName>
    <definedName name="_xlnm.Print_Area" localSheetId="56">'F.2.3'!$A$1:$J$37</definedName>
    <definedName name="_xlnm.Print_Area" localSheetId="57">F.3!$A$1:$J$78</definedName>
    <definedName name="_xlnm.Print_Area" localSheetId="58">F.4!$A$1:$K$32</definedName>
    <definedName name="_xlnm.Print_Area" localSheetId="59">F.5!$A$1:$I$39</definedName>
    <definedName name="_xlnm.Print_Area" localSheetId="60">F.6!$A$1:$E$178</definedName>
    <definedName name="_xlnm.Print_Area" localSheetId="61">F.7!$A$1:$I$51</definedName>
    <definedName name="_xlnm.Print_Area" localSheetId="62">F.8!$A$1:$I$28</definedName>
    <definedName name="_xlnm.Print_Area" localSheetId="63">F.9!$A$1:$F$23</definedName>
    <definedName name="_xlnm.Print_Area" localSheetId="68">G.1!$A$1:$L$32</definedName>
    <definedName name="_xlnm.Print_Area" localSheetId="69">G.2!$A$1:$P$53</definedName>
    <definedName name="_xlnm.Print_Area" localSheetId="70">G.3!$A$1:$L$46</definedName>
    <definedName name="_xlnm.Print_Area" localSheetId="71">H.1!$A$1:$E$36</definedName>
    <definedName name="_xlnm.Print_Area" localSheetId="72">I.1!$A$1:$P$48</definedName>
    <definedName name="_xlnm.Print_Area" localSheetId="73">I.2!$A$1:$S$39</definedName>
    <definedName name="_xlnm.Print_Area" localSheetId="74">I.3!$A$1:$S$44</definedName>
    <definedName name="_xlnm.Print_Area" localSheetId="76">J.1!$A$1:$V$54</definedName>
    <definedName name="_xlnm.Print_Area" localSheetId="75">'J-1 Base'!$A$1:$M$27</definedName>
    <definedName name="_xlnm.Print_Area" localSheetId="80">'J-1 F'!$A$1:$M$28</definedName>
    <definedName name="_xlnm.Print_Area" localSheetId="77">'J-2 B'!$A$1:$L$29</definedName>
    <definedName name="_xlnm.Print_Area" localSheetId="82">'J-2 F'!$A$1:$L$28</definedName>
    <definedName name="_xlnm.Print_Area" localSheetId="78">'J-3 B'!$A$1:$K$37</definedName>
    <definedName name="_xlnm.Print_Area" localSheetId="81">'J-3 F'!$A$1:$K$37</definedName>
    <definedName name="_xlnm.Print_Area" localSheetId="79">'J-4'!$A$1:$S$16</definedName>
    <definedName name="_xlnm.Print_Area" localSheetId="83">K!$A$1:$R$137</definedName>
    <definedName name="_xlnm.Print_Area" localSheetId="22">'WP B.4.1B'!$A$1:$P$53</definedName>
    <definedName name="_xlnm.Print_Area" localSheetId="23">'WP B.4.1F'!$A$1:$P$53</definedName>
    <definedName name="_xlnm.Print_Area" localSheetId="24">'WP B.5 B'!$A$1:$Q$49</definedName>
    <definedName name="_xlnm.Print_Area" localSheetId="25">'WP B.5 B1'!$A$1:$E$33</definedName>
    <definedName name="_xlnm.Print_Area" localSheetId="26">'WP B.5 F'!$A$1:$Q$49</definedName>
    <definedName name="_xlnm.Print_Area" localSheetId="27">'WP B.5 F1'!$A$1:$J$283</definedName>
    <definedName name="_xlnm.Print_Area" localSheetId="28">'WP B.6 B'!$A$1:$Q$23</definedName>
    <definedName name="_xlnm.Print_Area" localSheetId="29">'WP B.6 F'!$A$1:$Q$23</definedName>
    <definedName name="_xlnm.Print_Area" localSheetId="67">'WP F.12'!$A$1:$J$63</definedName>
    <definedName name="Print_Area_MI">A.1!$A$1:$K$44</definedName>
    <definedName name="_xlnm.Print_Titles" localSheetId="5">'B.1 B'!$1:$8</definedName>
    <definedName name="_xlnm.Print_Titles" localSheetId="7">'B.2 B'!$1:$13</definedName>
    <definedName name="_xlnm.Print_Titles" localSheetId="8">'B.2 F'!$1:$13</definedName>
    <definedName name="_xlnm.Print_Titles" localSheetId="9">'B.3 B'!$1:$12</definedName>
    <definedName name="_xlnm.Print_Titles" localSheetId="10">'B.3 F'!$1:$12</definedName>
    <definedName name="_xlnm.Print_Titles" localSheetId="11">'B.3.1 F'!$1:$12</definedName>
    <definedName name="_xlnm.Print_Titles" localSheetId="18">'B.5 B'!$1:$11</definedName>
    <definedName name="_xlnm.Print_Titles" localSheetId="19">'B.5 F'!$1:$11</definedName>
    <definedName name="_xlnm.Print_Titles" localSheetId="20">'B.6 B'!$1:$11</definedName>
    <definedName name="_xlnm.Print_Titles" localSheetId="21">'B.6 F'!$1:$11</definedName>
    <definedName name="_xlnm.Print_Titles" localSheetId="33">'C.2.1 B'!$1:$12</definedName>
    <definedName name="_xlnm.Print_Titles" localSheetId="34">'C.2.1 F'!$1:$12</definedName>
    <definedName name="_xlnm.Print_Titles" localSheetId="36">'C.2.2 B 02'!$1:$11</definedName>
    <definedName name="_xlnm.Print_Titles" localSheetId="35">'C.2.2 B 09'!$1:$11</definedName>
    <definedName name="_xlnm.Print_Titles" localSheetId="37">'C.2.2 B 12'!$1:$11</definedName>
    <definedName name="_xlnm.Print_Titles" localSheetId="38">'C.2.2 B 91'!$1:$11</definedName>
    <definedName name="_xlnm.Print_Titles" localSheetId="40">'C.2.2-F 02'!$1:$11</definedName>
    <definedName name="_xlnm.Print_Titles" localSheetId="39">'C.2.2-F 09'!$1:$11</definedName>
    <definedName name="_xlnm.Print_Titles" localSheetId="41">'C.2.2-F 12'!$1:$11</definedName>
    <definedName name="_xlnm.Print_Titles" localSheetId="42">'C.2.2-F 91'!$1:$11</definedName>
    <definedName name="_xlnm.Print_Titles" localSheetId="43">'C.2.3 B'!$1:$10</definedName>
    <definedName name="_xlnm.Print_Titles" localSheetId="44">'C.2.3 F'!$1:$10</definedName>
    <definedName name="_xlnm.Print_Titles" localSheetId="46">D.1!$1:$9</definedName>
    <definedName name="_xlnm.Print_Titles" localSheetId="53">F.1!$1:$11</definedName>
    <definedName name="_xlnm.Print_Titles" localSheetId="60">F.6!$1:$9</definedName>
    <definedName name="_xlnm.Print_Titles" localSheetId="83">K!$1:$13</definedName>
    <definedName name="_xlnm.Print_Titles" localSheetId="24">'WP B.5 B'!$1:$11</definedName>
    <definedName name="_xlnm.Print_Titles" localSheetId="26">'WP B.5 F'!$1:$11</definedName>
    <definedName name="_xlnm.Print_Titles" localSheetId="27">'WP B.5 F1'!$1:$18</definedName>
    <definedName name="_xlnm.Print_Titles" localSheetId="28">'WP B.6 B'!$1:$11</definedName>
    <definedName name="_xlnm.Print_Titles" localSheetId="29">'WP B.6 F'!$1:$11</definedName>
    <definedName name="ROR" localSheetId="64">#REF!</definedName>
    <definedName name="ROR" localSheetId="63">#REF!</definedName>
    <definedName name="ROR">#REF!</definedName>
    <definedName name="SCHEDA">A.1!$A$1:$K$44</definedName>
    <definedName name="solver_adj" localSheetId="19" hidden="1">'B.5 F'!$I$73</definedName>
    <definedName name="solver_cvg" localSheetId="19" hidden="1">0.0001</definedName>
    <definedName name="solver_drv" localSheetId="19" hidden="1">1</definedName>
    <definedName name="solver_eng" localSheetId="19" hidden="1">1</definedName>
    <definedName name="solver_est" localSheetId="19" hidden="1">1</definedName>
    <definedName name="solver_itr" localSheetId="19" hidden="1">2147483647</definedName>
    <definedName name="solver_mip" localSheetId="19" hidden="1">2147483647</definedName>
    <definedName name="solver_mni" localSheetId="19" hidden="1">30</definedName>
    <definedName name="solver_mrt" localSheetId="19" hidden="1">0.075</definedName>
    <definedName name="solver_msl" localSheetId="19" hidden="1">2</definedName>
    <definedName name="solver_neg" localSheetId="19" hidden="1">2</definedName>
    <definedName name="solver_nod" localSheetId="19" hidden="1">2147483647</definedName>
    <definedName name="solver_num" localSheetId="19" hidden="1">0</definedName>
    <definedName name="solver_nwt" localSheetId="19" hidden="1">1</definedName>
    <definedName name="solver_opt" localSheetId="19" hidden="1">'B.5 F'!$K$73</definedName>
    <definedName name="solver_pre" localSheetId="19" hidden="1">0.000001</definedName>
    <definedName name="solver_rbv" localSheetId="19" hidden="1">1</definedName>
    <definedName name="solver_rlx" localSheetId="19" hidden="1">2</definedName>
    <definedName name="solver_rsd" localSheetId="19" hidden="1">0</definedName>
    <definedName name="solver_scl" localSheetId="19" hidden="1">1</definedName>
    <definedName name="solver_sho" localSheetId="19" hidden="1">2</definedName>
    <definedName name="solver_ssz" localSheetId="19" hidden="1">100</definedName>
    <definedName name="solver_tim" localSheetId="19" hidden="1">2147483647</definedName>
    <definedName name="solver_tol" localSheetId="19" hidden="1">0.01</definedName>
    <definedName name="solver_typ" localSheetId="19" hidden="1">3</definedName>
    <definedName name="solver_val" localSheetId="19" hidden="1">0</definedName>
    <definedName name="solver_ver" localSheetId="19" hidden="1">3</definedName>
    <definedName name="stdrate" localSheetId="64">#REF!</definedName>
    <definedName name="stdrate" localSheetId="63">#REF!</definedName>
    <definedName name="stdr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9" i="39" l="1"/>
  <c r="R19" i="39"/>
  <c r="Q19" i="39"/>
  <c r="O19" i="39"/>
  <c r="M19" i="39"/>
  <c r="S18" i="39"/>
  <c r="R18" i="39"/>
  <c r="Q18" i="39"/>
  <c r="O18" i="39"/>
  <c r="M18" i="39"/>
  <c r="S17" i="39"/>
  <c r="R17" i="39"/>
  <c r="Q17" i="39"/>
  <c r="O17" i="39"/>
  <c r="M17" i="39"/>
  <c r="S16" i="39"/>
  <c r="R16" i="39"/>
  <c r="Q16" i="39"/>
  <c r="O16" i="39"/>
  <c r="M16" i="39"/>
  <c r="S28" i="41"/>
  <c r="R28" i="41"/>
  <c r="Q28" i="41"/>
  <c r="O28" i="41"/>
  <c r="M28" i="41"/>
  <c r="S27" i="41"/>
  <c r="R27" i="41"/>
  <c r="Q27" i="41"/>
  <c r="O27" i="41"/>
  <c r="M27" i="41"/>
  <c r="S26" i="41"/>
  <c r="R26" i="41"/>
  <c r="Q26" i="41"/>
  <c r="O26" i="41"/>
  <c r="M26" i="41"/>
  <c r="S25" i="41"/>
  <c r="R25" i="41"/>
  <c r="Q25" i="41"/>
  <c r="O25" i="41"/>
  <c r="M25" i="41"/>
  <c r="S19" i="41"/>
  <c r="R19" i="41"/>
  <c r="Q19" i="41"/>
  <c r="S18" i="41"/>
  <c r="R18" i="41"/>
  <c r="Q18" i="41"/>
  <c r="S17" i="41"/>
  <c r="R17" i="41"/>
  <c r="Q17" i="41"/>
  <c r="S16" i="41"/>
  <c r="R16" i="41"/>
  <c r="Q16" i="41"/>
  <c r="P21" i="42"/>
  <c r="O21" i="42"/>
  <c r="N21" i="42"/>
  <c r="P19" i="42"/>
  <c r="O19" i="42"/>
  <c r="N19" i="42"/>
  <c r="P17" i="42"/>
  <c r="O17" i="42"/>
  <c r="N17" i="42"/>
  <c r="P16" i="42"/>
  <c r="O16" i="42"/>
  <c r="N16" i="42"/>
  <c r="O28" i="222"/>
  <c r="N28" i="222"/>
  <c r="M28" i="222"/>
  <c r="L28" i="222"/>
  <c r="K28" i="222"/>
  <c r="J28" i="222"/>
  <c r="I28" i="222"/>
  <c r="H28" i="222"/>
  <c r="G28" i="222"/>
  <c r="F28" i="222"/>
  <c r="E28" i="222"/>
  <c r="D28" i="222"/>
  <c r="O27" i="222"/>
  <c r="N27" i="222"/>
  <c r="M27" i="222"/>
  <c r="L27" i="222"/>
  <c r="K27" i="222"/>
  <c r="J27" i="222"/>
  <c r="I27" i="222"/>
  <c r="H27" i="222"/>
  <c r="G27" i="222"/>
  <c r="F27" i="222"/>
  <c r="E27" i="222"/>
  <c r="D27" i="222"/>
  <c r="O26" i="222"/>
  <c r="N26" i="222"/>
  <c r="M26" i="222"/>
  <c r="L26" i="222"/>
  <c r="K26" i="222"/>
  <c r="J26" i="222"/>
  <c r="I26" i="222"/>
  <c r="H26" i="222"/>
  <c r="G26" i="222"/>
  <c r="F26" i="222"/>
  <c r="E26" i="222"/>
  <c r="D26" i="222"/>
  <c r="O25" i="222"/>
  <c r="N25" i="222"/>
  <c r="M25" i="222"/>
  <c r="L25" i="222"/>
  <c r="K25" i="222"/>
  <c r="J25" i="222"/>
  <c r="I25" i="222"/>
  <c r="H25" i="222"/>
  <c r="G25" i="222"/>
  <c r="F25" i="222"/>
  <c r="E25" i="222"/>
  <c r="D25" i="222"/>
  <c r="O23" i="222"/>
  <c r="N23" i="222"/>
  <c r="M23" i="222"/>
  <c r="L23" i="222"/>
  <c r="K23" i="222"/>
  <c r="J23" i="222"/>
  <c r="I23" i="222"/>
  <c r="H23" i="222"/>
  <c r="G23" i="222"/>
  <c r="F23" i="222"/>
  <c r="E23" i="222"/>
  <c r="D23" i="222"/>
  <c r="O20" i="222"/>
  <c r="N20" i="222"/>
  <c r="M20" i="222"/>
  <c r="L20" i="222"/>
  <c r="K20" i="222"/>
  <c r="J20" i="222"/>
  <c r="I20" i="222"/>
  <c r="H20" i="222"/>
  <c r="G20" i="222"/>
  <c r="F20" i="222"/>
  <c r="E20" i="222"/>
  <c r="D20" i="222"/>
  <c r="O19" i="222"/>
  <c r="N19" i="222"/>
  <c r="M19" i="222"/>
  <c r="L19" i="222"/>
  <c r="K19" i="222"/>
  <c r="J19" i="222"/>
  <c r="I19" i="222"/>
  <c r="H19" i="222"/>
  <c r="G19" i="222"/>
  <c r="F19" i="222"/>
  <c r="E19" i="222"/>
  <c r="D19" i="222"/>
  <c r="O17" i="222"/>
  <c r="N17" i="222"/>
  <c r="M17" i="222"/>
  <c r="L17" i="222"/>
  <c r="K17" i="222"/>
  <c r="J17" i="222"/>
  <c r="I17" i="222"/>
  <c r="H17" i="222"/>
  <c r="G17" i="222"/>
  <c r="F17" i="222"/>
  <c r="E17" i="222"/>
  <c r="D17" i="222"/>
  <c r="O28" i="44"/>
  <c r="N28" i="44"/>
  <c r="M28" i="44"/>
  <c r="L28" i="44"/>
  <c r="K28" i="44"/>
  <c r="J28" i="44"/>
  <c r="O27" i="44"/>
  <c r="N27" i="44"/>
  <c r="M27" i="44"/>
  <c r="L27" i="44"/>
  <c r="K27" i="44"/>
  <c r="J27" i="44"/>
  <c r="O26" i="44"/>
  <c r="N26" i="44"/>
  <c r="M26" i="44"/>
  <c r="L26" i="44"/>
  <c r="K26" i="44"/>
  <c r="J26" i="44"/>
  <c r="O25" i="44"/>
  <c r="N25" i="44"/>
  <c r="M25" i="44"/>
  <c r="L25" i="44"/>
  <c r="K25" i="44"/>
  <c r="J25" i="44"/>
  <c r="O23" i="44"/>
  <c r="N23" i="44"/>
  <c r="M23" i="44"/>
  <c r="L23" i="44"/>
  <c r="K23" i="44"/>
  <c r="J23" i="44"/>
  <c r="O20" i="44"/>
  <c r="N20" i="44"/>
  <c r="M20" i="44"/>
  <c r="L20" i="44"/>
  <c r="K20" i="44"/>
  <c r="J20" i="44"/>
  <c r="O19" i="44"/>
  <c r="N19" i="44"/>
  <c r="M19" i="44"/>
  <c r="L19" i="44"/>
  <c r="K19" i="44"/>
  <c r="J19" i="44"/>
  <c r="O17" i="44"/>
  <c r="N17" i="44"/>
  <c r="M17" i="44"/>
  <c r="L17" i="44"/>
  <c r="K17" i="44"/>
  <c r="J17" i="44"/>
  <c r="O34" i="216"/>
  <c r="N34" i="216"/>
  <c r="M34" i="216"/>
  <c r="L34" i="216"/>
  <c r="K34" i="216"/>
  <c r="J34" i="216"/>
  <c r="I34" i="216"/>
  <c r="H34" i="216"/>
  <c r="G34" i="216"/>
  <c r="F34" i="216"/>
  <c r="E34" i="216"/>
  <c r="D34" i="216"/>
  <c r="C34" i="216"/>
  <c r="O34" i="214"/>
  <c r="N34" i="214"/>
  <c r="M34" i="214"/>
  <c r="L34" i="214"/>
  <c r="K34" i="214"/>
  <c r="J34" i="214"/>
  <c r="O12" i="39"/>
  <c r="M12" i="39"/>
  <c r="H132" i="10"/>
  <c r="G132" i="10"/>
  <c r="O14" i="44"/>
  <c r="N14" i="44"/>
  <c r="M14" i="44"/>
  <c r="L14" i="44"/>
  <c r="K14" i="44"/>
  <c r="J14" i="44"/>
  <c r="D259" i="237"/>
  <c r="D258" i="237"/>
  <c r="D257" i="237"/>
  <c r="D256" i="237"/>
  <c r="D255" i="237"/>
  <c r="D254" i="237"/>
  <c r="D253" i="237"/>
  <c r="D252" i="237"/>
  <c r="D251" i="237"/>
  <c r="D250" i="237"/>
  <c r="D249" i="237"/>
  <c r="D248" i="237"/>
  <c r="D247" i="237"/>
  <c r="D246" i="237"/>
  <c r="D245" i="237"/>
  <c r="D244" i="237"/>
  <c r="D243" i="237"/>
  <c r="D242" i="237"/>
  <c r="D241" i="237"/>
  <c r="D240" i="237"/>
  <c r="D239" i="237"/>
  <c r="D238" i="237"/>
  <c r="D237" i="237"/>
  <c r="D236" i="237"/>
  <c r="D235" i="237"/>
  <c r="D234" i="237"/>
  <c r="D233" i="237"/>
  <c r="D232" i="237"/>
  <c r="D231" i="237"/>
  <c r="D223" i="237"/>
  <c r="D222" i="237"/>
  <c r="D221" i="237"/>
  <c r="D220" i="237"/>
  <c r="D219" i="237"/>
  <c r="D218" i="237"/>
  <c r="D217" i="237"/>
  <c r="D216" i="237"/>
  <c r="D215" i="237"/>
  <c r="D214" i="237"/>
  <c r="D213" i="237"/>
  <c r="D212" i="237"/>
  <c r="D211" i="237"/>
  <c r="D210" i="237"/>
  <c r="D209" i="237"/>
  <c r="D208" i="237"/>
  <c r="D207" i="237"/>
  <c r="D206" i="237"/>
  <c r="D205" i="237"/>
  <c r="D204" i="237"/>
  <c r="D203" i="237"/>
  <c r="D202" i="237"/>
  <c r="D201" i="237"/>
  <c r="D200" i="237"/>
  <c r="D199" i="237"/>
  <c r="D198" i="237"/>
  <c r="D197" i="237"/>
  <c r="D196" i="237"/>
  <c r="D195" i="237"/>
  <c r="D194" i="237"/>
  <c r="D193" i="237"/>
  <c r="D192" i="237"/>
  <c r="D191" i="237"/>
  <c r="D190" i="237"/>
  <c r="D189" i="237"/>
  <c r="D188" i="237"/>
  <c r="D187" i="237"/>
  <c r="D186" i="237"/>
  <c r="D176" i="237"/>
  <c r="D175" i="237"/>
  <c r="D174" i="237"/>
  <c r="D173" i="237"/>
  <c r="D172" i="237"/>
  <c r="D171" i="237"/>
  <c r="D170" i="237"/>
  <c r="D169" i="237"/>
  <c r="D168" i="237"/>
  <c r="D167" i="237"/>
  <c r="D166" i="237"/>
  <c r="D165" i="237"/>
  <c r="D164" i="237"/>
  <c r="D163" i="237"/>
  <c r="D162" i="237"/>
  <c r="D161" i="237"/>
  <c r="D160" i="237"/>
  <c r="D159" i="237"/>
  <c r="D158" i="237"/>
  <c r="D157" i="237"/>
  <c r="D156" i="237"/>
  <c r="D126" i="237"/>
  <c r="D125" i="237"/>
  <c r="D114" i="237"/>
  <c r="D113" i="237"/>
  <c r="D112" i="237"/>
  <c r="D111" i="237"/>
  <c r="D110" i="237"/>
  <c r="D109" i="237"/>
  <c r="D108" i="237"/>
  <c r="D107" i="237"/>
  <c r="D106" i="237"/>
  <c r="D105" i="237"/>
  <c r="D104" i="237"/>
  <c r="D103" i="237"/>
  <c r="D102" i="237"/>
  <c r="D101" i="237"/>
  <c r="D100" i="237"/>
  <c r="D99" i="237"/>
  <c r="D98" i="237"/>
  <c r="D97" i="237"/>
  <c r="D96" i="237"/>
  <c r="D95" i="237"/>
  <c r="D94" i="237"/>
  <c r="D93" i="237"/>
  <c r="D92" i="237"/>
  <c r="D91" i="237"/>
  <c r="D90" i="237"/>
  <c r="D89" i="237"/>
  <c r="D84" i="237"/>
  <c r="D83" i="237"/>
  <c r="D82" i="237"/>
  <c r="D81" i="237"/>
  <c r="D80" i="237"/>
  <c r="D79" i="237"/>
  <c r="D78" i="237"/>
  <c r="D77" i="237"/>
  <c r="D76" i="237"/>
  <c r="D75" i="237"/>
  <c r="D74" i="237"/>
  <c r="D73" i="237"/>
  <c r="D72" i="237"/>
  <c r="D71" i="237"/>
  <c r="D70" i="237"/>
  <c r="D69" i="237"/>
  <c r="D68" i="237"/>
  <c r="D67" i="237"/>
  <c r="D66" i="237"/>
  <c r="D65" i="237"/>
  <c r="D64" i="237"/>
  <c r="D63" i="237"/>
  <c r="D58" i="237"/>
  <c r="D57" i="237"/>
  <c r="D56" i="237"/>
  <c r="D55" i="237"/>
  <c r="D54" i="237"/>
  <c r="D53" i="237"/>
  <c r="D52" i="237"/>
  <c r="D51" i="237"/>
  <c r="D50" i="237"/>
  <c r="D45" i="237"/>
  <c r="D44" i="237"/>
  <c r="D43" i="237"/>
  <c r="D42" i="237"/>
  <c r="D41" i="237"/>
  <c r="D40" i="237"/>
  <c r="D39" i="237"/>
  <c r="D38" i="237"/>
  <c r="D37" i="237"/>
  <c r="D36" i="237"/>
  <c r="D35" i="237"/>
  <c r="D34" i="237"/>
  <c r="D33" i="237"/>
  <c r="D32" i="237"/>
  <c r="D31" i="237"/>
  <c r="D30" i="237"/>
  <c r="D29" i="237"/>
  <c r="D24" i="237"/>
  <c r="D23" i="237"/>
  <c r="D22" i="237"/>
  <c r="D17" i="237"/>
  <c r="D16" i="237"/>
  <c r="K262" i="209"/>
  <c r="K261" i="209"/>
  <c r="K260" i="209"/>
  <c r="K259" i="209"/>
  <c r="K258" i="209"/>
  <c r="K257" i="209"/>
  <c r="K256" i="209"/>
  <c r="K255" i="209"/>
  <c r="K254" i="209"/>
  <c r="K253" i="209"/>
  <c r="K252" i="209"/>
  <c r="K251" i="209"/>
  <c r="K250" i="209"/>
  <c r="K249" i="209"/>
  <c r="K248" i="209"/>
  <c r="K247" i="209"/>
  <c r="K246" i="209"/>
  <c r="K245" i="209"/>
  <c r="K244" i="209"/>
  <c r="K243" i="209"/>
  <c r="K242" i="209"/>
  <c r="K241" i="209"/>
  <c r="K240" i="209"/>
  <c r="K239" i="209"/>
  <c r="K238" i="209"/>
  <c r="K237" i="209"/>
  <c r="K236" i="209"/>
  <c r="K235" i="209"/>
  <c r="K234" i="209"/>
  <c r="K233" i="209"/>
  <c r="D262" i="209"/>
  <c r="D261" i="209"/>
  <c r="D260" i="209"/>
  <c r="D259" i="209"/>
  <c r="D258" i="209"/>
  <c r="D257" i="209"/>
  <c r="D256" i="209"/>
  <c r="D255" i="209"/>
  <c r="D254" i="209"/>
  <c r="D253" i="209"/>
  <c r="D252" i="209"/>
  <c r="D251" i="209"/>
  <c r="D250" i="209"/>
  <c r="D249" i="209"/>
  <c r="D248" i="209"/>
  <c r="D247" i="209"/>
  <c r="D246" i="209"/>
  <c r="D245" i="209"/>
  <c r="D244" i="209"/>
  <c r="D243" i="209"/>
  <c r="D242" i="209"/>
  <c r="D241" i="209"/>
  <c r="D240" i="209"/>
  <c r="D239" i="209"/>
  <c r="D238" i="209"/>
  <c r="D237" i="209"/>
  <c r="D236" i="209"/>
  <c r="D235" i="209"/>
  <c r="D234" i="209"/>
  <c r="D233" i="209"/>
  <c r="K226" i="209"/>
  <c r="K225" i="209"/>
  <c r="K224" i="209"/>
  <c r="K223" i="209"/>
  <c r="K222" i="209"/>
  <c r="K221" i="209"/>
  <c r="K220" i="209"/>
  <c r="K219" i="209"/>
  <c r="K218" i="209"/>
  <c r="K217" i="209"/>
  <c r="K216" i="209"/>
  <c r="K215" i="209"/>
  <c r="K214" i="209"/>
  <c r="K213" i="209"/>
  <c r="K212" i="209"/>
  <c r="K211" i="209"/>
  <c r="K210" i="209"/>
  <c r="K209" i="209"/>
  <c r="K208" i="209"/>
  <c r="K207" i="209"/>
  <c r="K206" i="209"/>
  <c r="K205" i="209"/>
  <c r="K204" i="209"/>
  <c r="K203" i="209"/>
  <c r="K202" i="209"/>
  <c r="K201" i="209"/>
  <c r="K200" i="209"/>
  <c r="K199" i="209"/>
  <c r="K198" i="209"/>
  <c r="K197" i="209"/>
  <c r="K196" i="209"/>
  <c r="K195" i="209"/>
  <c r="K194" i="209"/>
  <c r="K193" i="209"/>
  <c r="K192" i="209"/>
  <c r="K191" i="209"/>
  <c r="K190" i="209"/>
  <c r="K189" i="209"/>
  <c r="K188" i="209"/>
  <c r="D226" i="209"/>
  <c r="D225" i="209"/>
  <c r="D224" i="209"/>
  <c r="D223" i="209"/>
  <c r="D222" i="209"/>
  <c r="D221" i="209"/>
  <c r="D220" i="209"/>
  <c r="D219" i="209"/>
  <c r="D218" i="209"/>
  <c r="D217" i="209"/>
  <c r="D216" i="209"/>
  <c r="D215" i="209"/>
  <c r="D214" i="209"/>
  <c r="D213" i="209"/>
  <c r="D212" i="209"/>
  <c r="D211" i="209"/>
  <c r="D210" i="209"/>
  <c r="D209" i="209"/>
  <c r="D208" i="209"/>
  <c r="D207" i="209"/>
  <c r="D206" i="209"/>
  <c r="D205" i="209"/>
  <c r="D204" i="209"/>
  <c r="D203" i="209"/>
  <c r="D202" i="209"/>
  <c r="D201" i="209"/>
  <c r="D200" i="209"/>
  <c r="D199" i="209"/>
  <c r="D198" i="209"/>
  <c r="D197" i="209"/>
  <c r="D196" i="209"/>
  <c r="D195" i="209"/>
  <c r="D194" i="209"/>
  <c r="D193" i="209"/>
  <c r="D192" i="209"/>
  <c r="D191" i="209"/>
  <c r="D190" i="209"/>
  <c r="D189" i="209"/>
  <c r="D188" i="209"/>
  <c r="K179" i="209"/>
  <c r="K178" i="209"/>
  <c r="K177" i="209"/>
  <c r="K176" i="209"/>
  <c r="K175" i="209"/>
  <c r="K174" i="209"/>
  <c r="K173" i="209"/>
  <c r="K172" i="209"/>
  <c r="K171" i="209"/>
  <c r="K170" i="209"/>
  <c r="K169" i="209"/>
  <c r="K168" i="209"/>
  <c r="K167" i="209"/>
  <c r="K166" i="209"/>
  <c r="K165" i="209"/>
  <c r="K164" i="209"/>
  <c r="K163" i="209"/>
  <c r="K162" i="209"/>
  <c r="K161" i="209"/>
  <c r="K160" i="209"/>
  <c r="K159" i="209"/>
  <c r="K158" i="209"/>
  <c r="D179" i="209"/>
  <c r="D178" i="209"/>
  <c r="D177" i="209"/>
  <c r="D176" i="209"/>
  <c r="D175" i="209"/>
  <c r="D174" i="209"/>
  <c r="D173" i="209"/>
  <c r="D172" i="209"/>
  <c r="D171" i="209"/>
  <c r="D170" i="209"/>
  <c r="D169" i="209"/>
  <c r="D168" i="209"/>
  <c r="D167" i="209"/>
  <c r="D166" i="209"/>
  <c r="D165" i="209"/>
  <c r="D164" i="209"/>
  <c r="D163" i="209"/>
  <c r="D162" i="209"/>
  <c r="D161" i="209"/>
  <c r="D160" i="209"/>
  <c r="D159" i="209"/>
  <c r="D158" i="209"/>
  <c r="K128" i="209"/>
  <c r="K127" i="209"/>
  <c r="D128" i="209"/>
  <c r="D127" i="209"/>
  <c r="K116" i="209"/>
  <c r="K115" i="209"/>
  <c r="K114" i="209"/>
  <c r="K113" i="209"/>
  <c r="K112" i="209"/>
  <c r="K111" i="209"/>
  <c r="K110" i="209"/>
  <c r="K109" i="209"/>
  <c r="K108" i="209"/>
  <c r="K107" i="209"/>
  <c r="K106" i="209"/>
  <c r="K105" i="209"/>
  <c r="K104" i="209"/>
  <c r="K103" i="209"/>
  <c r="K102" i="209"/>
  <c r="K101" i="209"/>
  <c r="K100" i="209"/>
  <c r="K99" i="209"/>
  <c r="K98" i="209"/>
  <c r="K97" i="209"/>
  <c r="K96" i="209"/>
  <c r="K95" i="209"/>
  <c r="K94" i="209"/>
  <c r="K93" i="209"/>
  <c r="K92" i="209"/>
  <c r="K91" i="209"/>
  <c r="K90" i="209"/>
  <c r="K89" i="209"/>
  <c r="D116" i="209"/>
  <c r="D115" i="209"/>
  <c r="D114" i="209"/>
  <c r="D113" i="209"/>
  <c r="D112" i="209"/>
  <c r="D111" i="209"/>
  <c r="D110" i="209"/>
  <c r="D109" i="209"/>
  <c r="D108" i="209"/>
  <c r="D107" i="209"/>
  <c r="D106" i="209"/>
  <c r="D105" i="209"/>
  <c r="D104" i="209"/>
  <c r="D103" i="209"/>
  <c r="D102" i="209"/>
  <c r="D101" i="209"/>
  <c r="D100" i="209"/>
  <c r="D99" i="209"/>
  <c r="D98" i="209"/>
  <c r="D97" i="209"/>
  <c r="D96" i="209"/>
  <c r="D95" i="209"/>
  <c r="D94" i="209"/>
  <c r="D93" i="209"/>
  <c r="D92" i="209"/>
  <c r="D91" i="209"/>
  <c r="D90" i="209"/>
  <c r="D89" i="209"/>
  <c r="K84" i="209"/>
  <c r="K83" i="209"/>
  <c r="K82" i="209"/>
  <c r="K81" i="209"/>
  <c r="K80" i="209"/>
  <c r="K79" i="209"/>
  <c r="K78" i="209"/>
  <c r="K77" i="209"/>
  <c r="K76" i="209"/>
  <c r="K75" i="209"/>
  <c r="K74" i="209"/>
  <c r="K73" i="209"/>
  <c r="K72" i="209"/>
  <c r="K71" i="209"/>
  <c r="K70" i="209"/>
  <c r="K69" i="209"/>
  <c r="K68" i="209"/>
  <c r="K67" i="209"/>
  <c r="K66" i="209"/>
  <c r="K65" i="209"/>
  <c r="K64" i="209"/>
  <c r="K63" i="209"/>
  <c r="D84" i="209"/>
  <c r="D83" i="209"/>
  <c r="D82" i="209"/>
  <c r="D81" i="209"/>
  <c r="D80" i="209"/>
  <c r="D79" i="209"/>
  <c r="D78" i="209"/>
  <c r="D77" i="209"/>
  <c r="D76" i="209"/>
  <c r="D75" i="209"/>
  <c r="D74" i="209"/>
  <c r="D73" i="209"/>
  <c r="D72" i="209"/>
  <c r="D71" i="209"/>
  <c r="D70" i="209"/>
  <c r="D69" i="209"/>
  <c r="D68" i="209"/>
  <c r="D67" i="209"/>
  <c r="D66" i="209"/>
  <c r="D65" i="209"/>
  <c r="D64" i="209"/>
  <c r="D63" i="209"/>
  <c r="K58" i="209"/>
  <c r="K57" i="209"/>
  <c r="K56" i="209"/>
  <c r="K55" i="209"/>
  <c r="K54" i="209"/>
  <c r="K53" i="209"/>
  <c r="K52" i="209"/>
  <c r="K51" i="209"/>
  <c r="K50" i="209"/>
  <c r="D58" i="209"/>
  <c r="D57" i="209"/>
  <c r="D56" i="209"/>
  <c r="D55" i="209"/>
  <c r="D54" i="209"/>
  <c r="D53" i="209"/>
  <c r="D52" i="209"/>
  <c r="D51" i="209"/>
  <c r="D50" i="209"/>
  <c r="K45" i="209"/>
  <c r="K44" i="209"/>
  <c r="K43" i="209"/>
  <c r="K42" i="209"/>
  <c r="K41" i="209"/>
  <c r="K40" i="209"/>
  <c r="K39" i="209"/>
  <c r="K38" i="209"/>
  <c r="K37" i="209"/>
  <c r="K36" i="209"/>
  <c r="K35" i="209"/>
  <c r="K34" i="209"/>
  <c r="K33" i="209"/>
  <c r="K32" i="209"/>
  <c r="K31" i="209"/>
  <c r="K30" i="209"/>
  <c r="K29" i="209"/>
  <c r="D45" i="209"/>
  <c r="D44" i="209"/>
  <c r="D43" i="209"/>
  <c r="D42" i="209"/>
  <c r="D41" i="209"/>
  <c r="D40" i="209"/>
  <c r="D39" i="209"/>
  <c r="D38" i="209"/>
  <c r="D37" i="209"/>
  <c r="D36" i="209"/>
  <c r="D35" i="209"/>
  <c r="D34" i="209"/>
  <c r="D33" i="209"/>
  <c r="D32" i="209"/>
  <c r="D31" i="209"/>
  <c r="D30" i="209"/>
  <c r="D29" i="209"/>
  <c r="K24" i="209"/>
  <c r="K23" i="209"/>
  <c r="K22" i="209"/>
  <c r="D24" i="209"/>
  <c r="D23" i="209"/>
  <c r="D22" i="209"/>
  <c r="K17" i="209"/>
  <c r="K16" i="209"/>
  <c r="D17" i="209"/>
  <c r="D16" i="209"/>
  <c r="K260" i="236"/>
  <c r="K259" i="236"/>
  <c r="K258" i="236"/>
  <c r="K257" i="236"/>
  <c r="K256" i="236"/>
  <c r="K255" i="236"/>
  <c r="K254" i="236"/>
  <c r="K253" i="236"/>
  <c r="K252" i="236"/>
  <c r="K251" i="236"/>
  <c r="K250" i="236"/>
  <c r="K249" i="236"/>
  <c r="K248" i="236"/>
  <c r="K247" i="236"/>
  <c r="K246" i="236"/>
  <c r="K245" i="236"/>
  <c r="K244" i="236"/>
  <c r="K243" i="236"/>
  <c r="K242" i="236"/>
  <c r="K241" i="236"/>
  <c r="K240" i="236"/>
  <c r="K239" i="236"/>
  <c r="K238" i="236"/>
  <c r="K237" i="236"/>
  <c r="K236" i="236"/>
  <c r="K235" i="236"/>
  <c r="K234" i="236"/>
  <c r="K233" i="236"/>
  <c r="K232" i="236"/>
  <c r="K231" i="236"/>
  <c r="D260" i="236"/>
  <c r="D259" i="236"/>
  <c r="D258" i="236"/>
  <c r="D257" i="236"/>
  <c r="D256" i="236"/>
  <c r="D255" i="236"/>
  <c r="D254" i="236"/>
  <c r="D253" i="236"/>
  <c r="D252" i="236"/>
  <c r="D251" i="236"/>
  <c r="D250" i="236"/>
  <c r="D249" i="236"/>
  <c r="D248" i="236"/>
  <c r="D247" i="236"/>
  <c r="D246" i="236"/>
  <c r="D245" i="236"/>
  <c r="D244" i="236"/>
  <c r="D243" i="236"/>
  <c r="D242" i="236"/>
  <c r="D241" i="236"/>
  <c r="D240" i="236"/>
  <c r="D239" i="236"/>
  <c r="D238" i="236"/>
  <c r="D237" i="236"/>
  <c r="D236" i="236"/>
  <c r="D235" i="236"/>
  <c r="D234" i="236"/>
  <c r="D233" i="236"/>
  <c r="D232" i="236"/>
  <c r="D231" i="236"/>
  <c r="K224" i="236"/>
  <c r="K223" i="236"/>
  <c r="K222" i="236"/>
  <c r="K221" i="236"/>
  <c r="K220" i="236"/>
  <c r="K219" i="236"/>
  <c r="K218" i="236"/>
  <c r="K217" i="236"/>
  <c r="K216" i="236"/>
  <c r="K215" i="236"/>
  <c r="K214" i="236"/>
  <c r="K213" i="236"/>
  <c r="K212" i="236"/>
  <c r="K211" i="236"/>
  <c r="K210" i="236"/>
  <c r="K209" i="236"/>
  <c r="K208" i="236"/>
  <c r="K207" i="236"/>
  <c r="K206" i="236"/>
  <c r="K205" i="236"/>
  <c r="K204" i="236"/>
  <c r="K203" i="236"/>
  <c r="K202" i="236"/>
  <c r="K201" i="236"/>
  <c r="K200" i="236"/>
  <c r="K199" i="236"/>
  <c r="K198" i="236"/>
  <c r="K197" i="236"/>
  <c r="K196" i="236"/>
  <c r="K195" i="236"/>
  <c r="K194" i="236"/>
  <c r="K193" i="236"/>
  <c r="K192" i="236"/>
  <c r="K191" i="236"/>
  <c r="K190" i="236"/>
  <c r="K189" i="236"/>
  <c r="K188" i="236"/>
  <c r="K187" i="236"/>
  <c r="K186" i="236"/>
  <c r="D224" i="236"/>
  <c r="D223" i="236"/>
  <c r="D222" i="236"/>
  <c r="D221" i="236"/>
  <c r="D220" i="236"/>
  <c r="D219" i="236"/>
  <c r="D218" i="236"/>
  <c r="D217" i="236"/>
  <c r="D216" i="236"/>
  <c r="D215" i="236"/>
  <c r="D214" i="236"/>
  <c r="D213" i="236"/>
  <c r="D212" i="236"/>
  <c r="D211" i="236"/>
  <c r="D210" i="236"/>
  <c r="D209" i="236"/>
  <c r="D208" i="236"/>
  <c r="D207" i="236"/>
  <c r="D206" i="236"/>
  <c r="D205" i="236"/>
  <c r="D204" i="236"/>
  <c r="D203" i="236"/>
  <c r="D202" i="236"/>
  <c r="D201" i="236"/>
  <c r="D200" i="236"/>
  <c r="D199" i="236"/>
  <c r="D198" i="236"/>
  <c r="D197" i="236"/>
  <c r="D196" i="236"/>
  <c r="D195" i="236"/>
  <c r="D194" i="236"/>
  <c r="D193" i="236"/>
  <c r="D192" i="236"/>
  <c r="D191" i="236"/>
  <c r="D190" i="236"/>
  <c r="D189" i="236"/>
  <c r="D188" i="236"/>
  <c r="D187" i="236"/>
  <c r="D186" i="236"/>
  <c r="K177" i="236"/>
  <c r="K176" i="236"/>
  <c r="K175" i="236"/>
  <c r="K174" i="236"/>
  <c r="K173" i="236"/>
  <c r="K172" i="236"/>
  <c r="K171" i="236"/>
  <c r="K170" i="236"/>
  <c r="K169" i="236"/>
  <c r="K168" i="236"/>
  <c r="K167" i="236"/>
  <c r="K166" i="236"/>
  <c r="K165" i="236"/>
  <c r="K164" i="236"/>
  <c r="K163" i="236"/>
  <c r="K162" i="236"/>
  <c r="K161" i="236"/>
  <c r="K160" i="236"/>
  <c r="K159" i="236"/>
  <c r="K158" i="236"/>
  <c r="K157" i="236"/>
  <c r="K156" i="236"/>
  <c r="D177" i="236"/>
  <c r="D176" i="236"/>
  <c r="D175" i="236"/>
  <c r="D174" i="236"/>
  <c r="D173" i="236"/>
  <c r="D172" i="236"/>
  <c r="D171" i="236"/>
  <c r="D170" i="236"/>
  <c r="D169" i="236"/>
  <c r="D168" i="236"/>
  <c r="D167" i="236"/>
  <c r="D166" i="236"/>
  <c r="D165" i="236"/>
  <c r="D164" i="236"/>
  <c r="D163" i="236"/>
  <c r="D162" i="236"/>
  <c r="D161" i="236"/>
  <c r="D160" i="236"/>
  <c r="D159" i="236"/>
  <c r="D158" i="236"/>
  <c r="D157" i="236"/>
  <c r="D156" i="236"/>
  <c r="K126" i="236"/>
  <c r="K125" i="236"/>
  <c r="D126" i="236"/>
  <c r="D125" i="236"/>
  <c r="K116" i="236"/>
  <c r="K115" i="236"/>
  <c r="K114" i="236"/>
  <c r="K113" i="236"/>
  <c r="K112" i="236"/>
  <c r="K111" i="236"/>
  <c r="K110" i="236"/>
  <c r="K109" i="236"/>
  <c r="K108" i="236"/>
  <c r="K107" i="236"/>
  <c r="K106" i="236"/>
  <c r="K105" i="236"/>
  <c r="K104" i="236"/>
  <c r="K103" i="236"/>
  <c r="K102" i="236"/>
  <c r="K101" i="236"/>
  <c r="K100" i="236"/>
  <c r="K99" i="236"/>
  <c r="K98" i="236"/>
  <c r="K97" i="236"/>
  <c r="K96" i="236"/>
  <c r="K95" i="236"/>
  <c r="K94" i="236"/>
  <c r="K93" i="236"/>
  <c r="K92" i="236"/>
  <c r="K91" i="236"/>
  <c r="K90" i="236"/>
  <c r="K89" i="236"/>
  <c r="D116" i="236"/>
  <c r="D115" i="236"/>
  <c r="D114" i="236"/>
  <c r="D113" i="236"/>
  <c r="D112" i="236"/>
  <c r="D111" i="236"/>
  <c r="D110" i="236"/>
  <c r="D109" i="236"/>
  <c r="D108" i="236"/>
  <c r="D107" i="236"/>
  <c r="D106" i="236"/>
  <c r="D105" i="236"/>
  <c r="D104" i="236"/>
  <c r="D103" i="236"/>
  <c r="D102" i="236"/>
  <c r="D101" i="236"/>
  <c r="D100" i="236"/>
  <c r="D99" i="236"/>
  <c r="D98" i="236"/>
  <c r="D97" i="236"/>
  <c r="D96" i="236"/>
  <c r="D95" i="236"/>
  <c r="D94" i="236"/>
  <c r="D93" i="236"/>
  <c r="D92" i="236"/>
  <c r="D91" i="236"/>
  <c r="D90" i="236"/>
  <c r="D89" i="236"/>
  <c r="K84" i="236"/>
  <c r="K83" i="236"/>
  <c r="K82" i="236"/>
  <c r="K81" i="236"/>
  <c r="K80" i="236"/>
  <c r="K79" i="236"/>
  <c r="K78" i="236"/>
  <c r="K77" i="236"/>
  <c r="K76" i="236"/>
  <c r="K75" i="236"/>
  <c r="K74" i="236"/>
  <c r="K73" i="236"/>
  <c r="K72" i="236"/>
  <c r="K71" i="236"/>
  <c r="K70" i="236"/>
  <c r="K69" i="236"/>
  <c r="K68" i="236"/>
  <c r="K67" i="236"/>
  <c r="K66" i="236"/>
  <c r="K65" i="236"/>
  <c r="K64" i="236"/>
  <c r="K63" i="236"/>
  <c r="D84" i="236"/>
  <c r="D83" i="236"/>
  <c r="D82" i="236"/>
  <c r="D81" i="236"/>
  <c r="D80" i="236"/>
  <c r="D79" i="236"/>
  <c r="D78" i="236"/>
  <c r="D77" i="236"/>
  <c r="D76" i="236"/>
  <c r="D75" i="236"/>
  <c r="D74" i="236"/>
  <c r="D73" i="236"/>
  <c r="D72" i="236"/>
  <c r="D71" i="236"/>
  <c r="D70" i="236"/>
  <c r="D69" i="236"/>
  <c r="D68" i="236"/>
  <c r="D67" i="236"/>
  <c r="D66" i="236"/>
  <c r="D65" i="236"/>
  <c r="D64" i="236"/>
  <c r="D63" i="236"/>
  <c r="K58" i="236"/>
  <c r="K57" i="236"/>
  <c r="K56" i="236"/>
  <c r="K55" i="236"/>
  <c r="K54" i="236"/>
  <c r="K53" i="236"/>
  <c r="K52" i="236"/>
  <c r="K51" i="236"/>
  <c r="K50" i="236"/>
  <c r="D58" i="236"/>
  <c r="D57" i="236"/>
  <c r="D56" i="236"/>
  <c r="D55" i="236"/>
  <c r="D54" i="236"/>
  <c r="D53" i="236"/>
  <c r="D52" i="236"/>
  <c r="D51" i="236"/>
  <c r="D50" i="236"/>
  <c r="K45" i="236"/>
  <c r="K44" i="236"/>
  <c r="K43" i="236"/>
  <c r="K42" i="236"/>
  <c r="K41" i="236"/>
  <c r="K40" i="236"/>
  <c r="K39" i="236"/>
  <c r="K38" i="236"/>
  <c r="K37" i="236"/>
  <c r="K36" i="236"/>
  <c r="K35" i="236"/>
  <c r="K34" i="236"/>
  <c r="K33" i="236"/>
  <c r="K32" i="236"/>
  <c r="K31" i="236"/>
  <c r="K30" i="236"/>
  <c r="K29" i="236"/>
  <c r="D45" i="236"/>
  <c r="D44" i="236"/>
  <c r="D43" i="236"/>
  <c r="D42" i="236"/>
  <c r="D41" i="236"/>
  <c r="D40" i="236"/>
  <c r="D39" i="236"/>
  <c r="D38" i="236"/>
  <c r="D37" i="236"/>
  <c r="D36" i="236"/>
  <c r="D35" i="236"/>
  <c r="D34" i="236"/>
  <c r="D33" i="236"/>
  <c r="D32" i="236"/>
  <c r="D31" i="236"/>
  <c r="D30" i="236"/>
  <c r="D29" i="236"/>
  <c r="K24" i="236"/>
  <c r="K23" i="236"/>
  <c r="K22" i="236"/>
  <c r="D24" i="236"/>
  <c r="D23" i="236"/>
  <c r="D22" i="236"/>
  <c r="K17" i="236"/>
  <c r="K16" i="236"/>
  <c r="D17" i="236"/>
  <c r="D16" i="236"/>
  <c r="K264" i="213"/>
  <c r="D264" i="213"/>
  <c r="K260" i="213"/>
  <c r="K259" i="213"/>
  <c r="K258" i="213"/>
  <c r="K257" i="213"/>
  <c r="K256" i="213"/>
  <c r="K255" i="213"/>
  <c r="K254" i="213"/>
  <c r="K253" i="213"/>
  <c r="K252" i="213"/>
  <c r="K251" i="213"/>
  <c r="K250" i="213"/>
  <c r="K249" i="213"/>
  <c r="K248" i="213"/>
  <c r="K247" i="213"/>
  <c r="K246" i="213"/>
  <c r="K245" i="213"/>
  <c r="K244" i="213"/>
  <c r="K243" i="213"/>
  <c r="K242" i="213"/>
  <c r="K241" i="213"/>
  <c r="K240" i="213"/>
  <c r="K239" i="213"/>
  <c r="K238" i="213"/>
  <c r="K237" i="213"/>
  <c r="K236" i="213"/>
  <c r="K235" i="213"/>
  <c r="K234" i="213"/>
  <c r="K233" i="213"/>
  <c r="K232" i="213"/>
  <c r="D260" i="213"/>
  <c r="D259" i="213"/>
  <c r="D258" i="213"/>
  <c r="D257" i="213"/>
  <c r="D256" i="213"/>
  <c r="D255" i="213"/>
  <c r="D254" i="213"/>
  <c r="D253" i="213"/>
  <c r="D252" i="213"/>
  <c r="D251" i="213"/>
  <c r="D250" i="213"/>
  <c r="D249" i="213"/>
  <c r="D248" i="213"/>
  <c r="D247" i="213"/>
  <c r="D246" i="213"/>
  <c r="D245" i="213"/>
  <c r="D244" i="213"/>
  <c r="D243" i="213"/>
  <c r="D242" i="213"/>
  <c r="D241" i="213"/>
  <c r="D240" i="213"/>
  <c r="D239" i="213"/>
  <c r="D238" i="213"/>
  <c r="D237" i="213"/>
  <c r="D236" i="213"/>
  <c r="D235" i="213"/>
  <c r="D234" i="213"/>
  <c r="D233" i="213"/>
  <c r="D232" i="213"/>
  <c r="K227" i="213"/>
  <c r="D227" i="213"/>
  <c r="K223" i="213"/>
  <c r="K222" i="213"/>
  <c r="K221" i="213"/>
  <c r="K220" i="213"/>
  <c r="K219" i="213"/>
  <c r="K218" i="213"/>
  <c r="K217" i="213"/>
  <c r="K216" i="213"/>
  <c r="K215" i="213"/>
  <c r="K214" i="213"/>
  <c r="K213" i="213"/>
  <c r="K212" i="213"/>
  <c r="K211" i="213"/>
  <c r="K210" i="213"/>
  <c r="K209" i="213"/>
  <c r="K208" i="213"/>
  <c r="K207" i="213"/>
  <c r="K206" i="213"/>
  <c r="K205" i="213"/>
  <c r="K204" i="213"/>
  <c r="K203" i="213"/>
  <c r="K202" i="213"/>
  <c r="K201" i="213"/>
  <c r="K200" i="213"/>
  <c r="K199" i="213"/>
  <c r="K198" i="213"/>
  <c r="K197" i="213"/>
  <c r="K196" i="213"/>
  <c r="K195" i="213"/>
  <c r="K194" i="213"/>
  <c r="K193" i="213"/>
  <c r="K192" i="213"/>
  <c r="K191" i="213"/>
  <c r="K190" i="213"/>
  <c r="K189" i="213"/>
  <c r="K188" i="213"/>
  <c r="K187" i="213"/>
  <c r="K186" i="213"/>
  <c r="D223" i="213"/>
  <c r="D222" i="213"/>
  <c r="D221" i="213"/>
  <c r="D220" i="213"/>
  <c r="D219" i="213"/>
  <c r="D218" i="213"/>
  <c r="D217" i="213"/>
  <c r="D216" i="213"/>
  <c r="D215" i="213"/>
  <c r="D214" i="213"/>
  <c r="D213" i="213"/>
  <c r="D212" i="213"/>
  <c r="D211" i="213"/>
  <c r="D210" i="213"/>
  <c r="D209" i="213"/>
  <c r="D208" i="213"/>
  <c r="D207" i="213"/>
  <c r="D206" i="213"/>
  <c r="D205" i="213"/>
  <c r="D204" i="213"/>
  <c r="D203" i="213"/>
  <c r="D202" i="213"/>
  <c r="D201" i="213"/>
  <c r="D200" i="213"/>
  <c r="D199" i="213"/>
  <c r="D198" i="213"/>
  <c r="D197" i="213"/>
  <c r="D196" i="213"/>
  <c r="D195" i="213"/>
  <c r="D194" i="213"/>
  <c r="D193" i="213"/>
  <c r="D192" i="213"/>
  <c r="D191" i="213"/>
  <c r="D190" i="213"/>
  <c r="D189" i="213"/>
  <c r="D188" i="213"/>
  <c r="D187" i="213"/>
  <c r="D186" i="213"/>
  <c r="K181" i="213"/>
  <c r="D181" i="213"/>
  <c r="K175" i="213"/>
  <c r="K174" i="213"/>
  <c r="K173" i="213"/>
  <c r="K172" i="213"/>
  <c r="K171" i="213"/>
  <c r="K170" i="213"/>
  <c r="K169" i="213"/>
  <c r="K168" i="213"/>
  <c r="K167" i="213"/>
  <c r="K166" i="213"/>
  <c r="K165" i="213"/>
  <c r="K164" i="213"/>
  <c r="K163" i="213"/>
  <c r="K162" i="213"/>
  <c r="K161" i="213"/>
  <c r="K160" i="213"/>
  <c r="K159" i="213"/>
  <c r="K158" i="213"/>
  <c r="K157" i="213"/>
  <c r="K156" i="213"/>
  <c r="K155" i="213"/>
  <c r="D175" i="213"/>
  <c r="D174" i="213"/>
  <c r="D173" i="213"/>
  <c r="D172" i="213"/>
  <c r="D171" i="213"/>
  <c r="D170" i="213"/>
  <c r="D169" i="213"/>
  <c r="D168" i="213"/>
  <c r="D167" i="213"/>
  <c r="D166" i="213"/>
  <c r="D165" i="213"/>
  <c r="D164" i="213"/>
  <c r="D163" i="213"/>
  <c r="D162" i="213"/>
  <c r="D161" i="213"/>
  <c r="D160" i="213"/>
  <c r="D159" i="213"/>
  <c r="D158" i="213"/>
  <c r="D157" i="213"/>
  <c r="D156" i="213"/>
  <c r="D155" i="213"/>
  <c r="K125" i="213"/>
  <c r="K124" i="213"/>
  <c r="D125" i="213"/>
  <c r="D124" i="213"/>
  <c r="K119" i="213"/>
  <c r="D119" i="213"/>
  <c r="K113" i="213"/>
  <c r="K112" i="213"/>
  <c r="K111" i="213"/>
  <c r="K110" i="213"/>
  <c r="K109" i="213"/>
  <c r="K108" i="213"/>
  <c r="K107" i="213"/>
  <c r="K106" i="213"/>
  <c r="K105" i="213"/>
  <c r="K104" i="213"/>
  <c r="K103" i="213"/>
  <c r="K102" i="213"/>
  <c r="K101" i="213"/>
  <c r="K100" i="213"/>
  <c r="K99" i="213"/>
  <c r="K98" i="213"/>
  <c r="K97" i="213"/>
  <c r="K96" i="213"/>
  <c r="K95" i="213"/>
  <c r="K94" i="213"/>
  <c r="K93" i="213"/>
  <c r="K92" i="213"/>
  <c r="K91" i="213"/>
  <c r="K90" i="213"/>
  <c r="K89" i="213"/>
  <c r="D113" i="213"/>
  <c r="D112" i="213"/>
  <c r="D111" i="213"/>
  <c r="D110" i="213"/>
  <c r="D109" i="213"/>
  <c r="D108" i="213"/>
  <c r="D107" i="213"/>
  <c r="D106" i="213"/>
  <c r="D105" i="213"/>
  <c r="D104" i="213"/>
  <c r="D103" i="213"/>
  <c r="D102" i="213"/>
  <c r="D101" i="213"/>
  <c r="D100" i="213"/>
  <c r="D99" i="213"/>
  <c r="D98" i="213"/>
  <c r="D97" i="213"/>
  <c r="D96" i="213"/>
  <c r="D95" i="213"/>
  <c r="D94" i="213"/>
  <c r="D93" i="213"/>
  <c r="D92" i="213"/>
  <c r="D91" i="213"/>
  <c r="D90" i="213"/>
  <c r="D89" i="213"/>
  <c r="K84" i="213"/>
  <c r="K83" i="213"/>
  <c r="K82" i="213"/>
  <c r="K81" i="213"/>
  <c r="K80" i="213"/>
  <c r="K79" i="213"/>
  <c r="K78" i="213"/>
  <c r="K77" i="213"/>
  <c r="K76" i="213"/>
  <c r="K75" i="213"/>
  <c r="K74" i="213"/>
  <c r="K73" i="213"/>
  <c r="K72" i="213"/>
  <c r="K71" i="213"/>
  <c r="K70" i="213"/>
  <c r="K69" i="213"/>
  <c r="K68" i="213"/>
  <c r="K67" i="213"/>
  <c r="K66" i="213"/>
  <c r="K65" i="213"/>
  <c r="K64" i="213"/>
  <c r="K63" i="213"/>
  <c r="D84" i="213"/>
  <c r="D83" i="213"/>
  <c r="D82" i="213"/>
  <c r="D81" i="213"/>
  <c r="D80" i="213"/>
  <c r="D79" i="213"/>
  <c r="D78" i="213"/>
  <c r="D77" i="213"/>
  <c r="D76" i="213"/>
  <c r="D75" i="213"/>
  <c r="D74" i="213"/>
  <c r="D73" i="213"/>
  <c r="D72" i="213"/>
  <c r="D71" i="213"/>
  <c r="D70" i="213"/>
  <c r="D69" i="213"/>
  <c r="D68" i="213"/>
  <c r="D67" i="213"/>
  <c r="D66" i="213"/>
  <c r="D65" i="213"/>
  <c r="D64" i="213"/>
  <c r="D63" i="213"/>
  <c r="K58" i="213"/>
  <c r="K57" i="213"/>
  <c r="K56" i="213"/>
  <c r="K55" i="213"/>
  <c r="K54" i="213"/>
  <c r="K53" i="213"/>
  <c r="K52" i="213"/>
  <c r="K51" i="213"/>
  <c r="K50" i="213"/>
  <c r="D58" i="213"/>
  <c r="D57" i="213"/>
  <c r="D56" i="213"/>
  <c r="D55" i="213"/>
  <c r="D54" i="213"/>
  <c r="D53" i="213"/>
  <c r="D52" i="213"/>
  <c r="D51" i="213"/>
  <c r="D50" i="213"/>
  <c r="K45" i="213"/>
  <c r="K44" i="213"/>
  <c r="K43" i="213"/>
  <c r="K42" i="213"/>
  <c r="K41" i="213"/>
  <c r="K40" i="213"/>
  <c r="K39" i="213"/>
  <c r="K38" i="213"/>
  <c r="K37" i="213"/>
  <c r="K36" i="213"/>
  <c r="K35" i="213"/>
  <c r="K34" i="213"/>
  <c r="K33" i="213"/>
  <c r="K32" i="213"/>
  <c r="K31" i="213"/>
  <c r="K30" i="213"/>
  <c r="K29" i="213"/>
  <c r="D45" i="213"/>
  <c r="D44" i="213"/>
  <c r="D43" i="213"/>
  <c r="D42" i="213"/>
  <c r="D41" i="213"/>
  <c r="D40" i="213"/>
  <c r="D39" i="213"/>
  <c r="D38" i="213"/>
  <c r="D37" i="213"/>
  <c r="D36" i="213"/>
  <c r="D35" i="213"/>
  <c r="D34" i="213"/>
  <c r="D33" i="213"/>
  <c r="D32" i="213"/>
  <c r="D31" i="213"/>
  <c r="D30" i="213"/>
  <c r="D29" i="213"/>
  <c r="K24" i="213"/>
  <c r="K23" i="213"/>
  <c r="K22" i="213"/>
  <c r="D24" i="213"/>
  <c r="D23" i="213"/>
  <c r="D22" i="213"/>
  <c r="K17" i="213"/>
  <c r="K16" i="213"/>
  <c r="D17" i="213"/>
  <c r="D16" i="213"/>
  <c r="K264" i="207"/>
  <c r="D264" i="207"/>
  <c r="K260" i="207"/>
  <c r="K259" i="207"/>
  <c r="K258" i="207"/>
  <c r="K257" i="207"/>
  <c r="K256" i="207"/>
  <c r="K255" i="207"/>
  <c r="K254" i="207"/>
  <c r="K253" i="207"/>
  <c r="K252" i="207"/>
  <c r="K251" i="207"/>
  <c r="K250" i="207"/>
  <c r="K249" i="207"/>
  <c r="K248" i="207"/>
  <c r="K247" i="207"/>
  <c r="K246" i="207"/>
  <c r="K245" i="207"/>
  <c r="K244" i="207"/>
  <c r="K243" i="207"/>
  <c r="K242" i="207"/>
  <c r="K241" i="207"/>
  <c r="K240" i="207"/>
  <c r="K239" i="207"/>
  <c r="K238" i="207"/>
  <c r="K237" i="207"/>
  <c r="K236" i="207"/>
  <c r="K235" i="207"/>
  <c r="K234" i="207"/>
  <c r="K233" i="207"/>
  <c r="K232" i="207"/>
  <c r="D260" i="207"/>
  <c r="D259" i="207"/>
  <c r="D258" i="207"/>
  <c r="D257" i="207"/>
  <c r="D256" i="207"/>
  <c r="D255" i="207"/>
  <c r="D254" i="207"/>
  <c r="D253" i="207"/>
  <c r="D252" i="207"/>
  <c r="D251" i="207"/>
  <c r="D250" i="207"/>
  <c r="D249" i="207"/>
  <c r="D248" i="207"/>
  <c r="D247" i="207"/>
  <c r="D246" i="207"/>
  <c r="D245" i="207"/>
  <c r="D244" i="207"/>
  <c r="D243" i="207"/>
  <c r="D242" i="207"/>
  <c r="D241" i="207"/>
  <c r="D240" i="207"/>
  <c r="D239" i="207"/>
  <c r="D238" i="207"/>
  <c r="D237" i="207"/>
  <c r="D236" i="207"/>
  <c r="D235" i="207"/>
  <c r="D234" i="207"/>
  <c r="D233" i="207"/>
  <c r="D232" i="207"/>
  <c r="K227" i="207"/>
  <c r="D227" i="207"/>
  <c r="K223" i="207"/>
  <c r="K222" i="207"/>
  <c r="K221" i="207"/>
  <c r="K220" i="207"/>
  <c r="K219" i="207"/>
  <c r="K218" i="207"/>
  <c r="K217" i="207"/>
  <c r="K216" i="207"/>
  <c r="K215" i="207"/>
  <c r="K214" i="207"/>
  <c r="K213" i="207"/>
  <c r="K212" i="207"/>
  <c r="K211" i="207"/>
  <c r="K210" i="207"/>
  <c r="K209" i="207"/>
  <c r="K208" i="207"/>
  <c r="K207" i="207"/>
  <c r="K206" i="207"/>
  <c r="K205" i="207"/>
  <c r="K204" i="207"/>
  <c r="K203" i="207"/>
  <c r="K202" i="207"/>
  <c r="K201" i="207"/>
  <c r="K200" i="207"/>
  <c r="K199" i="207"/>
  <c r="K198" i="207"/>
  <c r="K197" i="207"/>
  <c r="K196" i="207"/>
  <c r="K195" i="207"/>
  <c r="K194" i="207"/>
  <c r="K193" i="207"/>
  <c r="K192" i="207"/>
  <c r="K191" i="207"/>
  <c r="K190" i="207"/>
  <c r="K189" i="207"/>
  <c r="K188" i="207"/>
  <c r="K187" i="207"/>
  <c r="K186" i="207"/>
  <c r="D223" i="207"/>
  <c r="D222" i="207"/>
  <c r="D221" i="207"/>
  <c r="D220" i="207"/>
  <c r="D219" i="207"/>
  <c r="D218" i="207"/>
  <c r="D217" i="207"/>
  <c r="D216" i="207"/>
  <c r="D215" i="207"/>
  <c r="D214" i="207"/>
  <c r="D213" i="207"/>
  <c r="D212" i="207"/>
  <c r="D211" i="207"/>
  <c r="D210" i="207"/>
  <c r="D209" i="207"/>
  <c r="D208" i="207"/>
  <c r="D207" i="207"/>
  <c r="D206" i="207"/>
  <c r="D205" i="207"/>
  <c r="D204" i="207"/>
  <c r="D203" i="207"/>
  <c r="D202" i="207"/>
  <c r="D201" i="207"/>
  <c r="D200" i="207"/>
  <c r="D199" i="207"/>
  <c r="D198" i="207"/>
  <c r="D197" i="207"/>
  <c r="D196" i="207"/>
  <c r="D195" i="207"/>
  <c r="D194" i="207"/>
  <c r="D193" i="207"/>
  <c r="D192" i="207"/>
  <c r="D191" i="207"/>
  <c r="D190" i="207"/>
  <c r="D189" i="207"/>
  <c r="D188" i="207"/>
  <c r="D187" i="207"/>
  <c r="D186" i="207"/>
  <c r="K181" i="207"/>
  <c r="D181" i="207"/>
  <c r="K175" i="207"/>
  <c r="K174" i="207"/>
  <c r="K173" i="207"/>
  <c r="K172" i="207"/>
  <c r="K171" i="207"/>
  <c r="K170" i="207"/>
  <c r="K169" i="207"/>
  <c r="K168" i="207"/>
  <c r="K167" i="207"/>
  <c r="K166" i="207"/>
  <c r="K165" i="207"/>
  <c r="K164" i="207"/>
  <c r="K163" i="207"/>
  <c r="K162" i="207"/>
  <c r="K161" i="207"/>
  <c r="K160" i="207"/>
  <c r="K159" i="207"/>
  <c r="K158" i="207"/>
  <c r="K157" i="207"/>
  <c r="K156" i="207"/>
  <c r="K155" i="207"/>
  <c r="D175" i="207"/>
  <c r="D174" i="207"/>
  <c r="D173" i="207"/>
  <c r="D172" i="207"/>
  <c r="D171" i="207"/>
  <c r="D170" i="207"/>
  <c r="D169" i="207"/>
  <c r="D168" i="207"/>
  <c r="D167" i="207"/>
  <c r="D166" i="207"/>
  <c r="D165" i="207"/>
  <c r="D164" i="207"/>
  <c r="D163" i="207"/>
  <c r="D162" i="207"/>
  <c r="D161" i="207"/>
  <c r="D160" i="207"/>
  <c r="D159" i="207"/>
  <c r="D158" i="207"/>
  <c r="D157" i="207"/>
  <c r="D156" i="207"/>
  <c r="D155" i="207"/>
  <c r="K125" i="207"/>
  <c r="K124" i="207"/>
  <c r="D125" i="207"/>
  <c r="D124" i="207"/>
  <c r="K119" i="207"/>
  <c r="D119" i="207"/>
  <c r="K113" i="207"/>
  <c r="K112" i="207"/>
  <c r="K111" i="207"/>
  <c r="K110" i="207"/>
  <c r="K109" i="207"/>
  <c r="K108" i="207"/>
  <c r="K107" i="207"/>
  <c r="K106" i="207"/>
  <c r="K105" i="207"/>
  <c r="K104" i="207"/>
  <c r="K103" i="207"/>
  <c r="K102" i="207"/>
  <c r="K101" i="207"/>
  <c r="K100" i="207"/>
  <c r="K99" i="207"/>
  <c r="K98" i="207"/>
  <c r="K97" i="207"/>
  <c r="K96" i="207"/>
  <c r="K95" i="207"/>
  <c r="K94" i="207"/>
  <c r="K93" i="207"/>
  <c r="K92" i="207"/>
  <c r="K91" i="207"/>
  <c r="K90" i="207"/>
  <c r="K89" i="207"/>
  <c r="D113" i="207"/>
  <c r="D112" i="207"/>
  <c r="D111" i="207"/>
  <c r="D110" i="207"/>
  <c r="D109" i="207"/>
  <c r="D108" i="207"/>
  <c r="D107" i="207"/>
  <c r="D106" i="207"/>
  <c r="D105" i="207"/>
  <c r="D104" i="207"/>
  <c r="D103" i="207"/>
  <c r="D102" i="207"/>
  <c r="D101" i="207"/>
  <c r="D100" i="207"/>
  <c r="D99" i="207"/>
  <c r="D98" i="207"/>
  <c r="D97" i="207"/>
  <c r="D96" i="207"/>
  <c r="D95" i="207"/>
  <c r="D94" i="207"/>
  <c r="D93" i="207"/>
  <c r="D92" i="207"/>
  <c r="D91" i="207"/>
  <c r="D90" i="207"/>
  <c r="D89" i="207"/>
  <c r="K84" i="207"/>
  <c r="K83" i="207"/>
  <c r="K82" i="207"/>
  <c r="K81" i="207"/>
  <c r="K80" i="207"/>
  <c r="K79" i="207"/>
  <c r="K78" i="207"/>
  <c r="K77" i="207"/>
  <c r="K76" i="207"/>
  <c r="K75" i="207"/>
  <c r="K74" i="207"/>
  <c r="K73" i="207"/>
  <c r="K72" i="207"/>
  <c r="K71" i="207"/>
  <c r="K70" i="207"/>
  <c r="K69" i="207"/>
  <c r="K68" i="207"/>
  <c r="K67" i="207"/>
  <c r="K66" i="207"/>
  <c r="K65" i="207"/>
  <c r="K64" i="207"/>
  <c r="K63" i="207"/>
  <c r="D84" i="207"/>
  <c r="D83" i="207"/>
  <c r="D82" i="207"/>
  <c r="D81" i="207"/>
  <c r="D80" i="207"/>
  <c r="D79" i="207"/>
  <c r="D78" i="207"/>
  <c r="D77" i="207"/>
  <c r="D76" i="207"/>
  <c r="D75" i="207"/>
  <c r="D74" i="207"/>
  <c r="D73" i="207"/>
  <c r="D72" i="207"/>
  <c r="D71" i="207"/>
  <c r="D70" i="207"/>
  <c r="D69" i="207"/>
  <c r="D68" i="207"/>
  <c r="D67" i="207"/>
  <c r="D66" i="207"/>
  <c r="D65" i="207"/>
  <c r="D64" i="207"/>
  <c r="D63" i="207"/>
  <c r="K58" i="207"/>
  <c r="K57" i="207"/>
  <c r="K56" i="207"/>
  <c r="K55" i="207"/>
  <c r="K54" i="207"/>
  <c r="K53" i="207"/>
  <c r="K52" i="207"/>
  <c r="K51" i="207"/>
  <c r="K50" i="207"/>
  <c r="D58" i="207"/>
  <c r="D57" i="207"/>
  <c r="D56" i="207"/>
  <c r="D55" i="207"/>
  <c r="D54" i="207"/>
  <c r="D53" i="207"/>
  <c r="D52" i="207"/>
  <c r="D51" i="207"/>
  <c r="D50" i="207"/>
  <c r="K45" i="207"/>
  <c r="K44" i="207"/>
  <c r="K43" i="207"/>
  <c r="K42" i="207"/>
  <c r="K41" i="207"/>
  <c r="K40" i="207"/>
  <c r="K39" i="207"/>
  <c r="K38" i="207"/>
  <c r="K37" i="207"/>
  <c r="K36" i="207"/>
  <c r="K35" i="207"/>
  <c r="K34" i="207"/>
  <c r="K33" i="207"/>
  <c r="K32" i="207"/>
  <c r="K31" i="207"/>
  <c r="K30" i="207"/>
  <c r="K29" i="207"/>
  <c r="D45" i="207"/>
  <c r="D44" i="207"/>
  <c r="D43" i="207"/>
  <c r="D42" i="207"/>
  <c r="D41" i="207"/>
  <c r="D40" i="207"/>
  <c r="D39" i="207"/>
  <c r="D38" i="207"/>
  <c r="D37" i="207"/>
  <c r="D36" i="207"/>
  <c r="D35" i="207"/>
  <c r="D34" i="207"/>
  <c r="D33" i="207"/>
  <c r="D32" i="207"/>
  <c r="D31" i="207"/>
  <c r="D30" i="207"/>
  <c r="D29" i="207"/>
  <c r="K24" i="207"/>
  <c r="K23" i="207"/>
  <c r="K22" i="207"/>
  <c r="D24" i="207"/>
  <c r="D23" i="207"/>
  <c r="D22" i="207"/>
  <c r="K17" i="207"/>
  <c r="K16" i="207"/>
  <c r="D17" i="207"/>
  <c r="D16" i="207"/>
  <c r="K50" i="35"/>
  <c r="I50" i="35"/>
  <c r="G50" i="35"/>
  <c r="E50" i="35"/>
  <c r="C50" i="35"/>
  <c r="K49" i="35"/>
  <c r="I49" i="35"/>
  <c r="G49" i="35"/>
  <c r="E49" i="35"/>
  <c r="C49" i="35"/>
  <c r="K43" i="35"/>
  <c r="I43" i="35"/>
  <c r="G43" i="35"/>
  <c r="E43" i="35"/>
  <c r="C43" i="35"/>
  <c r="K42" i="35"/>
  <c r="I42" i="35"/>
  <c r="G42" i="35"/>
  <c r="E42" i="35"/>
  <c r="C42" i="35"/>
  <c r="K36" i="35"/>
  <c r="I36" i="35"/>
  <c r="G36" i="35"/>
  <c r="E36" i="35"/>
  <c r="C36" i="35"/>
  <c r="K35" i="35"/>
  <c r="I35" i="35"/>
  <c r="G35" i="35"/>
  <c r="E35" i="35"/>
  <c r="C35" i="35"/>
  <c r="K30" i="35"/>
  <c r="I30" i="35"/>
  <c r="G30" i="35"/>
  <c r="E30" i="35"/>
  <c r="C30" i="35"/>
  <c r="K25" i="35"/>
  <c r="I25" i="35"/>
  <c r="G25" i="35"/>
  <c r="E25" i="35"/>
  <c r="C25" i="35"/>
  <c r="K24" i="35"/>
  <c r="I24" i="35"/>
  <c r="G24" i="35"/>
  <c r="E24" i="35"/>
  <c r="C24" i="35"/>
  <c r="K18" i="35"/>
  <c r="I18" i="35"/>
  <c r="G18" i="35"/>
  <c r="E18" i="35"/>
  <c r="C18" i="35"/>
  <c r="K17" i="35"/>
  <c r="I17" i="35"/>
  <c r="G17" i="35"/>
  <c r="E17" i="35"/>
  <c r="C17" i="35"/>
  <c r="A33" i="106"/>
  <c r="A34" i="106" s="1"/>
  <c r="A35" i="106" s="1"/>
  <c r="A36" i="106" s="1"/>
  <c r="A37" i="106" s="1"/>
  <c r="A38" i="106" s="1"/>
  <c r="A39" i="106" s="1"/>
  <c r="A40" i="106" s="1"/>
  <c r="A41" i="106" s="1"/>
  <c r="A42" i="106" s="1"/>
  <c r="A43" i="106" s="1"/>
  <c r="A44" i="106" s="1"/>
  <c r="A45" i="106" s="1"/>
  <c r="A46" i="106" s="1"/>
  <c r="A47" i="106" s="1"/>
  <c r="A48" i="106" s="1"/>
  <c r="A49" i="106" s="1"/>
  <c r="A50" i="106" s="1"/>
  <c r="A51" i="106" s="1"/>
  <c r="A52" i="106" s="1"/>
  <c r="A53" i="106" s="1"/>
  <c r="A54" i="106" s="1"/>
  <c r="A55" i="106" s="1"/>
  <c r="A56" i="106" s="1"/>
  <c r="A57" i="106" s="1"/>
  <c r="A58" i="106" s="1"/>
  <c r="A59" i="106" s="1"/>
  <c r="A60" i="106" s="1"/>
  <c r="A61" i="106" s="1"/>
  <c r="A62" i="106" s="1"/>
  <c r="A63" i="106" s="1"/>
  <c r="A64" i="106" s="1"/>
  <c r="A65" i="106" s="1"/>
  <c r="A66" i="106" s="1"/>
  <c r="A67" i="106" s="1"/>
  <c r="A68" i="106" s="1"/>
  <c r="A69" i="106" s="1"/>
  <c r="A70" i="106" s="1"/>
  <c r="A71" i="106" s="1"/>
  <c r="A72" i="106" s="1"/>
  <c r="A73" i="106" s="1"/>
  <c r="A74" i="106" s="1"/>
  <c r="A75" i="106" s="1"/>
  <c r="A76" i="106" s="1"/>
  <c r="A77" i="106" s="1"/>
  <c r="A78" i="106" s="1"/>
  <c r="A79" i="106" s="1"/>
  <c r="A80" i="106" s="1"/>
  <c r="A81" i="106" s="1"/>
  <c r="A82" i="106" s="1"/>
  <c r="A83" i="106" s="1"/>
  <c r="A84" i="106" s="1"/>
  <c r="A85" i="106" s="1"/>
  <c r="A86" i="106" s="1"/>
  <c r="A87" i="106" s="1"/>
  <c r="A88" i="106" s="1"/>
  <c r="A89" i="106" s="1"/>
  <c r="A90" i="106" s="1"/>
  <c r="A91" i="106" s="1"/>
  <c r="A92" i="106" s="1"/>
  <c r="A93" i="106" s="1"/>
  <c r="A94" i="106" s="1"/>
  <c r="A95" i="106" s="1"/>
  <c r="A96" i="106" s="1"/>
  <c r="A97" i="106" s="1"/>
  <c r="A98" i="106" s="1"/>
  <c r="A99" i="106" s="1"/>
  <c r="A100" i="106" s="1"/>
  <c r="A101" i="106" s="1"/>
  <c r="A102" i="106" s="1"/>
  <c r="A103" i="106" s="1"/>
  <c r="A104" i="106" s="1"/>
  <c r="A105" i="106" s="1"/>
  <c r="A106" i="106" s="1"/>
  <c r="A107" i="106" s="1"/>
  <c r="A108" i="106" s="1"/>
  <c r="A109" i="106" s="1"/>
  <c r="A110" i="106" s="1"/>
  <c r="A111" i="106" s="1"/>
  <c r="A112" i="106" s="1"/>
  <c r="A113" i="106" s="1"/>
  <c r="A114" i="106" s="1"/>
  <c r="A115" i="106" s="1"/>
  <c r="A116" i="106" s="1"/>
  <c r="A117" i="106" s="1"/>
  <c r="A118" i="106" s="1"/>
  <c r="A119" i="106" s="1"/>
  <c r="A120" i="106" s="1"/>
  <c r="A121" i="106" s="1"/>
  <c r="A122" i="106" s="1"/>
  <c r="A123" i="106" s="1"/>
  <c r="A124" i="106" s="1"/>
  <c r="A125" i="106" s="1"/>
  <c r="A126" i="106" s="1"/>
  <c r="A127" i="106" s="1"/>
  <c r="A128" i="106" s="1"/>
  <c r="A129" i="106" s="1"/>
  <c r="A130" i="106" s="1"/>
  <c r="A131" i="106" s="1"/>
  <c r="A132" i="106" s="1"/>
  <c r="A133" i="106" s="1"/>
  <c r="A134" i="106" s="1"/>
  <c r="A135" i="106" s="1"/>
  <c r="A136" i="106" s="1"/>
  <c r="A137" i="106" s="1"/>
  <c r="A138" i="106" s="1"/>
  <c r="A139" i="106" s="1"/>
  <c r="A140" i="106" s="1"/>
  <c r="A141" i="106" s="1"/>
  <c r="A142" i="106" s="1"/>
  <c r="A143" i="106" s="1"/>
  <c r="A144" i="106" s="1"/>
  <c r="A145" i="106" s="1"/>
  <c r="A146" i="106" s="1"/>
  <c r="A147" i="106" s="1"/>
  <c r="A148" i="106" s="1"/>
  <c r="A149" i="106" s="1"/>
  <c r="A150" i="106" s="1"/>
  <c r="A151" i="106" s="1"/>
  <c r="A152" i="106" s="1"/>
  <c r="A153" i="106" s="1"/>
  <c r="A154" i="106" s="1"/>
  <c r="A155" i="106" s="1"/>
  <c r="A156" i="106" s="1"/>
  <c r="A157" i="106" s="1"/>
  <c r="A158" i="106" s="1"/>
  <c r="A159" i="106" s="1"/>
  <c r="A160" i="106" s="1"/>
  <c r="A161" i="106" s="1"/>
  <c r="A162" i="106" s="1"/>
  <c r="A163" i="106" s="1"/>
  <c r="A164" i="106" s="1"/>
  <c r="A165" i="106" s="1"/>
  <c r="A166" i="106" s="1"/>
  <c r="A167" i="106" s="1"/>
  <c r="A168" i="106" s="1"/>
  <c r="A169" i="106" s="1"/>
  <c r="A170" i="106" s="1"/>
  <c r="A171" i="106" s="1"/>
  <c r="A172" i="106" s="1"/>
  <c r="A173" i="106" s="1"/>
  <c r="A174" i="106" s="1"/>
  <c r="A175" i="106" s="1"/>
  <c r="A176" i="106" s="1"/>
  <c r="A177" i="106" s="1"/>
  <c r="A178" i="106" s="1"/>
  <c r="A32" i="106"/>
  <c r="I64" i="251"/>
  <c r="I65" i="251"/>
  <c r="I66" i="251"/>
  <c r="I67" i="251"/>
  <c r="I68" i="251"/>
  <c r="I69" i="251"/>
  <c r="I70" i="251"/>
  <c r="I71" i="251"/>
  <c r="I72" i="251"/>
  <c r="I73" i="251"/>
  <c r="I74" i="251"/>
  <c r="I75" i="251"/>
  <c r="I76" i="251"/>
  <c r="I77" i="251"/>
  <c r="I78" i="251"/>
  <c r="I79" i="251"/>
  <c r="I80" i="251"/>
  <c r="I81" i="251"/>
  <c r="I82" i="251"/>
  <c r="I83" i="251"/>
  <c r="I84" i="251"/>
  <c r="I85" i="251"/>
  <c r="I86" i="251"/>
  <c r="I87" i="251"/>
  <c r="I88" i="251"/>
  <c r="I89" i="251"/>
  <c r="I90" i="251"/>
  <c r="I91" i="251"/>
  <c r="I92" i="251"/>
  <c r="I93" i="251"/>
  <c r="I94" i="251"/>
  <c r="I95" i="251"/>
  <c r="I96" i="251"/>
  <c r="I97" i="251"/>
  <c r="I98" i="251"/>
  <c r="I99" i="251"/>
  <c r="I100" i="251"/>
  <c r="I101" i="251"/>
  <c r="I102" i="251"/>
  <c r="I103" i="251"/>
  <c r="I104" i="251"/>
  <c r="I105" i="251"/>
  <c r="I106" i="251"/>
  <c r="I107" i="251"/>
  <c r="I108" i="251"/>
  <c r="I109" i="251"/>
  <c r="I110" i="251"/>
  <c r="I111" i="251"/>
  <c r="I112" i="251"/>
  <c r="I113" i="251"/>
  <c r="I114" i="251"/>
  <c r="I115" i="251"/>
  <c r="I116" i="251"/>
  <c r="I117" i="251"/>
  <c r="I118" i="251"/>
  <c r="I119" i="251"/>
  <c r="I120" i="251"/>
  <c r="I121" i="251"/>
  <c r="I122" i="251"/>
  <c r="I123" i="251"/>
  <c r="G21" i="251"/>
  <c r="H21" i="251"/>
  <c r="G22" i="251"/>
  <c r="H22" i="251"/>
  <c r="G23" i="251"/>
  <c r="H23" i="251"/>
  <c r="G24" i="251"/>
  <c r="H24" i="251"/>
  <c r="G25" i="251"/>
  <c r="H25" i="251"/>
  <c r="G26" i="251"/>
  <c r="H26" i="251"/>
  <c r="G27" i="251"/>
  <c r="H27" i="251"/>
  <c r="G28" i="251"/>
  <c r="H28" i="251"/>
  <c r="G29" i="251"/>
  <c r="H29" i="251"/>
  <c r="G30" i="251"/>
  <c r="H30" i="251"/>
  <c r="G31" i="251"/>
  <c r="H31" i="251"/>
  <c r="G32" i="251"/>
  <c r="H32" i="251"/>
  <c r="G33" i="251"/>
  <c r="H33" i="251"/>
  <c r="G34" i="251"/>
  <c r="H34" i="251"/>
  <c r="G35" i="251"/>
  <c r="H35" i="251"/>
  <c r="G36" i="251"/>
  <c r="H36" i="251"/>
  <c r="G37" i="251"/>
  <c r="H37" i="251"/>
  <c r="J37" i="251" s="1"/>
  <c r="G38" i="251"/>
  <c r="H38" i="251"/>
  <c r="G39" i="251"/>
  <c r="H39" i="251"/>
  <c r="G40" i="251"/>
  <c r="H40" i="251"/>
  <c r="G41" i="251"/>
  <c r="H41" i="251"/>
  <c r="G42" i="251"/>
  <c r="H42" i="251"/>
  <c r="G43" i="251"/>
  <c r="H43" i="251"/>
  <c r="G44" i="251"/>
  <c r="H44" i="251"/>
  <c r="G45" i="251"/>
  <c r="H45" i="251"/>
  <c r="G46" i="251"/>
  <c r="H46" i="251"/>
  <c r="G47" i="251"/>
  <c r="H47" i="251"/>
  <c r="G48" i="251"/>
  <c r="H48" i="251"/>
  <c r="G49" i="251"/>
  <c r="H49" i="251"/>
  <c r="G50" i="251"/>
  <c r="H50" i="251"/>
  <c r="G51" i="251"/>
  <c r="H51" i="251"/>
  <c r="G52" i="251"/>
  <c r="H52" i="251"/>
  <c r="G53" i="251"/>
  <c r="H53" i="251"/>
  <c r="G54" i="251"/>
  <c r="H54" i="251"/>
  <c r="G55" i="251"/>
  <c r="H55" i="251"/>
  <c r="G56" i="251"/>
  <c r="H56" i="251"/>
  <c r="G57" i="251"/>
  <c r="H57" i="251"/>
  <c r="G58" i="251"/>
  <c r="H58" i="251"/>
  <c r="G59" i="251"/>
  <c r="H59" i="251"/>
  <c r="G60" i="251"/>
  <c r="H60" i="251"/>
  <c r="G61" i="251"/>
  <c r="H61" i="251"/>
  <c r="G62" i="251"/>
  <c r="H62" i="251"/>
  <c r="G63" i="251"/>
  <c r="H63" i="251"/>
  <c r="G64" i="251"/>
  <c r="G65" i="251"/>
  <c r="G66" i="251"/>
  <c r="G67" i="251"/>
  <c r="G68" i="251"/>
  <c r="G69" i="251"/>
  <c r="G70" i="251"/>
  <c r="G71" i="251"/>
  <c r="G72" i="251"/>
  <c r="G73" i="251"/>
  <c r="G74" i="251"/>
  <c r="G75" i="251"/>
  <c r="G76" i="251"/>
  <c r="G77" i="251"/>
  <c r="G78" i="251"/>
  <c r="G79" i="251"/>
  <c r="G80" i="251"/>
  <c r="G81" i="251"/>
  <c r="G82" i="251"/>
  <c r="G83" i="251"/>
  <c r="G84" i="251"/>
  <c r="G85" i="251"/>
  <c r="G86" i="251"/>
  <c r="G87" i="251"/>
  <c r="G88" i="251"/>
  <c r="G89" i="251"/>
  <c r="G90" i="251"/>
  <c r="G91" i="251"/>
  <c r="G92" i="251"/>
  <c r="G93" i="251"/>
  <c r="G94" i="251"/>
  <c r="G95" i="251"/>
  <c r="G96" i="251"/>
  <c r="G97" i="251"/>
  <c r="G98" i="251"/>
  <c r="G99" i="251"/>
  <c r="G100" i="251"/>
  <c r="G101" i="251"/>
  <c r="G102" i="251"/>
  <c r="G103" i="251"/>
  <c r="G104" i="251"/>
  <c r="G105" i="251"/>
  <c r="G106" i="251"/>
  <c r="J106" i="251" s="1"/>
  <c r="G107" i="251"/>
  <c r="G108" i="251"/>
  <c r="G109" i="251"/>
  <c r="G110" i="251"/>
  <c r="G111" i="251"/>
  <c r="G112" i="251"/>
  <c r="G113" i="251"/>
  <c r="G114" i="251"/>
  <c r="G115" i="251"/>
  <c r="G116" i="251"/>
  <c r="G117" i="251"/>
  <c r="G118" i="251"/>
  <c r="G119" i="251"/>
  <c r="G120" i="251"/>
  <c r="G121" i="251"/>
  <c r="G122" i="251"/>
  <c r="G123" i="251"/>
  <c r="G124" i="251"/>
  <c r="G125" i="251"/>
  <c r="J125" i="251" s="1"/>
  <c r="G126" i="251"/>
  <c r="J126" i="251" s="1"/>
  <c r="G127" i="251"/>
  <c r="J127" i="251" s="1"/>
  <c r="G128" i="251"/>
  <c r="G129" i="251"/>
  <c r="G130" i="251"/>
  <c r="J130" i="251" s="1"/>
  <c r="G131" i="251"/>
  <c r="J131" i="251" s="1"/>
  <c r="G132" i="251"/>
  <c r="G133" i="251"/>
  <c r="J133" i="251" s="1"/>
  <c r="G134" i="251"/>
  <c r="J134" i="251" s="1"/>
  <c r="G135" i="251"/>
  <c r="J135" i="251" s="1"/>
  <c r="G136" i="251"/>
  <c r="G137" i="251"/>
  <c r="G138" i="251"/>
  <c r="J138" i="251" s="1"/>
  <c r="G139" i="251"/>
  <c r="J139" i="251" s="1"/>
  <c r="G140" i="251"/>
  <c r="G141" i="251"/>
  <c r="J141" i="251" s="1"/>
  <c r="G142" i="251"/>
  <c r="J142" i="251" s="1"/>
  <c r="G143" i="251"/>
  <c r="J143" i="251" s="1"/>
  <c r="G144" i="251"/>
  <c r="G145" i="251"/>
  <c r="G146" i="251"/>
  <c r="J146" i="251" s="1"/>
  <c r="G147" i="251"/>
  <c r="J147" i="251" s="1"/>
  <c r="G148" i="251"/>
  <c r="G149" i="251"/>
  <c r="J149" i="251" s="1"/>
  <c r="G150" i="251"/>
  <c r="J150" i="251" s="1"/>
  <c r="G151" i="251"/>
  <c r="J151" i="251" s="1"/>
  <c r="G152" i="251"/>
  <c r="G153" i="251"/>
  <c r="G154" i="251"/>
  <c r="J154" i="251" s="1"/>
  <c r="G155" i="251"/>
  <c r="J155" i="251" s="1"/>
  <c r="G156" i="251"/>
  <c r="G157" i="251"/>
  <c r="J157" i="251" s="1"/>
  <c r="G158" i="251"/>
  <c r="J158" i="251" s="1"/>
  <c r="G159" i="251"/>
  <c r="J159" i="251" s="1"/>
  <c r="G160" i="251"/>
  <c r="G161" i="251"/>
  <c r="G162" i="251"/>
  <c r="J162" i="251" s="1"/>
  <c r="G163" i="251"/>
  <c r="J163" i="251" s="1"/>
  <c r="G164" i="251"/>
  <c r="G165" i="251"/>
  <c r="J165" i="251" s="1"/>
  <c r="G166" i="251"/>
  <c r="J166" i="251" s="1"/>
  <c r="G167" i="251"/>
  <c r="J167" i="251" s="1"/>
  <c r="G168" i="251"/>
  <c r="G169" i="251"/>
  <c r="G170" i="251"/>
  <c r="J170" i="251" s="1"/>
  <c r="G171" i="251"/>
  <c r="J171" i="251" s="1"/>
  <c r="G172" i="251"/>
  <c r="G173" i="251"/>
  <c r="J173" i="251" s="1"/>
  <c r="G174" i="251"/>
  <c r="J174" i="251" s="1"/>
  <c r="G175" i="251"/>
  <c r="J175" i="251" s="1"/>
  <c r="G176" i="251"/>
  <c r="G177" i="251"/>
  <c r="G178" i="251"/>
  <c r="J178" i="251" s="1"/>
  <c r="G179" i="251"/>
  <c r="J179" i="251" s="1"/>
  <c r="G180" i="251"/>
  <c r="G181" i="251"/>
  <c r="J181" i="251" s="1"/>
  <c r="G182" i="251"/>
  <c r="J182" i="251" s="1"/>
  <c r="G183" i="251"/>
  <c r="G184" i="251"/>
  <c r="G185" i="251"/>
  <c r="G186" i="251"/>
  <c r="J186" i="251" s="1"/>
  <c r="G187" i="251"/>
  <c r="J187" i="251" s="1"/>
  <c r="G188" i="251"/>
  <c r="G189" i="251"/>
  <c r="J189" i="251" s="1"/>
  <c r="G190" i="251"/>
  <c r="J190" i="251" s="1"/>
  <c r="G191" i="251"/>
  <c r="G192" i="251"/>
  <c r="G193" i="251"/>
  <c r="G194" i="251"/>
  <c r="J194" i="251" s="1"/>
  <c r="G195" i="251"/>
  <c r="J195" i="251" s="1"/>
  <c r="G196" i="251"/>
  <c r="G197" i="251"/>
  <c r="J197" i="251" s="1"/>
  <c r="G198" i="251"/>
  <c r="J198" i="251" s="1"/>
  <c r="G199" i="251"/>
  <c r="G200" i="251"/>
  <c r="G201" i="251"/>
  <c r="G202" i="251"/>
  <c r="J202" i="251" s="1"/>
  <c r="G203" i="251"/>
  <c r="J203" i="251" s="1"/>
  <c r="G204" i="251"/>
  <c r="G205" i="251"/>
  <c r="J205" i="251" s="1"/>
  <c r="G206" i="251"/>
  <c r="J206" i="251" s="1"/>
  <c r="G207" i="251"/>
  <c r="G208" i="251"/>
  <c r="G209" i="251"/>
  <c r="G210" i="251"/>
  <c r="J210" i="251" s="1"/>
  <c r="G211" i="251"/>
  <c r="J211" i="251" s="1"/>
  <c r="G212" i="251"/>
  <c r="G213" i="251"/>
  <c r="J213" i="251" s="1"/>
  <c r="G214" i="251"/>
  <c r="J214" i="251" s="1"/>
  <c r="G215" i="251"/>
  <c r="G216" i="251"/>
  <c r="G217" i="251"/>
  <c r="G218" i="251"/>
  <c r="J218" i="251" s="1"/>
  <c r="G219" i="251"/>
  <c r="J219" i="251" s="1"/>
  <c r="G220" i="251"/>
  <c r="G221" i="251"/>
  <c r="J221" i="251" s="1"/>
  <c r="G222" i="251"/>
  <c r="J222" i="251" s="1"/>
  <c r="G223" i="251"/>
  <c r="G224" i="251"/>
  <c r="G225" i="251"/>
  <c r="G226" i="251"/>
  <c r="J226" i="251" s="1"/>
  <c r="G227" i="251"/>
  <c r="J227" i="251" s="1"/>
  <c r="G228" i="251"/>
  <c r="G229" i="251"/>
  <c r="J229" i="251" s="1"/>
  <c r="G230" i="251"/>
  <c r="J230" i="251" s="1"/>
  <c r="G231" i="251"/>
  <c r="G232" i="251"/>
  <c r="G233" i="251"/>
  <c r="G234" i="251"/>
  <c r="J234" i="251" s="1"/>
  <c r="G235" i="251"/>
  <c r="J235" i="251" s="1"/>
  <c r="G236" i="251"/>
  <c r="G237" i="251"/>
  <c r="J237" i="251" s="1"/>
  <c r="G238" i="251"/>
  <c r="J238" i="251" s="1"/>
  <c r="G239" i="251"/>
  <c r="G240" i="251"/>
  <c r="G241" i="251"/>
  <c r="G242" i="251"/>
  <c r="J242" i="251" s="1"/>
  <c r="G243" i="251"/>
  <c r="J243" i="251" s="1"/>
  <c r="G244" i="251"/>
  <c r="G245" i="251"/>
  <c r="J245" i="251" s="1"/>
  <c r="G246" i="251"/>
  <c r="J246" i="251" s="1"/>
  <c r="G247" i="251"/>
  <c r="G248" i="251"/>
  <c r="G249" i="251"/>
  <c r="G250" i="251"/>
  <c r="J250" i="251" s="1"/>
  <c r="G251" i="251"/>
  <c r="J251" i="251" s="1"/>
  <c r="G252" i="251"/>
  <c r="G253" i="251"/>
  <c r="J253" i="251" s="1"/>
  <c r="G254" i="251"/>
  <c r="J254" i="251" s="1"/>
  <c r="G255" i="251"/>
  <c r="G256" i="251"/>
  <c r="G257" i="251"/>
  <c r="G258" i="251"/>
  <c r="J258" i="251" s="1"/>
  <c r="G259" i="251"/>
  <c r="J259" i="251" s="1"/>
  <c r="G260" i="251"/>
  <c r="G261" i="251"/>
  <c r="J261" i="251" s="1"/>
  <c r="G262" i="251"/>
  <c r="J262" i="251" s="1"/>
  <c r="G263" i="251"/>
  <c r="G264" i="251"/>
  <c r="G265" i="251"/>
  <c r="G266" i="251"/>
  <c r="J266" i="251" s="1"/>
  <c r="G267" i="251"/>
  <c r="J267" i="251" s="1"/>
  <c r="G268" i="251"/>
  <c r="G269" i="251"/>
  <c r="J269" i="251" s="1"/>
  <c r="G270" i="251"/>
  <c r="J270" i="251" s="1"/>
  <c r="G271" i="251"/>
  <c r="G272" i="251"/>
  <c r="G273" i="251"/>
  <c r="G274" i="251"/>
  <c r="J274" i="251" s="1"/>
  <c r="G275" i="251"/>
  <c r="J275" i="251" s="1"/>
  <c r="G276" i="251"/>
  <c r="G277" i="251"/>
  <c r="J277" i="251" s="1"/>
  <c r="G278" i="251"/>
  <c r="J278" i="251" s="1"/>
  <c r="G279" i="251"/>
  <c r="G280" i="251"/>
  <c r="G281" i="251"/>
  <c r="G282" i="251"/>
  <c r="J282" i="251" s="1"/>
  <c r="G283" i="251"/>
  <c r="J283" i="251" s="1"/>
  <c r="H20" i="251"/>
  <c r="G20" i="251"/>
  <c r="J74" i="251"/>
  <c r="D19" i="251"/>
  <c r="C19" i="251"/>
  <c r="B21" i="251"/>
  <c r="B22" i="251" s="1"/>
  <c r="B23" i="251" s="1"/>
  <c r="B24" i="251" s="1"/>
  <c r="B25" i="251" s="1"/>
  <c r="B26" i="251" s="1"/>
  <c r="B27" i="251" s="1"/>
  <c r="B28" i="251" s="1"/>
  <c r="B29" i="251" s="1"/>
  <c r="B30" i="251" s="1"/>
  <c r="B31" i="251" s="1"/>
  <c r="B32" i="251" s="1"/>
  <c r="B33" i="251" s="1"/>
  <c r="B34" i="251" s="1"/>
  <c r="B35" i="251" s="1"/>
  <c r="B36" i="251" s="1"/>
  <c r="B37" i="251" s="1"/>
  <c r="B38" i="251" s="1"/>
  <c r="B39" i="251" s="1"/>
  <c r="B40" i="251" s="1"/>
  <c r="B41" i="251" s="1"/>
  <c r="B42" i="251" s="1"/>
  <c r="B43" i="251" s="1"/>
  <c r="B44" i="251" s="1"/>
  <c r="B45" i="251" s="1"/>
  <c r="B46" i="251" s="1"/>
  <c r="B47" i="251" s="1"/>
  <c r="B48" i="251" s="1"/>
  <c r="B49" i="251" s="1"/>
  <c r="B50" i="251" s="1"/>
  <c r="B51" i="251" s="1"/>
  <c r="B52" i="251" s="1"/>
  <c r="B53" i="251" s="1"/>
  <c r="B54" i="251" s="1"/>
  <c r="B55" i="251" s="1"/>
  <c r="B56" i="251" s="1"/>
  <c r="B57" i="251" s="1"/>
  <c r="B58" i="251" s="1"/>
  <c r="B59" i="251" s="1"/>
  <c r="B60" i="251" s="1"/>
  <c r="B61" i="251" s="1"/>
  <c r="B62" i="251" s="1"/>
  <c r="B63" i="251" s="1"/>
  <c r="B64" i="251" s="1"/>
  <c r="B65" i="251" s="1"/>
  <c r="B66" i="251" s="1"/>
  <c r="B67" i="251" s="1"/>
  <c r="B68" i="251" s="1"/>
  <c r="B69" i="251" s="1"/>
  <c r="B70" i="251" s="1"/>
  <c r="B71" i="251" s="1"/>
  <c r="B72" i="251" s="1"/>
  <c r="B73" i="251" s="1"/>
  <c r="B74" i="251" s="1"/>
  <c r="B75" i="251" s="1"/>
  <c r="B76" i="251" s="1"/>
  <c r="B77" i="251" s="1"/>
  <c r="B78" i="251" s="1"/>
  <c r="B79" i="251" s="1"/>
  <c r="B80" i="251" s="1"/>
  <c r="B81" i="251" s="1"/>
  <c r="B82" i="251" s="1"/>
  <c r="B83" i="251" s="1"/>
  <c r="B84" i="251" s="1"/>
  <c r="B85" i="251" s="1"/>
  <c r="B86" i="251" s="1"/>
  <c r="B87" i="251" s="1"/>
  <c r="B88" i="251" s="1"/>
  <c r="B89" i="251" s="1"/>
  <c r="B90" i="251" s="1"/>
  <c r="B91" i="251" s="1"/>
  <c r="B92" i="251" s="1"/>
  <c r="B93" i="251" s="1"/>
  <c r="B94" i="251" s="1"/>
  <c r="B95" i="251" s="1"/>
  <c r="B96" i="251" s="1"/>
  <c r="B97" i="251" s="1"/>
  <c r="B98" i="251" s="1"/>
  <c r="B99" i="251" s="1"/>
  <c r="B100" i="251" s="1"/>
  <c r="B101" i="251" s="1"/>
  <c r="B102" i="251" s="1"/>
  <c r="B103" i="251" s="1"/>
  <c r="B104" i="251" s="1"/>
  <c r="B105" i="251" s="1"/>
  <c r="B106" i="251" s="1"/>
  <c r="B107" i="251" s="1"/>
  <c r="B108" i="251" s="1"/>
  <c r="B109" i="251" s="1"/>
  <c r="B110" i="251" s="1"/>
  <c r="B111" i="251" s="1"/>
  <c r="B112" i="251" s="1"/>
  <c r="B113" i="251" s="1"/>
  <c r="B114" i="251" s="1"/>
  <c r="B115" i="251" s="1"/>
  <c r="B116" i="251" s="1"/>
  <c r="B117" i="251" s="1"/>
  <c r="B118" i="251" s="1"/>
  <c r="B119" i="251" s="1"/>
  <c r="B120" i="251" s="1"/>
  <c r="B121" i="251" s="1"/>
  <c r="B122" i="251" s="1"/>
  <c r="B123" i="251" s="1"/>
  <c r="B124" i="251" s="1"/>
  <c r="B125" i="251" s="1"/>
  <c r="B126" i="251" s="1"/>
  <c r="B127" i="251" s="1"/>
  <c r="B128" i="251" s="1"/>
  <c r="B129" i="251" s="1"/>
  <c r="B130" i="251" s="1"/>
  <c r="B131" i="251" s="1"/>
  <c r="B132" i="251" s="1"/>
  <c r="B133" i="251" s="1"/>
  <c r="B134" i="251" s="1"/>
  <c r="B135" i="251" s="1"/>
  <c r="B136" i="251" s="1"/>
  <c r="B137" i="251" s="1"/>
  <c r="B138" i="251" s="1"/>
  <c r="B139" i="251" s="1"/>
  <c r="B140" i="251" s="1"/>
  <c r="B141" i="251" s="1"/>
  <c r="B142" i="251" s="1"/>
  <c r="B143" i="251" s="1"/>
  <c r="B144" i="251" s="1"/>
  <c r="B145" i="251" s="1"/>
  <c r="B146" i="251" s="1"/>
  <c r="B147" i="251" s="1"/>
  <c r="B148" i="251" s="1"/>
  <c r="B149" i="251" s="1"/>
  <c r="B150" i="251" s="1"/>
  <c r="B151" i="251" s="1"/>
  <c r="B152" i="251" s="1"/>
  <c r="B153" i="251" s="1"/>
  <c r="B154" i="251" s="1"/>
  <c r="B155" i="251" s="1"/>
  <c r="B156" i="251" s="1"/>
  <c r="B157" i="251" s="1"/>
  <c r="B158" i="251" s="1"/>
  <c r="B159" i="251" s="1"/>
  <c r="B160" i="251" s="1"/>
  <c r="B161" i="251" s="1"/>
  <c r="B162" i="251" s="1"/>
  <c r="B163" i="251" s="1"/>
  <c r="B164" i="251" s="1"/>
  <c r="B165" i="251" s="1"/>
  <c r="B166" i="251" s="1"/>
  <c r="B167" i="251" s="1"/>
  <c r="B168" i="251" s="1"/>
  <c r="B169" i="251" s="1"/>
  <c r="B170" i="251" s="1"/>
  <c r="B171" i="251" s="1"/>
  <c r="B172" i="251" s="1"/>
  <c r="B173" i="251" s="1"/>
  <c r="B174" i="251" s="1"/>
  <c r="B175" i="251" s="1"/>
  <c r="B176" i="251" s="1"/>
  <c r="B177" i="251" s="1"/>
  <c r="B178" i="251" s="1"/>
  <c r="B179" i="251" s="1"/>
  <c r="B180" i="251" s="1"/>
  <c r="B181" i="251" s="1"/>
  <c r="B182" i="251" s="1"/>
  <c r="B183" i="251" s="1"/>
  <c r="B184" i="251" s="1"/>
  <c r="B185" i="251" s="1"/>
  <c r="B186" i="251" s="1"/>
  <c r="B187" i="251" s="1"/>
  <c r="B188" i="251" s="1"/>
  <c r="B189" i="251" s="1"/>
  <c r="B190" i="251" s="1"/>
  <c r="B191" i="251" s="1"/>
  <c r="B192" i="251" s="1"/>
  <c r="B193" i="251" s="1"/>
  <c r="B194" i="251" s="1"/>
  <c r="B195" i="251" s="1"/>
  <c r="B196" i="251" s="1"/>
  <c r="B197" i="251" s="1"/>
  <c r="B198" i="251" s="1"/>
  <c r="B199" i="251" s="1"/>
  <c r="B200" i="251" s="1"/>
  <c r="B201" i="251" s="1"/>
  <c r="B202" i="251" s="1"/>
  <c r="B203" i="251" s="1"/>
  <c r="B204" i="251" s="1"/>
  <c r="B205" i="251" s="1"/>
  <c r="B206" i="251" s="1"/>
  <c r="B207" i="251" s="1"/>
  <c r="B208" i="251" s="1"/>
  <c r="B209" i="251" s="1"/>
  <c r="B210" i="251" s="1"/>
  <c r="B211" i="251" s="1"/>
  <c r="B212" i="251" s="1"/>
  <c r="B213" i="251" s="1"/>
  <c r="B214" i="251" s="1"/>
  <c r="B215" i="251" s="1"/>
  <c r="B216" i="251" s="1"/>
  <c r="B217" i="251" s="1"/>
  <c r="B218" i="251" s="1"/>
  <c r="B219" i="251" s="1"/>
  <c r="B220" i="251" s="1"/>
  <c r="B221" i="251" s="1"/>
  <c r="B222" i="251" s="1"/>
  <c r="B223" i="251" s="1"/>
  <c r="B224" i="251" s="1"/>
  <c r="B225" i="251" s="1"/>
  <c r="B226" i="251" s="1"/>
  <c r="B227" i="251" s="1"/>
  <c r="B228" i="251" s="1"/>
  <c r="B229" i="251" s="1"/>
  <c r="B230" i="251" s="1"/>
  <c r="B231" i="251" s="1"/>
  <c r="B232" i="251" s="1"/>
  <c r="B233" i="251" s="1"/>
  <c r="B234" i="251" s="1"/>
  <c r="B235" i="251" s="1"/>
  <c r="B236" i="251" s="1"/>
  <c r="B237" i="251" s="1"/>
  <c r="B238" i="251" s="1"/>
  <c r="B239" i="251" s="1"/>
  <c r="B240" i="251" s="1"/>
  <c r="B241" i="251" s="1"/>
  <c r="B242" i="251" s="1"/>
  <c r="B243" i="251" s="1"/>
  <c r="B244" i="251" s="1"/>
  <c r="B245" i="251" s="1"/>
  <c r="B246" i="251" s="1"/>
  <c r="B247" i="251" s="1"/>
  <c r="B248" i="251" s="1"/>
  <c r="B249" i="251" s="1"/>
  <c r="B250" i="251" s="1"/>
  <c r="B251" i="251" s="1"/>
  <c r="B252" i="251" s="1"/>
  <c r="B253" i="251" s="1"/>
  <c r="B254" i="251" s="1"/>
  <c r="B255" i="251" s="1"/>
  <c r="B256" i="251" s="1"/>
  <c r="B257" i="251" s="1"/>
  <c r="B258" i="251" s="1"/>
  <c r="B259" i="251" s="1"/>
  <c r="B260" i="251" s="1"/>
  <c r="B261" i="251" s="1"/>
  <c r="B262" i="251" s="1"/>
  <c r="B263" i="251" s="1"/>
  <c r="B264" i="251" s="1"/>
  <c r="B265" i="251" s="1"/>
  <c r="B266" i="251" s="1"/>
  <c r="B267" i="251" s="1"/>
  <c r="B268" i="251" s="1"/>
  <c r="B269" i="251" s="1"/>
  <c r="B270" i="251" s="1"/>
  <c r="B271" i="251" s="1"/>
  <c r="B272" i="251" s="1"/>
  <c r="B273" i="251" s="1"/>
  <c r="B274" i="251" s="1"/>
  <c r="B275" i="251" s="1"/>
  <c r="B276" i="251" s="1"/>
  <c r="B277" i="251" s="1"/>
  <c r="B278" i="251" s="1"/>
  <c r="B279" i="251" s="1"/>
  <c r="B280" i="251" s="1"/>
  <c r="B281" i="251" s="1"/>
  <c r="B282" i="251" s="1"/>
  <c r="B283" i="251" s="1"/>
  <c r="J109" i="251" l="1"/>
  <c r="J118" i="251"/>
  <c r="J110" i="251"/>
  <c r="J70" i="251"/>
  <c r="J50" i="251"/>
  <c r="J22" i="251"/>
  <c r="J61" i="251"/>
  <c r="C20" i="251"/>
  <c r="C21" i="251" s="1"/>
  <c r="C22" i="251" s="1"/>
  <c r="C23" i="251" s="1"/>
  <c r="C24" i="251" s="1"/>
  <c r="J102" i="251"/>
  <c r="J94" i="251"/>
  <c r="J86" i="251"/>
  <c r="J78" i="251"/>
  <c r="J119" i="251"/>
  <c r="J71" i="251"/>
  <c r="J62" i="251"/>
  <c r="J58" i="251"/>
  <c r="J54" i="251"/>
  <c r="J46" i="251"/>
  <c r="J42" i="251"/>
  <c r="J38" i="251"/>
  <c r="J34" i="251"/>
  <c r="J30" i="251"/>
  <c r="J26" i="251"/>
  <c r="J103" i="251"/>
  <c r="J101" i="251"/>
  <c r="J111" i="251"/>
  <c r="J95" i="251"/>
  <c r="J87" i="251"/>
  <c r="J79" i="251"/>
  <c r="J83" i="251"/>
  <c r="J75" i="251"/>
  <c r="J90" i="251"/>
  <c r="J82" i="251"/>
  <c r="J115" i="251"/>
  <c r="J93" i="251"/>
  <c r="J85" i="251"/>
  <c r="J63" i="251"/>
  <c r="J59" i="251"/>
  <c r="J55" i="251"/>
  <c r="J51" i="251"/>
  <c r="J47" i="251"/>
  <c r="J43" i="251"/>
  <c r="J39" i="251"/>
  <c r="J35" i="251"/>
  <c r="J31" i="251"/>
  <c r="J27" i="251"/>
  <c r="J23" i="251"/>
  <c r="D20" i="251"/>
  <c r="D21" i="251" s="1"/>
  <c r="D22" i="251" s="1"/>
  <c r="J69" i="251"/>
  <c r="J122" i="251"/>
  <c r="J114" i="251"/>
  <c r="J66" i="251"/>
  <c r="J98" i="251"/>
  <c r="J77" i="251"/>
  <c r="J123" i="251"/>
  <c r="J117" i="251"/>
  <c r="J53" i="251"/>
  <c r="J45" i="251"/>
  <c r="J29" i="251"/>
  <c r="J21" i="251"/>
  <c r="E19" i="251"/>
  <c r="J107" i="251"/>
  <c r="J99" i="251"/>
  <c r="J91" i="251"/>
  <c r="J67" i="251"/>
  <c r="J280" i="251"/>
  <c r="J276" i="251"/>
  <c r="J272" i="251"/>
  <c r="J268" i="251"/>
  <c r="J264" i="251"/>
  <c r="J260" i="251"/>
  <c r="J256" i="251"/>
  <c r="J252" i="251"/>
  <c r="J248" i="251"/>
  <c r="J244" i="251"/>
  <c r="J240" i="251"/>
  <c r="J236" i="251"/>
  <c r="J232" i="251"/>
  <c r="J228" i="251"/>
  <c r="J224" i="251"/>
  <c r="J220" i="251"/>
  <c r="J216" i="251"/>
  <c r="J212" i="251"/>
  <c r="J208" i="251"/>
  <c r="J204" i="251"/>
  <c r="J200" i="251"/>
  <c r="J196" i="251"/>
  <c r="J192" i="251"/>
  <c r="J188" i="251"/>
  <c r="J184" i="251"/>
  <c r="J180" i="251"/>
  <c r="J176" i="251"/>
  <c r="J172" i="251"/>
  <c r="J168" i="251"/>
  <c r="J164" i="251"/>
  <c r="J160" i="251"/>
  <c r="J156" i="251"/>
  <c r="J152" i="251"/>
  <c r="J148" i="251"/>
  <c r="J144" i="251"/>
  <c r="J140" i="251"/>
  <c r="J136" i="251"/>
  <c r="J132" i="251"/>
  <c r="J128" i="251"/>
  <c r="J124" i="251"/>
  <c r="J120" i="251"/>
  <c r="J116" i="251"/>
  <c r="J112" i="251"/>
  <c r="J108" i="251"/>
  <c r="J104" i="251"/>
  <c r="J100" i="251"/>
  <c r="J96" i="251"/>
  <c r="J92" i="251"/>
  <c r="J88" i="251"/>
  <c r="J84" i="251"/>
  <c r="J80" i="251"/>
  <c r="J76" i="251"/>
  <c r="J72" i="251"/>
  <c r="J68" i="251"/>
  <c r="J64" i="251"/>
  <c r="J60" i="251"/>
  <c r="J56" i="251"/>
  <c r="J52" i="251"/>
  <c r="J48" i="251"/>
  <c r="J44" i="251"/>
  <c r="J40" i="251"/>
  <c r="J36" i="251"/>
  <c r="J32" i="251"/>
  <c r="J28" i="251"/>
  <c r="J24" i="251"/>
  <c r="J279" i="251"/>
  <c r="J271" i="251"/>
  <c r="J263" i="251"/>
  <c r="J255" i="251"/>
  <c r="J247" i="251"/>
  <c r="J239" i="251"/>
  <c r="J231" i="251"/>
  <c r="J223" i="251"/>
  <c r="J215" i="251"/>
  <c r="J207" i="251"/>
  <c r="J199" i="251"/>
  <c r="J191" i="251"/>
  <c r="J183" i="251"/>
  <c r="J20" i="251"/>
  <c r="J281" i="251"/>
  <c r="J273" i="251"/>
  <c r="J265" i="251"/>
  <c r="J257" i="251"/>
  <c r="J249" i="251"/>
  <c r="J241" i="251"/>
  <c r="J233" i="251"/>
  <c r="J225" i="251"/>
  <c r="J217" i="251"/>
  <c r="J209" i="251"/>
  <c r="J201" i="251"/>
  <c r="J193" i="251"/>
  <c r="J185" i="251"/>
  <c r="J177" i="251"/>
  <c r="J169" i="251"/>
  <c r="J161" i="251"/>
  <c r="J153" i="251"/>
  <c r="J145" i="251"/>
  <c r="J137" i="251"/>
  <c r="J129" i="251"/>
  <c r="J121" i="251"/>
  <c r="J113" i="251"/>
  <c r="J105" i="251"/>
  <c r="J97" i="251"/>
  <c r="J89" i="251"/>
  <c r="J81" i="251"/>
  <c r="J73" i="251"/>
  <c r="J65" i="251"/>
  <c r="J57" i="251"/>
  <c r="J49" i="251"/>
  <c r="J41" i="251"/>
  <c r="J33" i="251"/>
  <c r="J25" i="251"/>
  <c r="D23" i="251" l="1"/>
  <c r="D24" i="251" s="1"/>
  <c r="D25" i="251" s="1"/>
  <c r="D26" i="251" s="1"/>
  <c r="D27" i="251" s="1"/>
  <c r="D28" i="251" s="1"/>
  <c r="D29" i="251" s="1"/>
  <c r="D30" i="251" s="1"/>
  <c r="D31" i="251" s="1"/>
  <c r="D32" i="251" s="1"/>
  <c r="D33" i="251" s="1"/>
  <c r="D34" i="251" s="1"/>
  <c r="D35" i="251" s="1"/>
  <c r="D36" i="251" s="1"/>
  <c r="D37" i="251" s="1"/>
  <c r="D38" i="251" s="1"/>
  <c r="D39" i="251" s="1"/>
  <c r="D40" i="251" s="1"/>
  <c r="D41" i="251" s="1"/>
  <c r="D42" i="251" s="1"/>
  <c r="D43" i="251" s="1"/>
  <c r="D44" i="251" s="1"/>
  <c r="D45" i="251" s="1"/>
  <c r="D46" i="251" s="1"/>
  <c r="D47" i="251" s="1"/>
  <c r="D48" i="251" s="1"/>
  <c r="D49" i="251" s="1"/>
  <c r="D50" i="251" s="1"/>
  <c r="D51" i="251" s="1"/>
  <c r="D52" i="251" s="1"/>
  <c r="D53" i="251" s="1"/>
  <c r="D54" i="251" s="1"/>
  <c r="D55" i="251" s="1"/>
  <c r="D56" i="251" s="1"/>
  <c r="D57" i="251" s="1"/>
  <c r="D58" i="251" s="1"/>
  <c r="D59" i="251" s="1"/>
  <c r="D60" i="251" s="1"/>
  <c r="D61" i="251" s="1"/>
  <c r="D62" i="251" s="1"/>
  <c r="D63" i="251" s="1"/>
  <c r="D64" i="251" s="1"/>
  <c r="D65" i="251" s="1"/>
  <c r="D66" i="251" s="1"/>
  <c r="D67" i="251" s="1"/>
  <c r="D68" i="251" s="1"/>
  <c r="D69" i="251" s="1"/>
  <c r="D70" i="251" s="1"/>
  <c r="D71" i="251" s="1"/>
  <c r="D72" i="251" s="1"/>
  <c r="D73" i="251" s="1"/>
  <c r="D74" i="251" s="1"/>
  <c r="D75" i="251" s="1"/>
  <c r="D76" i="251" s="1"/>
  <c r="D77" i="251" s="1"/>
  <c r="D78" i="251" s="1"/>
  <c r="D79" i="251" s="1"/>
  <c r="D80" i="251" s="1"/>
  <c r="D81" i="251" s="1"/>
  <c r="D82" i="251" s="1"/>
  <c r="D83" i="251" s="1"/>
  <c r="D84" i="251" s="1"/>
  <c r="D85" i="251" s="1"/>
  <c r="D86" i="251" s="1"/>
  <c r="D87" i="251" s="1"/>
  <c r="D88" i="251" s="1"/>
  <c r="D89" i="251" s="1"/>
  <c r="D90" i="251" s="1"/>
  <c r="D91" i="251" s="1"/>
  <c r="D92" i="251" s="1"/>
  <c r="D93" i="251" s="1"/>
  <c r="D94" i="251" s="1"/>
  <c r="D95" i="251" s="1"/>
  <c r="D96" i="251" s="1"/>
  <c r="D97" i="251" s="1"/>
  <c r="D98" i="251" s="1"/>
  <c r="D99" i="251" s="1"/>
  <c r="D100" i="251" s="1"/>
  <c r="D101" i="251" s="1"/>
  <c r="D102" i="251" s="1"/>
  <c r="D103" i="251" s="1"/>
  <c r="D104" i="251" s="1"/>
  <c r="D105" i="251" s="1"/>
  <c r="D106" i="251" s="1"/>
  <c r="D107" i="251" s="1"/>
  <c r="D108" i="251" s="1"/>
  <c r="D109" i="251" s="1"/>
  <c r="D110" i="251" s="1"/>
  <c r="D111" i="251" s="1"/>
  <c r="D112" i="251" s="1"/>
  <c r="D113" i="251" s="1"/>
  <c r="D114" i="251" s="1"/>
  <c r="D115" i="251" s="1"/>
  <c r="D116" i="251" s="1"/>
  <c r="D117" i="251" s="1"/>
  <c r="D118" i="251" s="1"/>
  <c r="D119" i="251" s="1"/>
  <c r="D120" i="251" s="1"/>
  <c r="D121" i="251" s="1"/>
  <c r="D122" i="251" s="1"/>
  <c r="D123" i="251" s="1"/>
  <c r="D124" i="251" s="1"/>
  <c r="D125" i="251" s="1"/>
  <c r="D126" i="251" s="1"/>
  <c r="D127" i="251" s="1"/>
  <c r="D128" i="251" s="1"/>
  <c r="D129" i="251" s="1"/>
  <c r="D130" i="251" s="1"/>
  <c r="D131" i="251" s="1"/>
  <c r="D132" i="251" s="1"/>
  <c r="D133" i="251" s="1"/>
  <c r="D134" i="251" s="1"/>
  <c r="D135" i="251" s="1"/>
  <c r="D136" i="251" s="1"/>
  <c r="D137" i="251" s="1"/>
  <c r="D138" i="251" s="1"/>
  <c r="D139" i="251" s="1"/>
  <c r="D140" i="251" s="1"/>
  <c r="D141" i="251" s="1"/>
  <c r="D142" i="251" s="1"/>
  <c r="D143" i="251" s="1"/>
  <c r="D144" i="251" s="1"/>
  <c r="D145" i="251" s="1"/>
  <c r="D146" i="251" s="1"/>
  <c r="D147" i="251" s="1"/>
  <c r="D148" i="251" s="1"/>
  <c r="D149" i="251" s="1"/>
  <c r="D150" i="251" s="1"/>
  <c r="D151" i="251" s="1"/>
  <c r="D152" i="251" s="1"/>
  <c r="D153" i="251" s="1"/>
  <c r="D154" i="251" s="1"/>
  <c r="D155" i="251" s="1"/>
  <c r="D156" i="251" s="1"/>
  <c r="D157" i="251" s="1"/>
  <c r="D158" i="251" s="1"/>
  <c r="D159" i="251" s="1"/>
  <c r="D160" i="251" s="1"/>
  <c r="D161" i="251" s="1"/>
  <c r="D162" i="251" s="1"/>
  <c r="D163" i="251" s="1"/>
  <c r="D164" i="251" s="1"/>
  <c r="D165" i="251" s="1"/>
  <c r="D166" i="251" s="1"/>
  <c r="D167" i="251" s="1"/>
  <c r="D168" i="251" s="1"/>
  <c r="D169" i="251" s="1"/>
  <c r="D170" i="251" s="1"/>
  <c r="D171" i="251" s="1"/>
  <c r="D172" i="251" s="1"/>
  <c r="D173" i="251" s="1"/>
  <c r="D174" i="251" s="1"/>
  <c r="D175" i="251" s="1"/>
  <c r="D176" i="251" s="1"/>
  <c r="D177" i="251" s="1"/>
  <c r="D178" i="251" s="1"/>
  <c r="D179" i="251" s="1"/>
  <c r="D180" i="251" s="1"/>
  <c r="D181" i="251" s="1"/>
  <c r="D182" i="251" s="1"/>
  <c r="D183" i="251" s="1"/>
  <c r="D184" i="251" s="1"/>
  <c r="D185" i="251" s="1"/>
  <c r="D186" i="251" s="1"/>
  <c r="D187" i="251" s="1"/>
  <c r="D188" i="251" s="1"/>
  <c r="D189" i="251" s="1"/>
  <c r="D190" i="251" s="1"/>
  <c r="D191" i="251" s="1"/>
  <c r="D192" i="251" s="1"/>
  <c r="D193" i="251" s="1"/>
  <c r="D194" i="251" s="1"/>
  <c r="D195" i="251" s="1"/>
  <c r="D196" i="251" s="1"/>
  <c r="D197" i="251" s="1"/>
  <c r="D198" i="251" s="1"/>
  <c r="D199" i="251" s="1"/>
  <c r="D200" i="251" s="1"/>
  <c r="D201" i="251" s="1"/>
  <c r="D202" i="251" s="1"/>
  <c r="D203" i="251" s="1"/>
  <c r="D204" i="251" s="1"/>
  <c r="D205" i="251" s="1"/>
  <c r="D206" i="251" s="1"/>
  <c r="D207" i="251" s="1"/>
  <c r="D208" i="251" s="1"/>
  <c r="D209" i="251" s="1"/>
  <c r="D210" i="251" s="1"/>
  <c r="D211" i="251" s="1"/>
  <c r="D212" i="251" s="1"/>
  <c r="D213" i="251" s="1"/>
  <c r="D214" i="251" s="1"/>
  <c r="D215" i="251" s="1"/>
  <c r="D216" i="251" s="1"/>
  <c r="D217" i="251" s="1"/>
  <c r="D218" i="251" s="1"/>
  <c r="D219" i="251" s="1"/>
  <c r="D220" i="251" s="1"/>
  <c r="D221" i="251" s="1"/>
  <c r="D222" i="251" s="1"/>
  <c r="D223" i="251" s="1"/>
  <c r="D224" i="251" s="1"/>
  <c r="D225" i="251" s="1"/>
  <c r="D226" i="251" s="1"/>
  <c r="D227" i="251" s="1"/>
  <c r="D228" i="251" s="1"/>
  <c r="D229" i="251" s="1"/>
  <c r="D230" i="251" s="1"/>
  <c r="D231" i="251" s="1"/>
  <c r="D232" i="251" s="1"/>
  <c r="D233" i="251" s="1"/>
  <c r="D234" i="251" s="1"/>
  <c r="D235" i="251" s="1"/>
  <c r="D236" i="251" s="1"/>
  <c r="D237" i="251" s="1"/>
  <c r="D238" i="251" s="1"/>
  <c r="D239" i="251" s="1"/>
  <c r="D240" i="251" s="1"/>
  <c r="D241" i="251" s="1"/>
  <c r="D242" i="251" s="1"/>
  <c r="D243" i="251" s="1"/>
  <c r="D244" i="251" s="1"/>
  <c r="D245" i="251" s="1"/>
  <c r="D246" i="251" s="1"/>
  <c r="D247" i="251" s="1"/>
  <c r="D248" i="251" s="1"/>
  <c r="D249" i="251" s="1"/>
  <c r="D250" i="251" s="1"/>
  <c r="D251" i="251" s="1"/>
  <c r="D252" i="251" s="1"/>
  <c r="D253" i="251" s="1"/>
  <c r="D254" i="251" s="1"/>
  <c r="D255" i="251" s="1"/>
  <c r="D256" i="251" s="1"/>
  <c r="D257" i="251" s="1"/>
  <c r="D258" i="251" s="1"/>
  <c r="D259" i="251" s="1"/>
  <c r="D260" i="251" s="1"/>
  <c r="D261" i="251" s="1"/>
  <c r="D262" i="251" s="1"/>
  <c r="D263" i="251" s="1"/>
  <c r="D264" i="251" s="1"/>
  <c r="D265" i="251" s="1"/>
  <c r="D266" i="251" s="1"/>
  <c r="D267" i="251" s="1"/>
  <c r="D268" i="251" s="1"/>
  <c r="D269" i="251" s="1"/>
  <c r="D270" i="251" s="1"/>
  <c r="D271" i="251" s="1"/>
  <c r="D272" i="251" s="1"/>
  <c r="D273" i="251" s="1"/>
  <c r="D274" i="251" s="1"/>
  <c r="D275" i="251" s="1"/>
  <c r="D276" i="251" s="1"/>
  <c r="D277" i="251" s="1"/>
  <c r="D278" i="251" s="1"/>
  <c r="D279" i="251" s="1"/>
  <c r="D280" i="251" s="1"/>
  <c r="D281" i="251" s="1"/>
  <c r="D282" i="251" s="1"/>
  <c r="D283" i="251" s="1"/>
  <c r="E22" i="251"/>
  <c r="E20" i="251"/>
  <c r="E13" i="251"/>
  <c r="E21" i="251"/>
  <c r="C25" i="251"/>
  <c r="E24" i="251" l="1"/>
  <c r="E23" i="251"/>
  <c r="E25" i="251"/>
  <c r="C26" i="251"/>
  <c r="E26" i="251" l="1"/>
  <c r="C27" i="251"/>
  <c r="E27" i="251" l="1"/>
  <c r="C28" i="251"/>
  <c r="C29" i="251" l="1"/>
  <c r="E28" i="251"/>
  <c r="C30" i="251" l="1"/>
  <c r="E29" i="251"/>
  <c r="C31" i="251" l="1"/>
  <c r="E30" i="251"/>
  <c r="E31" i="251" l="1"/>
  <c r="C32" i="251"/>
  <c r="E32" i="251" l="1"/>
  <c r="C33" i="251"/>
  <c r="E33" i="251" l="1"/>
  <c r="C34" i="251"/>
  <c r="E34" i="251" l="1"/>
  <c r="C35" i="251"/>
  <c r="E35" i="251" l="1"/>
  <c r="C36" i="251"/>
  <c r="C37" i="251" l="1"/>
  <c r="E36" i="251"/>
  <c r="C38" i="251" l="1"/>
  <c r="E37" i="251"/>
  <c r="C39" i="251" l="1"/>
  <c r="E38" i="251"/>
  <c r="E39" i="251" l="1"/>
  <c r="C40" i="251"/>
  <c r="E40" i="251" l="1"/>
  <c r="C41" i="251"/>
  <c r="E41" i="251" l="1"/>
  <c r="C42" i="251"/>
  <c r="C43" i="251" l="1"/>
  <c r="E42" i="251"/>
  <c r="E43" i="251" l="1"/>
  <c r="C44" i="251"/>
  <c r="C45" i="251" l="1"/>
  <c r="E44" i="251"/>
  <c r="C46" i="251" l="1"/>
  <c r="E45" i="251"/>
  <c r="C47" i="251" l="1"/>
  <c r="E46" i="251"/>
  <c r="E47" i="251" l="1"/>
  <c r="C48" i="251"/>
  <c r="E48" i="251" l="1"/>
  <c r="C49" i="251"/>
  <c r="E49" i="251" l="1"/>
  <c r="C50" i="251"/>
  <c r="E50" i="251" l="1"/>
  <c r="C51" i="251"/>
  <c r="E51" i="251" l="1"/>
  <c r="C52" i="251"/>
  <c r="C53" i="251" l="1"/>
  <c r="E52" i="251"/>
  <c r="C54" i="251" l="1"/>
  <c r="E53" i="251"/>
  <c r="C55" i="251" l="1"/>
  <c r="E54" i="251"/>
  <c r="E55" i="251" l="1"/>
  <c r="C56" i="251"/>
  <c r="E56" i="251" l="1"/>
  <c r="C57" i="251"/>
  <c r="E57" i="251" l="1"/>
  <c r="C58" i="251"/>
  <c r="E58" i="251" l="1"/>
  <c r="C59" i="251"/>
  <c r="E59" i="251" l="1"/>
  <c r="C60" i="251"/>
  <c r="C61" i="251" l="1"/>
  <c r="E60" i="251"/>
  <c r="C62" i="251" l="1"/>
  <c r="E61" i="251"/>
  <c r="C63" i="251" l="1"/>
  <c r="E62" i="251"/>
  <c r="E63" i="251" l="1"/>
  <c r="C64" i="251"/>
  <c r="E64" i="251" l="1"/>
  <c r="C65" i="251"/>
  <c r="E65" i="251" l="1"/>
  <c r="C66" i="251"/>
  <c r="E66" i="251" l="1"/>
  <c r="C67" i="251"/>
  <c r="E67" i="251" l="1"/>
  <c r="C68" i="251"/>
  <c r="C69" i="251" l="1"/>
  <c r="E68" i="251"/>
  <c r="C70" i="251" l="1"/>
  <c r="E69" i="251"/>
  <c r="C71" i="251" l="1"/>
  <c r="E70" i="251"/>
  <c r="E71" i="251" l="1"/>
  <c r="C72" i="251"/>
  <c r="E72" i="251" l="1"/>
  <c r="C73" i="251"/>
  <c r="E73" i="251" l="1"/>
  <c r="C74" i="251"/>
  <c r="E74" i="251" l="1"/>
  <c r="C75" i="251"/>
  <c r="E75" i="251" l="1"/>
  <c r="C76" i="251"/>
  <c r="D13" i="251" l="1"/>
  <c r="C13" i="251"/>
  <c r="C77" i="251"/>
  <c r="E76" i="251"/>
  <c r="C78" i="251" l="1"/>
  <c r="E77" i="251"/>
  <c r="C79" i="251" l="1"/>
  <c r="E78" i="251"/>
  <c r="E79" i="251" l="1"/>
  <c r="C80" i="251"/>
  <c r="E80" i="251" l="1"/>
  <c r="C81" i="251"/>
  <c r="E81" i="251" l="1"/>
  <c r="C82" i="251"/>
  <c r="E82" i="251" l="1"/>
  <c r="C83" i="251"/>
  <c r="E83" i="251" l="1"/>
  <c r="C84" i="251"/>
  <c r="C85" i="251" l="1"/>
  <c r="E84" i="251"/>
  <c r="C86" i="251" l="1"/>
  <c r="E85" i="251"/>
  <c r="C87" i="251" l="1"/>
  <c r="E86" i="251"/>
  <c r="E87" i="251" l="1"/>
  <c r="C88" i="251"/>
  <c r="E88" i="251" l="1"/>
  <c r="C89" i="251"/>
  <c r="E89" i="251" l="1"/>
  <c r="C90" i="251"/>
  <c r="C91" i="251" l="1"/>
  <c r="E90" i="251"/>
  <c r="E91" i="251" l="1"/>
  <c r="C92" i="251"/>
  <c r="C93" i="251" l="1"/>
  <c r="E92" i="251"/>
  <c r="C94" i="251" l="1"/>
  <c r="E93" i="251"/>
  <c r="C95" i="251" l="1"/>
  <c r="E94" i="251"/>
  <c r="E95" i="251" l="1"/>
  <c r="C96" i="251"/>
  <c r="E96" i="251" l="1"/>
  <c r="C97" i="251"/>
  <c r="E97" i="251" l="1"/>
  <c r="C98" i="251"/>
  <c r="C99" i="251" l="1"/>
  <c r="E98" i="251"/>
  <c r="E99" i="251" l="1"/>
  <c r="C100" i="251"/>
  <c r="C101" i="251" l="1"/>
  <c r="E100" i="251"/>
  <c r="C102" i="251" l="1"/>
  <c r="E101" i="251"/>
  <c r="C103" i="251" l="1"/>
  <c r="E102" i="251"/>
  <c r="E103" i="251" l="1"/>
  <c r="C104" i="251"/>
  <c r="E104" i="251" l="1"/>
  <c r="C105" i="251"/>
  <c r="E105" i="251" l="1"/>
  <c r="C106" i="251"/>
  <c r="C107" i="251" l="1"/>
  <c r="E106" i="251"/>
  <c r="E107" i="251" l="1"/>
  <c r="C108" i="251"/>
  <c r="C109" i="251" l="1"/>
  <c r="E108" i="251"/>
  <c r="C110" i="251" l="1"/>
  <c r="E109" i="251"/>
  <c r="C111" i="251" l="1"/>
  <c r="E110" i="251"/>
  <c r="E111" i="251" l="1"/>
  <c r="C112" i="251"/>
  <c r="E112" i="251" l="1"/>
  <c r="C113" i="251"/>
  <c r="E113" i="251" l="1"/>
  <c r="C114" i="251"/>
  <c r="E114" i="251" l="1"/>
  <c r="C115" i="251"/>
  <c r="E115" i="251" l="1"/>
  <c r="C116" i="251"/>
  <c r="C117" i="251" l="1"/>
  <c r="E116" i="251"/>
  <c r="C118" i="251" l="1"/>
  <c r="E117" i="251"/>
  <c r="C119" i="251" l="1"/>
  <c r="E118" i="251"/>
  <c r="E119" i="251" l="1"/>
  <c r="C120" i="251"/>
  <c r="E120" i="251" l="1"/>
  <c r="C121" i="251"/>
  <c r="E121" i="251" l="1"/>
  <c r="C122" i="251"/>
  <c r="E122" i="251" l="1"/>
  <c r="C123" i="251"/>
  <c r="E123" i="251" l="1"/>
  <c r="C124" i="251"/>
  <c r="C125" i="251" l="1"/>
  <c r="E124" i="251"/>
  <c r="C126" i="251" l="1"/>
  <c r="E125" i="251"/>
  <c r="C127" i="251" l="1"/>
  <c r="E126" i="251"/>
  <c r="E127" i="251" l="1"/>
  <c r="C128" i="251"/>
  <c r="E128" i="251" l="1"/>
  <c r="C129" i="251"/>
  <c r="E129" i="251" l="1"/>
  <c r="C130" i="251"/>
  <c r="E130" i="251" l="1"/>
  <c r="C131" i="251"/>
  <c r="E131" i="251" l="1"/>
  <c r="C132" i="251"/>
  <c r="C133" i="251" l="1"/>
  <c r="E132" i="251"/>
  <c r="C134" i="251" l="1"/>
  <c r="E133" i="251"/>
  <c r="C135" i="251" l="1"/>
  <c r="E134" i="251"/>
  <c r="E135" i="251" l="1"/>
  <c r="C136" i="251"/>
  <c r="E136" i="251" l="1"/>
  <c r="C137" i="251"/>
  <c r="E137" i="251" l="1"/>
  <c r="C138" i="251"/>
  <c r="E138" i="251" l="1"/>
  <c r="C139" i="251"/>
  <c r="E139" i="251" l="1"/>
  <c r="C140" i="251"/>
  <c r="C141" i="251" l="1"/>
  <c r="E140" i="251"/>
  <c r="C142" i="251" l="1"/>
  <c r="E141" i="251"/>
  <c r="C143" i="251" l="1"/>
  <c r="E142" i="251"/>
  <c r="E143" i="251" l="1"/>
  <c r="C144" i="251"/>
  <c r="E144" i="251" l="1"/>
  <c r="C145" i="251"/>
  <c r="E145" i="251" l="1"/>
  <c r="C146" i="251"/>
  <c r="E146" i="251" l="1"/>
  <c r="C147" i="251"/>
  <c r="E147" i="251" l="1"/>
  <c r="C148" i="251"/>
  <c r="C149" i="251" l="1"/>
  <c r="E148" i="251"/>
  <c r="C150" i="251" l="1"/>
  <c r="E149" i="251"/>
  <c r="C151" i="251" l="1"/>
  <c r="E150" i="251"/>
  <c r="E151" i="251" l="1"/>
  <c r="C152" i="251"/>
  <c r="E152" i="251" l="1"/>
  <c r="C153" i="251"/>
  <c r="E153" i="251" l="1"/>
  <c r="C154" i="251"/>
  <c r="C155" i="251" l="1"/>
  <c r="E154" i="251"/>
  <c r="E155" i="251" l="1"/>
  <c r="C156" i="251"/>
  <c r="C157" i="251" l="1"/>
  <c r="E156" i="251"/>
  <c r="C158" i="251" l="1"/>
  <c r="E157" i="251"/>
  <c r="C159" i="251" l="1"/>
  <c r="E158" i="251"/>
  <c r="E159" i="251" l="1"/>
  <c r="C160" i="251"/>
  <c r="E160" i="251" l="1"/>
  <c r="C161" i="251"/>
  <c r="E161" i="251" l="1"/>
  <c r="C162" i="251"/>
  <c r="C163" i="251" l="1"/>
  <c r="E162" i="251"/>
  <c r="E163" i="251" l="1"/>
  <c r="C164" i="251"/>
  <c r="C165" i="251" l="1"/>
  <c r="E164" i="251"/>
  <c r="C166" i="251" l="1"/>
  <c r="E165" i="251"/>
  <c r="C167" i="251" l="1"/>
  <c r="E166" i="251"/>
  <c r="E167" i="251" l="1"/>
  <c r="C168" i="251"/>
  <c r="E168" i="251" l="1"/>
  <c r="C169" i="251"/>
  <c r="E169" i="251" l="1"/>
  <c r="C170" i="251"/>
  <c r="C171" i="251" l="1"/>
  <c r="E170" i="251"/>
  <c r="E171" i="251" l="1"/>
  <c r="C172" i="251"/>
  <c r="C173" i="251" l="1"/>
  <c r="E172" i="251"/>
  <c r="C174" i="251" l="1"/>
  <c r="E173" i="251"/>
  <c r="C175" i="251" l="1"/>
  <c r="E174" i="251"/>
  <c r="E175" i="251" l="1"/>
  <c r="C176" i="251"/>
  <c r="E176" i="251" l="1"/>
  <c r="C177" i="251"/>
  <c r="E177" i="251" l="1"/>
  <c r="C178" i="251"/>
  <c r="E178" i="251" l="1"/>
  <c r="C179" i="251"/>
  <c r="E179" i="251" l="1"/>
  <c r="C180" i="251"/>
  <c r="C181" i="251" l="1"/>
  <c r="E180" i="251"/>
  <c r="C182" i="251" l="1"/>
  <c r="E181" i="251"/>
  <c r="C183" i="251" l="1"/>
  <c r="E182" i="251"/>
  <c r="E183" i="251" l="1"/>
  <c r="C184" i="251"/>
  <c r="E184" i="251" l="1"/>
  <c r="C185" i="251"/>
  <c r="E185" i="251" l="1"/>
  <c r="C186" i="251"/>
  <c r="E186" i="251" l="1"/>
  <c r="C187" i="251"/>
  <c r="E187" i="251" l="1"/>
  <c r="C188" i="251"/>
  <c r="C189" i="251" l="1"/>
  <c r="E188" i="251"/>
  <c r="C190" i="251" l="1"/>
  <c r="E189" i="251"/>
  <c r="C191" i="251" l="1"/>
  <c r="E190" i="251"/>
  <c r="E191" i="251" l="1"/>
  <c r="C192" i="251"/>
  <c r="E192" i="251" l="1"/>
  <c r="C193" i="251"/>
  <c r="E193" i="251" l="1"/>
  <c r="C194" i="251"/>
  <c r="E194" i="251" l="1"/>
  <c r="C195" i="251"/>
  <c r="E195" i="251" l="1"/>
  <c r="C196" i="251"/>
  <c r="C197" i="251" l="1"/>
  <c r="E196" i="251"/>
  <c r="C198" i="251" l="1"/>
  <c r="E197" i="251"/>
  <c r="C199" i="251" l="1"/>
  <c r="E198" i="251"/>
  <c r="E199" i="251" l="1"/>
  <c r="C200" i="251"/>
  <c r="E200" i="251" l="1"/>
  <c r="C201" i="251"/>
  <c r="E201" i="251" l="1"/>
  <c r="C202" i="251"/>
  <c r="E202" i="251" l="1"/>
  <c r="C203" i="251"/>
  <c r="E203" i="251" l="1"/>
  <c r="C204" i="251"/>
  <c r="C205" i="251" l="1"/>
  <c r="E204" i="251"/>
  <c r="C206" i="251" l="1"/>
  <c r="E205" i="251"/>
  <c r="C207" i="251" l="1"/>
  <c r="E206" i="251"/>
  <c r="E207" i="251" l="1"/>
  <c r="C208" i="251"/>
  <c r="E208" i="251" l="1"/>
  <c r="C209" i="251"/>
  <c r="E209" i="251" l="1"/>
  <c r="C210" i="251"/>
  <c r="E210" i="251" l="1"/>
  <c r="C211" i="251"/>
  <c r="E211" i="251" l="1"/>
  <c r="C212" i="251"/>
  <c r="C213" i="251" l="1"/>
  <c r="E212" i="251"/>
  <c r="C214" i="251" l="1"/>
  <c r="E213" i="251"/>
  <c r="C215" i="251" l="1"/>
  <c r="E214" i="251"/>
  <c r="E215" i="251" l="1"/>
  <c r="C216" i="251"/>
  <c r="E216" i="251" l="1"/>
  <c r="C217" i="251"/>
  <c r="E217" i="251" l="1"/>
  <c r="C218" i="251"/>
  <c r="C219" i="251" l="1"/>
  <c r="E218" i="251"/>
  <c r="E219" i="251" l="1"/>
  <c r="C220" i="251"/>
  <c r="C221" i="251" l="1"/>
  <c r="E220" i="251"/>
  <c r="C222" i="251" l="1"/>
  <c r="E221" i="251"/>
  <c r="C223" i="251" l="1"/>
  <c r="E222" i="251"/>
  <c r="E223" i="251" l="1"/>
  <c r="C224" i="251"/>
  <c r="E224" i="251" l="1"/>
  <c r="C225" i="251"/>
  <c r="E225" i="251" l="1"/>
  <c r="C226" i="251"/>
  <c r="C227" i="251" l="1"/>
  <c r="E226" i="251"/>
  <c r="E227" i="251" l="1"/>
  <c r="C228" i="251"/>
  <c r="C229" i="251" l="1"/>
  <c r="E228" i="251"/>
  <c r="C230" i="251" l="1"/>
  <c r="E229" i="251"/>
  <c r="C231" i="251" l="1"/>
  <c r="E230" i="251"/>
  <c r="E231" i="251" l="1"/>
  <c r="C232" i="251"/>
  <c r="E232" i="251" l="1"/>
  <c r="C233" i="251"/>
  <c r="E233" i="251" l="1"/>
  <c r="C234" i="251"/>
  <c r="C235" i="251" l="1"/>
  <c r="E234" i="251"/>
  <c r="E235" i="251" l="1"/>
  <c r="C236" i="251"/>
  <c r="C237" i="251" l="1"/>
  <c r="E236" i="251"/>
  <c r="C238" i="251" l="1"/>
  <c r="E237" i="251"/>
  <c r="C239" i="251" l="1"/>
  <c r="E238" i="251"/>
  <c r="E239" i="251" l="1"/>
  <c r="C240" i="251"/>
  <c r="E240" i="251" l="1"/>
  <c r="C241" i="251"/>
  <c r="E241" i="251" l="1"/>
  <c r="C242" i="251"/>
  <c r="E242" i="251" l="1"/>
  <c r="C243" i="251"/>
  <c r="E243" i="251" l="1"/>
  <c r="C244" i="251"/>
  <c r="C245" i="251" l="1"/>
  <c r="E244" i="251"/>
  <c r="C246" i="251" l="1"/>
  <c r="E245" i="251"/>
  <c r="C247" i="251" l="1"/>
  <c r="E246" i="251"/>
  <c r="E247" i="251" l="1"/>
  <c r="C248" i="251"/>
  <c r="C249" i="251" l="1"/>
  <c r="E248" i="251"/>
  <c r="E249" i="251" l="1"/>
  <c r="C250" i="251"/>
  <c r="E250" i="251" l="1"/>
  <c r="C251" i="251"/>
  <c r="C252" i="251" l="1"/>
  <c r="E251" i="251"/>
  <c r="E252" i="251" l="1"/>
  <c r="C253" i="251"/>
  <c r="E253" i="251" l="1"/>
  <c r="C254" i="251"/>
  <c r="C255" i="251" l="1"/>
  <c r="E254" i="251"/>
  <c r="E255" i="251" l="1"/>
  <c r="C256" i="251"/>
  <c r="C257" i="251" l="1"/>
  <c r="E256" i="251"/>
  <c r="E257" i="251" l="1"/>
  <c r="C258" i="251"/>
  <c r="E258" i="251" l="1"/>
  <c r="C259" i="251"/>
  <c r="C260" i="251" l="1"/>
  <c r="E259" i="251"/>
  <c r="E260" i="251" l="1"/>
  <c r="C261" i="251"/>
  <c r="E261" i="251" l="1"/>
  <c r="C262" i="251"/>
  <c r="C263" i="251" l="1"/>
  <c r="E262" i="251"/>
  <c r="E263" i="251" l="1"/>
  <c r="C264" i="251"/>
  <c r="C265" i="251" l="1"/>
  <c r="E264" i="251"/>
  <c r="E265" i="251" l="1"/>
  <c r="C266" i="251"/>
  <c r="E266" i="251" l="1"/>
  <c r="C267" i="251"/>
  <c r="C268" i="251" l="1"/>
  <c r="E267" i="251"/>
  <c r="E268" i="251" l="1"/>
  <c r="C269" i="251"/>
  <c r="E269" i="251" l="1"/>
  <c r="C270" i="251"/>
  <c r="C271" i="251" l="1"/>
  <c r="E270" i="251"/>
  <c r="E271" i="251" l="1"/>
  <c r="C272" i="251"/>
  <c r="C273" i="251" l="1"/>
  <c r="E272" i="251"/>
  <c r="E273" i="251" l="1"/>
  <c r="C274" i="251"/>
  <c r="E274" i="251" l="1"/>
  <c r="C275" i="251"/>
  <c r="C276" i="251" l="1"/>
  <c r="E275" i="251"/>
  <c r="E276" i="251" l="1"/>
  <c r="C277" i="251"/>
  <c r="E277" i="251" l="1"/>
  <c r="C278" i="251"/>
  <c r="C279" i="251" l="1"/>
  <c r="E278" i="251"/>
  <c r="E279" i="251" l="1"/>
  <c r="C280" i="251"/>
  <c r="C281" i="251" l="1"/>
  <c r="E280" i="251"/>
  <c r="E281" i="251" l="1"/>
  <c r="C282" i="251"/>
  <c r="E282" i="251" l="1"/>
  <c r="C283" i="251"/>
  <c r="E283" i="251" s="1"/>
  <c r="Q45" i="233" l="1"/>
  <c r="E13" i="230"/>
  <c r="F13" i="230"/>
  <c r="G13" i="230"/>
  <c r="H13" i="230"/>
  <c r="I13" i="230"/>
  <c r="J13" i="230"/>
  <c r="K13" i="230"/>
  <c r="L13" i="230"/>
  <c r="M13" i="230"/>
  <c r="N13" i="230"/>
  <c r="O13" i="230"/>
  <c r="P13" i="230"/>
  <c r="E15" i="230"/>
  <c r="F15" i="230"/>
  <c r="G15" i="230"/>
  <c r="H15" i="230"/>
  <c r="I15" i="230"/>
  <c r="J15" i="230"/>
  <c r="K15" i="230"/>
  <c r="L15" i="230"/>
  <c r="M15" i="230"/>
  <c r="N15" i="230"/>
  <c r="O15" i="230"/>
  <c r="P15" i="230"/>
  <c r="E17" i="230"/>
  <c r="F17" i="230"/>
  <c r="G17" i="230"/>
  <c r="H17" i="230"/>
  <c r="I17" i="230"/>
  <c r="J17" i="230"/>
  <c r="K17" i="230"/>
  <c r="L17" i="230"/>
  <c r="M17" i="230"/>
  <c r="N17" i="230"/>
  <c r="O17" i="230"/>
  <c r="P17" i="230"/>
  <c r="D17" i="230"/>
  <c r="D15" i="230"/>
  <c r="D13" i="230"/>
  <c r="E39" i="233"/>
  <c r="F39" i="233"/>
  <c r="G39" i="233"/>
  <c r="H39" i="233"/>
  <c r="I39" i="233"/>
  <c r="J39" i="233"/>
  <c r="K39" i="233"/>
  <c r="L39" i="233"/>
  <c r="M39" i="233"/>
  <c r="N39" i="233"/>
  <c r="O39" i="233"/>
  <c r="P39" i="233"/>
  <c r="Q39" i="233" s="1"/>
  <c r="E41" i="233"/>
  <c r="F41" i="233"/>
  <c r="G41" i="233"/>
  <c r="H41" i="233"/>
  <c r="I41" i="233"/>
  <c r="J41" i="233"/>
  <c r="K41" i="233"/>
  <c r="L41" i="233"/>
  <c r="M41" i="233"/>
  <c r="N41" i="233"/>
  <c r="O41" i="233"/>
  <c r="P41" i="233"/>
  <c r="Q41" i="233" s="1"/>
  <c r="E43" i="233"/>
  <c r="F43" i="233"/>
  <c r="G43" i="233"/>
  <c r="H43" i="233"/>
  <c r="I43" i="233"/>
  <c r="J43" i="233"/>
  <c r="K43" i="233"/>
  <c r="L43" i="233"/>
  <c r="M43" i="233"/>
  <c r="N43" i="233"/>
  <c r="O43" i="233"/>
  <c r="P43" i="233"/>
  <c r="Q43" i="233" s="1"/>
  <c r="D43" i="233"/>
  <c r="D41" i="233"/>
  <c r="D39" i="233"/>
  <c r="E30" i="233"/>
  <c r="F30" i="233"/>
  <c r="G30" i="233"/>
  <c r="H30" i="233"/>
  <c r="I30" i="233"/>
  <c r="J30" i="233"/>
  <c r="K30" i="233"/>
  <c r="L30" i="233"/>
  <c r="M30" i="233"/>
  <c r="N30" i="233"/>
  <c r="O30" i="233"/>
  <c r="P30" i="233"/>
  <c r="Q30" i="233" s="1"/>
  <c r="E32" i="233"/>
  <c r="F32" i="233"/>
  <c r="G32" i="233"/>
  <c r="H32" i="233"/>
  <c r="I32" i="233"/>
  <c r="J32" i="233"/>
  <c r="K32" i="233"/>
  <c r="L32" i="233"/>
  <c r="M32" i="233"/>
  <c r="N32" i="233"/>
  <c r="O32" i="233"/>
  <c r="P32" i="233"/>
  <c r="Q32" i="233" s="1"/>
  <c r="E34" i="233"/>
  <c r="F34" i="233"/>
  <c r="G34" i="233"/>
  <c r="H34" i="233"/>
  <c r="I34" i="233"/>
  <c r="J34" i="233"/>
  <c r="K34" i="233"/>
  <c r="L34" i="233"/>
  <c r="M34" i="233"/>
  <c r="N34" i="233"/>
  <c r="O34" i="233"/>
  <c r="P34" i="233"/>
  <c r="Q34" i="233" s="1"/>
  <c r="D34" i="233"/>
  <c r="D32" i="233"/>
  <c r="D30" i="233"/>
  <c r="E22" i="233"/>
  <c r="F22" i="233"/>
  <c r="G22" i="233"/>
  <c r="H22" i="233"/>
  <c r="I22" i="233"/>
  <c r="J22" i="233"/>
  <c r="K22" i="233"/>
  <c r="L22" i="233"/>
  <c r="M22" i="233"/>
  <c r="N22" i="233"/>
  <c r="O22" i="233"/>
  <c r="P22" i="233"/>
  <c r="Q22" i="233" s="1"/>
  <c r="E24" i="233"/>
  <c r="F24" i="233"/>
  <c r="G24" i="233"/>
  <c r="H24" i="233"/>
  <c r="I24" i="233"/>
  <c r="J24" i="233"/>
  <c r="K24" i="233"/>
  <c r="L24" i="233"/>
  <c r="M24" i="233"/>
  <c r="N24" i="233"/>
  <c r="O24" i="233"/>
  <c r="P24" i="233"/>
  <c r="Q24" i="233" s="1"/>
  <c r="E26" i="233"/>
  <c r="F26" i="233"/>
  <c r="G26" i="233"/>
  <c r="H26" i="233"/>
  <c r="I26" i="233"/>
  <c r="J26" i="233"/>
  <c r="K26" i="233"/>
  <c r="L26" i="233"/>
  <c r="M26" i="233"/>
  <c r="N26" i="233"/>
  <c r="O26" i="233"/>
  <c r="P26" i="233"/>
  <c r="Q26" i="233" s="1"/>
  <c r="D26" i="233"/>
  <c r="D24" i="233"/>
  <c r="D22" i="233"/>
  <c r="E13" i="233"/>
  <c r="F13" i="233"/>
  <c r="G13" i="233"/>
  <c r="H13" i="233"/>
  <c r="I13" i="233"/>
  <c r="J13" i="233"/>
  <c r="K13" i="233"/>
  <c r="L13" i="233"/>
  <c r="M13" i="233"/>
  <c r="N13" i="233"/>
  <c r="O13" i="233"/>
  <c r="P13" i="233"/>
  <c r="Q13" i="233" s="1"/>
  <c r="E15" i="233"/>
  <c r="F15" i="233"/>
  <c r="G15" i="233"/>
  <c r="H15" i="233"/>
  <c r="I15" i="233"/>
  <c r="J15" i="233"/>
  <c r="K15" i="233"/>
  <c r="L15" i="233"/>
  <c r="M15" i="233"/>
  <c r="N15" i="233"/>
  <c r="O15" i="233"/>
  <c r="P15" i="233"/>
  <c r="Q15" i="233" s="1"/>
  <c r="E17" i="233"/>
  <c r="F17" i="233"/>
  <c r="G17" i="233"/>
  <c r="H17" i="233"/>
  <c r="I17" i="233"/>
  <c r="J17" i="233"/>
  <c r="K17" i="233"/>
  <c r="L17" i="233"/>
  <c r="M17" i="233"/>
  <c r="N17" i="233"/>
  <c r="O17" i="233"/>
  <c r="P17" i="233"/>
  <c r="Q17" i="233" s="1"/>
  <c r="D17" i="233"/>
  <c r="D15" i="233"/>
  <c r="D13" i="233"/>
  <c r="E39" i="230"/>
  <c r="F39" i="230"/>
  <c r="G39" i="230"/>
  <c r="H39" i="230"/>
  <c r="I39" i="230"/>
  <c r="J39" i="230"/>
  <c r="K39" i="230"/>
  <c r="L39" i="230"/>
  <c r="M39" i="230"/>
  <c r="N39" i="230"/>
  <c r="O39" i="230"/>
  <c r="P39" i="230"/>
  <c r="E41" i="230"/>
  <c r="F41" i="230"/>
  <c r="G41" i="230"/>
  <c r="H41" i="230"/>
  <c r="I41" i="230"/>
  <c r="J41" i="230"/>
  <c r="K41" i="230"/>
  <c r="L41" i="230"/>
  <c r="M41" i="230"/>
  <c r="N41" i="230"/>
  <c r="O41" i="230"/>
  <c r="P41" i="230"/>
  <c r="E43" i="230"/>
  <c r="F43" i="230"/>
  <c r="G43" i="230"/>
  <c r="H43" i="230"/>
  <c r="I43" i="230"/>
  <c r="J43" i="230"/>
  <c r="K43" i="230"/>
  <c r="L43" i="230"/>
  <c r="M43" i="230"/>
  <c r="N43" i="230"/>
  <c r="O43" i="230"/>
  <c r="P43" i="230"/>
  <c r="D43" i="230"/>
  <c r="D41" i="230"/>
  <c r="D39" i="230"/>
  <c r="E30" i="230"/>
  <c r="F30" i="230"/>
  <c r="G30" i="230"/>
  <c r="H30" i="230"/>
  <c r="I30" i="230"/>
  <c r="J30" i="230"/>
  <c r="K30" i="230"/>
  <c r="L30" i="230"/>
  <c r="M30" i="230"/>
  <c r="N30" i="230"/>
  <c r="O30" i="230"/>
  <c r="P30" i="230"/>
  <c r="E32" i="230"/>
  <c r="F32" i="230"/>
  <c r="G32" i="230"/>
  <c r="H32" i="230"/>
  <c r="I32" i="230"/>
  <c r="J32" i="230"/>
  <c r="K32" i="230"/>
  <c r="L32" i="230"/>
  <c r="M32" i="230"/>
  <c r="N32" i="230"/>
  <c r="O32" i="230"/>
  <c r="P32" i="230"/>
  <c r="E34" i="230"/>
  <c r="F34" i="230"/>
  <c r="G34" i="230"/>
  <c r="H34" i="230"/>
  <c r="I34" i="230"/>
  <c r="J34" i="230"/>
  <c r="K34" i="230"/>
  <c r="L34" i="230"/>
  <c r="M34" i="230"/>
  <c r="N34" i="230"/>
  <c r="O34" i="230"/>
  <c r="P34" i="230"/>
  <c r="D34" i="230"/>
  <c r="D32" i="230"/>
  <c r="D30" i="230"/>
  <c r="E22" i="230"/>
  <c r="F22" i="230"/>
  <c r="G22" i="230"/>
  <c r="H22" i="230"/>
  <c r="I22" i="230"/>
  <c r="J22" i="230"/>
  <c r="K22" i="230"/>
  <c r="L22" i="230"/>
  <c r="M22" i="230"/>
  <c r="N22" i="230"/>
  <c r="O22" i="230"/>
  <c r="P22" i="230"/>
  <c r="E24" i="230"/>
  <c r="F24" i="230"/>
  <c r="G24" i="230"/>
  <c r="H24" i="230"/>
  <c r="I24" i="230"/>
  <c r="J24" i="230"/>
  <c r="K24" i="230"/>
  <c r="L24" i="230"/>
  <c r="M24" i="230"/>
  <c r="N24" i="230"/>
  <c r="O24" i="230"/>
  <c r="P24" i="230"/>
  <c r="E26" i="230"/>
  <c r="F26" i="230"/>
  <c r="G26" i="230"/>
  <c r="H26" i="230"/>
  <c r="I26" i="230"/>
  <c r="J26" i="230"/>
  <c r="K26" i="230"/>
  <c r="L26" i="230"/>
  <c r="M26" i="230"/>
  <c r="N26" i="230"/>
  <c r="O26" i="230"/>
  <c r="P26" i="230"/>
  <c r="D26" i="230"/>
  <c r="D24" i="230"/>
  <c r="D22" i="230"/>
  <c r="E165" i="237" l="1"/>
  <c r="E164" i="237"/>
  <c r="E162" i="237"/>
  <c r="E102" i="237"/>
  <c r="E101" i="237"/>
  <c r="E100" i="237"/>
  <c r="E99" i="237"/>
  <c r="E98" i="237"/>
  <c r="E97" i="237"/>
  <c r="D17" i="249" l="1"/>
  <c r="D15" i="249"/>
  <c r="D34" i="250" l="1"/>
  <c r="E46" i="44" l="1"/>
  <c r="F46" i="44"/>
  <c r="G46" i="44"/>
  <c r="H46" i="44"/>
  <c r="I46" i="44"/>
  <c r="D46" i="44"/>
  <c r="J91" i="10" l="1"/>
  <c r="K91" i="10"/>
  <c r="L91" i="10"/>
  <c r="M91" i="10"/>
  <c r="N91" i="10"/>
  <c r="O91" i="10"/>
  <c r="P91" i="10"/>
  <c r="Q91" i="10"/>
  <c r="R91" i="10"/>
  <c r="J93" i="10"/>
  <c r="K93" i="10"/>
  <c r="L93" i="10"/>
  <c r="M93" i="10"/>
  <c r="N93" i="10"/>
  <c r="O93" i="10"/>
  <c r="P93" i="10"/>
  <c r="Q93" i="10"/>
  <c r="R93" i="10"/>
  <c r="J94" i="10"/>
  <c r="K94" i="10"/>
  <c r="L94" i="10"/>
  <c r="M94" i="10"/>
  <c r="N94" i="10"/>
  <c r="O94" i="10"/>
  <c r="P94" i="10"/>
  <c r="Q94" i="10"/>
  <c r="R94" i="10"/>
  <c r="J95" i="10"/>
  <c r="K95" i="10"/>
  <c r="L95" i="10"/>
  <c r="M95" i="10"/>
  <c r="N95" i="10"/>
  <c r="O95" i="10"/>
  <c r="P95" i="10"/>
  <c r="Q95" i="10"/>
  <c r="R95" i="10"/>
  <c r="J96" i="10"/>
  <c r="K96" i="10"/>
  <c r="L96" i="10"/>
  <c r="M96" i="10"/>
  <c r="N96" i="10"/>
  <c r="O96" i="10"/>
  <c r="P96" i="10"/>
  <c r="Q96" i="10"/>
  <c r="R96" i="10"/>
  <c r="E22" i="255" l="1"/>
  <c r="D22" i="255"/>
  <c r="E21" i="255"/>
  <c r="D21" i="255"/>
  <c r="E20" i="255"/>
  <c r="D20" i="255"/>
  <c r="E19" i="255"/>
  <c r="D19" i="255"/>
  <c r="E18" i="255"/>
  <c r="D18" i="255"/>
  <c r="E17" i="255"/>
  <c r="D17" i="255"/>
  <c r="E16" i="255"/>
  <c r="D16" i="255"/>
  <c r="E15" i="255"/>
  <c r="D15" i="255"/>
  <c r="E14" i="255"/>
  <c r="D14" i="255"/>
  <c r="E13" i="255"/>
  <c r="D13" i="255"/>
  <c r="E12" i="255"/>
  <c r="D12" i="255"/>
  <c r="E11" i="255"/>
  <c r="D11" i="255"/>
  <c r="D10" i="255"/>
  <c r="C11" i="255" l="1"/>
  <c r="C12" i="255" s="1"/>
  <c r="C13" i="255" s="1"/>
  <c r="C14" i="255" s="1"/>
  <c r="C15" i="255" s="1"/>
  <c r="C16" i="255" s="1"/>
  <c r="C17" i="255" s="1"/>
  <c r="C18" i="255" s="1"/>
  <c r="C19" i="255" s="1"/>
  <c r="C20" i="255" s="1"/>
  <c r="C21" i="255" s="1"/>
  <c r="C22" i="255" s="1"/>
  <c r="A4" i="255"/>
  <c r="A3" i="255"/>
  <c r="A2" i="255"/>
  <c r="A1" i="255"/>
  <c r="D23" i="255" l="1"/>
  <c r="E23" i="255"/>
  <c r="E34" i="1" s="1"/>
  <c r="P13" i="242"/>
  <c r="O13" i="242"/>
  <c r="N13" i="242"/>
  <c r="M13" i="242"/>
  <c r="L13" i="242"/>
  <c r="K13" i="242"/>
  <c r="J13" i="242"/>
  <c r="I13" i="242"/>
  <c r="H13" i="242"/>
  <c r="G13" i="242"/>
  <c r="F13" i="242"/>
  <c r="E13" i="242"/>
  <c r="D13" i="242"/>
  <c r="P13" i="241"/>
  <c r="O13" i="241"/>
  <c r="N13" i="241"/>
  <c r="M13" i="241"/>
  <c r="L13" i="241"/>
  <c r="K13" i="241"/>
  <c r="J13" i="241"/>
  <c r="I13" i="241"/>
  <c r="H13" i="241"/>
  <c r="G13" i="241"/>
  <c r="F13" i="241"/>
  <c r="E13" i="241"/>
  <c r="D13" i="241"/>
  <c r="I19" i="254" l="1"/>
  <c r="I20" i="254" s="1"/>
  <c r="I21" i="254" s="1"/>
  <c r="I22" i="254" s="1"/>
  <c r="I23" i="254" s="1"/>
  <c r="I24" i="254" s="1"/>
  <c r="I25" i="254" s="1"/>
  <c r="I26" i="254" s="1"/>
  <c r="I27" i="254" s="1"/>
  <c r="A57" i="253"/>
  <c r="A58" i="253" s="1"/>
  <c r="A59" i="253" s="1"/>
  <c r="A60" i="253" s="1"/>
  <c r="A61" i="253" s="1"/>
  <c r="A62" i="253" s="1"/>
  <c r="A62" i="254"/>
  <c r="A60" i="254"/>
  <c r="A61" i="254" s="1"/>
  <c r="E29" i="253"/>
  <c r="I52" i="253"/>
  <c r="I29" i="253"/>
  <c r="E29" i="254"/>
  <c r="J38" i="254"/>
  <c r="I15" i="254"/>
  <c r="I16" i="254" s="1"/>
  <c r="I17" i="254" s="1"/>
  <c r="I18" i="254" s="1"/>
  <c r="E46" i="254"/>
  <c r="E47" i="254" s="1"/>
  <c r="E48" i="254" s="1"/>
  <c r="E49" i="254" s="1"/>
  <c r="E50" i="254" s="1"/>
  <c r="E55" i="254" s="1"/>
  <c r="E56" i="254" s="1"/>
  <c r="I38" i="254" s="1"/>
  <c r="D46" i="254"/>
  <c r="E45" i="254"/>
  <c r="D45" i="254"/>
  <c r="E44" i="254"/>
  <c r="D44" i="254"/>
  <c r="E43" i="254"/>
  <c r="D43" i="254"/>
  <c r="E42" i="254"/>
  <c r="D42" i="254"/>
  <c r="E41" i="254"/>
  <c r="D41" i="254"/>
  <c r="E40" i="254"/>
  <c r="D40" i="254"/>
  <c r="E39" i="254"/>
  <c r="D39" i="254"/>
  <c r="C39" i="254"/>
  <c r="C40" i="254" s="1"/>
  <c r="C41" i="254" s="1"/>
  <c r="C42" i="254" s="1"/>
  <c r="C43" i="254" s="1"/>
  <c r="C44" i="254" s="1"/>
  <c r="C45" i="254" s="1"/>
  <c r="C46" i="254" s="1"/>
  <c r="C47" i="254" s="1"/>
  <c r="C48" i="254" s="1"/>
  <c r="C49" i="254" s="1"/>
  <c r="C50" i="254" s="1"/>
  <c r="C55" i="254" s="1"/>
  <c r="C56" i="254" s="1"/>
  <c r="G38" i="254" s="1"/>
  <c r="E38" i="254"/>
  <c r="D38" i="254"/>
  <c r="E32" i="254"/>
  <c r="E33" i="254" s="1"/>
  <c r="J15" i="254" s="1"/>
  <c r="C16" i="254"/>
  <c r="C17" i="254" s="1"/>
  <c r="C18" i="254" s="1"/>
  <c r="C19" i="254" s="1"/>
  <c r="C20" i="254" s="1"/>
  <c r="C21" i="254" s="1"/>
  <c r="C22" i="254" s="1"/>
  <c r="C23" i="254" s="1"/>
  <c r="C24" i="254" s="1"/>
  <c r="C25" i="254" s="1"/>
  <c r="C26" i="254" s="1"/>
  <c r="C27" i="254" s="1"/>
  <c r="C32" i="254" s="1"/>
  <c r="C33" i="254" s="1"/>
  <c r="G15" i="254" s="1"/>
  <c r="A16" i="254"/>
  <c r="A17" i="254" s="1"/>
  <c r="A18" i="254" s="1"/>
  <c r="A19" i="254" s="1"/>
  <c r="A20" i="254" s="1"/>
  <c r="A21" i="254" s="1"/>
  <c r="A22" i="254" s="1"/>
  <c r="A23" i="254" s="1"/>
  <c r="A24" i="254" s="1"/>
  <c r="A25" i="254" s="1"/>
  <c r="A26" i="254" s="1"/>
  <c r="A27" i="254" s="1"/>
  <c r="A28" i="254" s="1"/>
  <c r="A29" i="254" s="1"/>
  <c r="A30" i="254" s="1"/>
  <c r="A31" i="254" s="1"/>
  <c r="A32" i="254" s="1"/>
  <c r="A33" i="254" s="1"/>
  <c r="A34" i="254" s="1"/>
  <c r="A35" i="254" s="1"/>
  <c r="A36" i="254" s="1"/>
  <c r="A37" i="254" s="1"/>
  <c r="A38" i="254" s="1"/>
  <c r="A39" i="254" s="1"/>
  <c r="A40" i="254" s="1"/>
  <c r="A41" i="254" s="1"/>
  <c r="A42" i="254" s="1"/>
  <c r="A43" i="254" s="1"/>
  <c r="A44" i="254" s="1"/>
  <c r="A45" i="254" s="1"/>
  <c r="A46" i="254" s="1"/>
  <c r="A47" i="254" s="1"/>
  <c r="A48" i="254" s="1"/>
  <c r="A49" i="254" s="1"/>
  <c r="A50" i="254" s="1"/>
  <c r="A51" i="254" s="1"/>
  <c r="A52" i="254" s="1"/>
  <c r="A53" i="254" s="1"/>
  <c r="A54" i="254" s="1"/>
  <c r="A55" i="254" s="1"/>
  <c r="A56" i="254" s="1"/>
  <c r="A57" i="254" s="1"/>
  <c r="A58" i="254" s="1"/>
  <c r="A59" i="254" s="1"/>
  <c r="D15" i="254"/>
  <c r="D16" i="254" s="1"/>
  <c r="D17" i="254" s="1"/>
  <c r="D18" i="254" s="1"/>
  <c r="D19" i="254" s="1"/>
  <c r="D20" i="254" s="1"/>
  <c r="D21" i="254" s="1"/>
  <c r="D22" i="254" s="1"/>
  <c r="D23" i="254" s="1"/>
  <c r="D24" i="254" s="1"/>
  <c r="D25" i="254" s="1"/>
  <c r="D26" i="254" s="1"/>
  <c r="D27" i="254" s="1"/>
  <c r="D32" i="254" s="1"/>
  <c r="D33" i="254" s="1"/>
  <c r="J9" i="254"/>
  <c r="A5" i="254"/>
  <c r="A4" i="254"/>
  <c r="A2" i="254"/>
  <c r="A1" i="254"/>
  <c r="D38" i="253"/>
  <c r="E38" i="253"/>
  <c r="C39" i="253"/>
  <c r="D15" i="253"/>
  <c r="D16" i="253" s="1"/>
  <c r="D17" i="253" s="1"/>
  <c r="E52" i="254" l="1"/>
  <c r="H15" i="254"/>
  <c r="J25" i="254" s="1"/>
  <c r="I29" i="254"/>
  <c r="G39" i="254"/>
  <c r="G40" i="254" s="1"/>
  <c r="G41" i="254" s="1"/>
  <c r="G42" i="254" s="1"/>
  <c r="G43" i="254" s="1"/>
  <c r="G44" i="254" s="1"/>
  <c r="G45" i="254" s="1"/>
  <c r="G46" i="254" s="1"/>
  <c r="G47" i="254" s="1"/>
  <c r="G48" i="254" s="1"/>
  <c r="G49" i="254" s="1"/>
  <c r="G50" i="254" s="1"/>
  <c r="G55" i="254" s="1"/>
  <c r="G56" i="254" s="1"/>
  <c r="I39" i="254"/>
  <c r="G16" i="254"/>
  <c r="G17" i="254" s="1"/>
  <c r="G18" i="254" s="1"/>
  <c r="G19" i="254" s="1"/>
  <c r="G20" i="254" s="1"/>
  <c r="G21" i="254" s="1"/>
  <c r="G22" i="254" s="1"/>
  <c r="G23" i="254" s="1"/>
  <c r="G24" i="254" s="1"/>
  <c r="G25" i="254" s="1"/>
  <c r="G26" i="254" s="1"/>
  <c r="G27" i="254" s="1"/>
  <c r="G32" i="254" s="1"/>
  <c r="G33" i="254" s="1"/>
  <c r="D47" i="254"/>
  <c r="D48" i="254" s="1"/>
  <c r="D49" i="254" s="1"/>
  <c r="D50" i="254" s="1"/>
  <c r="D55" i="254" s="1"/>
  <c r="D56" i="254" s="1"/>
  <c r="H38" i="254" s="1"/>
  <c r="H39" i="254" s="1"/>
  <c r="D29" i="254"/>
  <c r="D18" i="253"/>
  <c r="D19" i="253" s="1"/>
  <c r="D20" i="253" s="1"/>
  <c r="D21" i="253" s="1"/>
  <c r="D22" i="253" s="1"/>
  <c r="D23" i="253" s="1"/>
  <c r="D24" i="253" s="1"/>
  <c r="D25" i="253" s="1"/>
  <c r="D26" i="253" s="1"/>
  <c r="D27" i="253" s="1"/>
  <c r="J33" i="254" l="1"/>
  <c r="J27" i="254"/>
  <c r="J32" i="254"/>
  <c r="J22" i="254"/>
  <c r="J21" i="254"/>
  <c r="J26" i="254"/>
  <c r="J23" i="254"/>
  <c r="J18" i="254"/>
  <c r="J24" i="254"/>
  <c r="J20" i="254"/>
  <c r="J19" i="254"/>
  <c r="H16" i="254"/>
  <c r="H17" i="254" s="1"/>
  <c r="I40" i="254"/>
  <c r="H40" i="254" s="1"/>
  <c r="D52" i="254"/>
  <c r="D29" i="253"/>
  <c r="H18" i="254" l="1"/>
  <c r="H19" i="254" s="1"/>
  <c r="J43" i="254"/>
  <c r="J41" i="254"/>
  <c r="J45" i="254"/>
  <c r="J42" i="254"/>
  <c r="J50" i="254"/>
  <c r="J46" i="254"/>
  <c r="J47" i="254"/>
  <c r="J49" i="254"/>
  <c r="J56" i="254"/>
  <c r="J48" i="254"/>
  <c r="J55" i="254"/>
  <c r="J44" i="254"/>
  <c r="I52" i="254"/>
  <c r="H20" i="254"/>
  <c r="H21" i="254" s="1"/>
  <c r="H22" i="254" s="1"/>
  <c r="H23" i="254" s="1"/>
  <c r="H24" i="254" s="1"/>
  <c r="H25" i="254" s="1"/>
  <c r="H26" i="254" s="1"/>
  <c r="H27" i="254" s="1"/>
  <c r="H32" i="254" s="1"/>
  <c r="H33" i="254" s="1"/>
  <c r="J29" i="254"/>
  <c r="J52" i="254" l="1"/>
  <c r="J61" i="254" s="1"/>
  <c r="H29" i="254" l="1"/>
  <c r="C16" i="253" l="1"/>
  <c r="C17" i="253" s="1"/>
  <c r="C18" i="253" s="1"/>
  <c r="C19" i="253" s="1"/>
  <c r="C20" i="253" s="1"/>
  <c r="C21" i="253" s="1"/>
  <c r="C22" i="253" s="1"/>
  <c r="C23" i="253" s="1"/>
  <c r="C24" i="253" s="1"/>
  <c r="C25" i="253" s="1"/>
  <c r="C26" i="253" s="1"/>
  <c r="C27" i="253" s="1"/>
  <c r="C32" i="253" s="1"/>
  <c r="C33" i="253" s="1"/>
  <c r="E32" i="253"/>
  <c r="E33" i="253" s="1"/>
  <c r="J15" i="253" s="1"/>
  <c r="A5" i="253"/>
  <c r="A4" i="253"/>
  <c r="E40" i="253"/>
  <c r="E41" i="253"/>
  <c r="E42" i="253"/>
  <c r="E43" i="253"/>
  <c r="E44" i="253"/>
  <c r="E45" i="253"/>
  <c r="E46" i="253"/>
  <c r="E47" i="253" s="1"/>
  <c r="E39" i="253"/>
  <c r="D40" i="253"/>
  <c r="D41" i="253"/>
  <c r="D42" i="253"/>
  <c r="D43" i="253"/>
  <c r="D44" i="253"/>
  <c r="D45" i="253"/>
  <c r="D46" i="253"/>
  <c r="D39" i="253"/>
  <c r="C40" i="253"/>
  <c r="C41" i="253" s="1"/>
  <c r="C42" i="253" s="1"/>
  <c r="C43" i="253" s="1"/>
  <c r="C44" i="253" s="1"/>
  <c r="C45" i="253" s="1"/>
  <c r="C46" i="253" s="1"/>
  <c r="C47" i="253" s="1"/>
  <c r="C48" i="253" s="1"/>
  <c r="C49" i="253" s="1"/>
  <c r="C50" i="253" s="1"/>
  <c r="C55" i="253" s="1"/>
  <c r="C56" i="253" s="1"/>
  <c r="G38" i="253" l="1"/>
  <c r="G39" i="253" s="1"/>
  <c r="G40" i="253" s="1"/>
  <c r="G41" i="253" s="1"/>
  <c r="G42" i="253" s="1"/>
  <c r="G43" i="253" s="1"/>
  <c r="G44" i="253" s="1"/>
  <c r="G45" i="253" s="1"/>
  <c r="G46" i="253" s="1"/>
  <c r="G47" i="253" s="1"/>
  <c r="G48" i="253" s="1"/>
  <c r="G49" i="253" s="1"/>
  <c r="G50" i="253" s="1"/>
  <c r="G15" i="253"/>
  <c r="G16" i="253" s="1"/>
  <c r="G17" i="253" s="1"/>
  <c r="G18" i="253" s="1"/>
  <c r="G19" i="253" s="1"/>
  <c r="G20" i="253" s="1"/>
  <c r="G21" i="253" s="1"/>
  <c r="G22" i="253" s="1"/>
  <c r="G23" i="253" s="1"/>
  <c r="G24" i="253" s="1"/>
  <c r="G25" i="253" s="1"/>
  <c r="G26" i="253" s="1"/>
  <c r="G27" i="253" s="1"/>
  <c r="E48" i="253"/>
  <c r="E49" i="253" s="1"/>
  <c r="E50" i="253" s="1"/>
  <c r="E55" i="253" s="1"/>
  <c r="E56" i="253" s="1"/>
  <c r="I38" i="253" s="1"/>
  <c r="D47" i="253"/>
  <c r="E52" i="253" l="1"/>
  <c r="D48" i="253"/>
  <c r="D49" i="253" s="1"/>
  <c r="D50" i="253" s="1"/>
  <c r="D55" i="253" s="1"/>
  <c r="D56" i="253" s="1"/>
  <c r="H38" i="253" s="1"/>
  <c r="A43" i="250"/>
  <c r="A41" i="250"/>
  <c r="J41" i="253" l="1"/>
  <c r="J49" i="253"/>
  <c r="J42" i="253"/>
  <c r="J50" i="253"/>
  <c r="J43" i="253"/>
  <c r="J39" i="253"/>
  <c r="J45" i="253"/>
  <c r="J47" i="253"/>
  <c r="J44" i="253"/>
  <c r="J40" i="253"/>
  <c r="J46" i="253"/>
  <c r="J48" i="253"/>
  <c r="D52" i="253"/>
  <c r="E25" i="212"/>
  <c r="E21" i="84"/>
  <c r="C23" i="36"/>
  <c r="C22" i="36"/>
  <c r="C21" i="36"/>
  <c r="C20" i="36"/>
  <c r="J52" i="253" l="1"/>
  <c r="O29" i="42"/>
  <c r="P29" i="42"/>
  <c r="N29" i="42"/>
  <c r="D32" i="253" l="1"/>
  <c r="D33" i="253" s="1"/>
  <c r="H15" i="253" s="1"/>
  <c r="H39" i="253" l="1"/>
  <c r="J18" i="253"/>
  <c r="J26" i="253"/>
  <c r="J20" i="253"/>
  <c r="J16" i="253"/>
  <c r="J19" i="253"/>
  <c r="J27" i="253"/>
  <c r="J23" i="253"/>
  <c r="J24" i="253"/>
  <c r="J17" i="253"/>
  <c r="J25" i="253"/>
  <c r="J21" i="253"/>
  <c r="J22" i="253"/>
  <c r="A16" i="253"/>
  <c r="A17" i="253" s="1"/>
  <c r="A18" i="253" s="1"/>
  <c r="A19" i="253" s="1"/>
  <c r="A20" i="253" s="1"/>
  <c r="A21" i="253" s="1"/>
  <c r="A22" i="253" s="1"/>
  <c r="A23" i="253" s="1"/>
  <c r="A24" i="253" s="1"/>
  <c r="A25" i="253" s="1"/>
  <c r="A26" i="253" s="1"/>
  <c r="A27" i="253" s="1"/>
  <c r="A28" i="253" s="1"/>
  <c r="A29" i="253" s="1"/>
  <c r="A30" i="253" s="1"/>
  <c r="A31" i="253" s="1"/>
  <c r="A32" i="253" s="1"/>
  <c r="A33" i="253" s="1"/>
  <c r="A34" i="253" s="1"/>
  <c r="A35" i="253" s="1"/>
  <c r="A36" i="253" s="1"/>
  <c r="A37" i="253" s="1"/>
  <c r="A38" i="253" s="1"/>
  <c r="A39" i="253" s="1"/>
  <c r="A40" i="253" s="1"/>
  <c r="A41" i="253" s="1"/>
  <c r="A42" i="253" s="1"/>
  <c r="A43" i="253" s="1"/>
  <c r="A44" i="253" s="1"/>
  <c r="A45" i="253" s="1"/>
  <c r="A46" i="253" s="1"/>
  <c r="A47" i="253" s="1"/>
  <c r="A48" i="253" s="1"/>
  <c r="A49" i="253" s="1"/>
  <c r="A50" i="253" s="1"/>
  <c r="A51" i="253" s="1"/>
  <c r="A52" i="253" s="1"/>
  <c r="A53" i="253" s="1"/>
  <c r="A54" i="253" s="1"/>
  <c r="A55" i="253" s="1"/>
  <c r="A56" i="253" s="1"/>
  <c r="J9" i="253"/>
  <c r="A2" i="253"/>
  <c r="A1" i="253"/>
  <c r="J29" i="253" l="1"/>
  <c r="J61" i="253" s="1"/>
  <c r="G38" i="1" s="1"/>
  <c r="H40" i="253"/>
  <c r="H41" i="253" s="1"/>
  <c r="H42" i="253" s="1"/>
  <c r="H43" i="253" s="1"/>
  <c r="H44" i="253" s="1"/>
  <c r="H45" i="253" s="1"/>
  <c r="H46" i="253" s="1"/>
  <c r="H47" i="253" s="1"/>
  <c r="H48" i="253" s="1"/>
  <c r="H49" i="253" s="1"/>
  <c r="H50" i="253" s="1"/>
  <c r="H16" i="253"/>
  <c r="H17" i="253" s="1"/>
  <c r="H18" i="253" s="1"/>
  <c r="H19" i="253" s="1"/>
  <c r="H20" i="253" s="1"/>
  <c r="H21" i="253" s="1"/>
  <c r="H22" i="253" s="1"/>
  <c r="H23" i="253" s="1"/>
  <c r="H24" i="253" s="1"/>
  <c r="H25" i="253" s="1"/>
  <c r="H26" i="253" s="1"/>
  <c r="H27" i="253" s="1"/>
  <c r="E27" i="190"/>
  <c r="F27" i="190"/>
  <c r="G27" i="190"/>
  <c r="H27" i="190"/>
  <c r="I27" i="190"/>
  <c r="H52" i="253" l="1"/>
  <c r="H29" i="253"/>
  <c r="D27" i="190"/>
  <c r="H61" i="253" l="1"/>
  <c r="D24" i="228" l="1"/>
  <c r="E24" i="228"/>
  <c r="F24" i="228"/>
  <c r="G24" i="228"/>
  <c r="H24" i="228"/>
  <c r="I24" i="228"/>
  <c r="J24" i="228"/>
  <c r="K24" i="228"/>
  <c r="L24" i="228"/>
  <c r="M24" i="228"/>
  <c r="N24" i="228"/>
  <c r="O24" i="228"/>
  <c r="A24" i="228"/>
  <c r="A25" i="228" s="1"/>
  <c r="A26" i="228" s="1"/>
  <c r="A27" i="228" s="1"/>
  <c r="D42" i="228"/>
  <c r="E42" i="228"/>
  <c r="F42" i="228"/>
  <c r="G42" i="228"/>
  <c r="H42" i="228"/>
  <c r="I42" i="228"/>
  <c r="J42" i="228"/>
  <c r="K42" i="228"/>
  <c r="L42" i="228"/>
  <c r="M42" i="228"/>
  <c r="N42" i="228"/>
  <c r="O42" i="228"/>
  <c r="D43" i="228"/>
  <c r="E43" i="228"/>
  <c r="F43" i="228"/>
  <c r="G43" i="228"/>
  <c r="H43" i="228"/>
  <c r="I43" i="228"/>
  <c r="J43" i="228"/>
  <c r="K43" i="228"/>
  <c r="L43" i="228"/>
  <c r="M43" i="228"/>
  <c r="N43" i="228"/>
  <c r="O43" i="228"/>
  <c r="D35" i="228"/>
  <c r="E35" i="228"/>
  <c r="F35" i="228"/>
  <c r="G35" i="228"/>
  <c r="H35" i="228"/>
  <c r="I35" i="228"/>
  <c r="J35" i="228"/>
  <c r="K35" i="228"/>
  <c r="L35" i="228"/>
  <c r="M35" i="228"/>
  <c r="N35" i="228"/>
  <c r="O35" i="228"/>
  <c r="D36" i="228"/>
  <c r="E36" i="228"/>
  <c r="F36" i="228"/>
  <c r="G36" i="228"/>
  <c r="H36" i="228"/>
  <c r="I36" i="228"/>
  <c r="J36" i="228"/>
  <c r="K36" i="228"/>
  <c r="L36" i="228"/>
  <c r="M36" i="228"/>
  <c r="N36" i="228"/>
  <c r="O36" i="228"/>
  <c r="D37" i="228"/>
  <c r="E37" i="228"/>
  <c r="F37" i="228"/>
  <c r="G37" i="228"/>
  <c r="H37" i="228"/>
  <c r="I37" i="228"/>
  <c r="J37" i="228"/>
  <c r="K37" i="228"/>
  <c r="L37" i="228"/>
  <c r="M37" i="228"/>
  <c r="N37" i="228"/>
  <c r="O37" i="228"/>
  <c r="D38" i="228"/>
  <c r="E38" i="228"/>
  <c r="F38" i="228"/>
  <c r="G38" i="228"/>
  <c r="H38" i="228"/>
  <c r="I38" i="228"/>
  <c r="J38" i="228"/>
  <c r="K38" i="228"/>
  <c r="L38" i="228"/>
  <c r="M38" i="228"/>
  <c r="N38" i="228"/>
  <c r="O38" i="228"/>
  <c r="D32" i="228"/>
  <c r="E32" i="228"/>
  <c r="F32" i="228"/>
  <c r="G32" i="228"/>
  <c r="H32" i="228"/>
  <c r="I32" i="228"/>
  <c r="J32" i="228"/>
  <c r="K32" i="228"/>
  <c r="L32" i="228"/>
  <c r="M32" i="228"/>
  <c r="N32" i="228"/>
  <c r="O32" i="228"/>
  <c r="D25" i="226"/>
  <c r="E25" i="226"/>
  <c r="F25" i="226"/>
  <c r="G25" i="226"/>
  <c r="H25" i="226"/>
  <c r="I25" i="226"/>
  <c r="J25" i="226"/>
  <c r="K25" i="226"/>
  <c r="L25" i="226"/>
  <c r="M25" i="226"/>
  <c r="N25" i="226"/>
  <c r="O25" i="226"/>
  <c r="A25" i="226"/>
  <c r="A26" i="226" s="1"/>
  <c r="A27" i="226" s="1"/>
  <c r="D20" i="226"/>
  <c r="E20" i="226"/>
  <c r="F20" i="226"/>
  <c r="G20" i="226"/>
  <c r="H20" i="226"/>
  <c r="I20" i="226"/>
  <c r="J20" i="226"/>
  <c r="K20" i="226"/>
  <c r="L20" i="226"/>
  <c r="M20" i="226"/>
  <c r="N20" i="226"/>
  <c r="O20" i="226"/>
  <c r="A112" i="222"/>
  <c r="A113" i="222" s="1"/>
  <c r="P35" i="228" l="1"/>
  <c r="P42" i="228"/>
  <c r="P25" i="226"/>
  <c r="P24" i="228"/>
  <c r="P43" i="228"/>
  <c r="P36" i="228"/>
  <c r="P38" i="228"/>
  <c r="P37" i="228"/>
  <c r="P32" i="228"/>
  <c r="P20" i="226"/>
  <c r="O8" i="238" l="1"/>
  <c r="I44" i="192"/>
  <c r="H44" i="192"/>
  <c r="G44" i="192"/>
  <c r="F44" i="192"/>
  <c r="E44" i="192"/>
  <c r="D44" i="192"/>
  <c r="J15" i="192"/>
  <c r="K15" i="192"/>
  <c r="L15" i="192"/>
  <c r="M15" i="192"/>
  <c r="N15" i="192"/>
  <c r="O15" i="192"/>
  <c r="J16" i="192"/>
  <c r="K16" i="192"/>
  <c r="L16" i="192"/>
  <c r="M16" i="192"/>
  <c r="N16" i="192"/>
  <c r="O16" i="192"/>
  <c r="E14" i="192" l="1"/>
  <c r="F14" i="192"/>
  <c r="G14" i="192"/>
  <c r="H14" i="192"/>
  <c r="I14" i="192"/>
  <c r="E15" i="192"/>
  <c r="F15" i="192"/>
  <c r="G15" i="192"/>
  <c r="H15" i="192"/>
  <c r="I15" i="192"/>
  <c r="E16" i="192"/>
  <c r="F16" i="192"/>
  <c r="G16" i="192"/>
  <c r="H16" i="192"/>
  <c r="I16" i="192"/>
  <c r="E17" i="192"/>
  <c r="F17" i="192"/>
  <c r="G17" i="192"/>
  <c r="H17" i="192"/>
  <c r="I17" i="192"/>
  <c r="E18" i="192"/>
  <c r="F18" i="192"/>
  <c r="G18" i="192"/>
  <c r="H18" i="192"/>
  <c r="I18" i="192"/>
  <c r="E19" i="192"/>
  <c r="F19" i="192"/>
  <c r="G19" i="192"/>
  <c r="H19" i="192"/>
  <c r="I19" i="192"/>
  <c r="E20" i="192"/>
  <c r="F20" i="192"/>
  <c r="G20" i="192"/>
  <c r="H20" i="192"/>
  <c r="I20" i="192"/>
  <c r="E21" i="192"/>
  <c r="F21" i="192"/>
  <c r="G21" i="192"/>
  <c r="H21" i="192"/>
  <c r="I21" i="192"/>
  <c r="E22" i="192"/>
  <c r="F22" i="192"/>
  <c r="G22" i="192"/>
  <c r="H22" i="192"/>
  <c r="I22" i="192"/>
  <c r="E23" i="192"/>
  <c r="F23" i="192"/>
  <c r="G23" i="192"/>
  <c r="H23" i="192"/>
  <c r="I23" i="192"/>
  <c r="E24" i="192"/>
  <c r="F24" i="192"/>
  <c r="G24" i="192"/>
  <c r="H24" i="192"/>
  <c r="I24" i="192"/>
  <c r="E26" i="192"/>
  <c r="F26" i="192"/>
  <c r="G26" i="192"/>
  <c r="H26" i="192"/>
  <c r="I26" i="192"/>
  <c r="E25" i="192"/>
  <c r="F25" i="192"/>
  <c r="G25" i="192"/>
  <c r="H25" i="192"/>
  <c r="I25" i="192"/>
  <c r="E27" i="192"/>
  <c r="F27" i="192"/>
  <c r="G27" i="192"/>
  <c r="H27" i="192"/>
  <c r="I27" i="192"/>
  <c r="E28" i="192"/>
  <c r="F28" i="192"/>
  <c r="G28" i="192"/>
  <c r="H28" i="192"/>
  <c r="I28" i="192"/>
  <c r="E29" i="192"/>
  <c r="F29" i="192"/>
  <c r="G29" i="192"/>
  <c r="H29" i="192"/>
  <c r="I29" i="192"/>
  <c r="E30" i="192"/>
  <c r="F30" i="192"/>
  <c r="G30" i="192"/>
  <c r="H30" i="192"/>
  <c r="I30" i="192"/>
  <c r="E31" i="192"/>
  <c r="F31" i="192"/>
  <c r="G31" i="192"/>
  <c r="H31" i="192"/>
  <c r="I31" i="192"/>
  <c r="E32" i="192"/>
  <c r="F32" i="192"/>
  <c r="G32" i="192"/>
  <c r="H32" i="192"/>
  <c r="I32" i="192"/>
  <c r="E33" i="192"/>
  <c r="F33" i="192"/>
  <c r="G33" i="192"/>
  <c r="H33" i="192"/>
  <c r="I33" i="192"/>
  <c r="E34" i="192"/>
  <c r="F34" i="192"/>
  <c r="G34" i="192"/>
  <c r="H34" i="192"/>
  <c r="I34" i="192"/>
  <c r="E35" i="192"/>
  <c r="F35" i="192"/>
  <c r="G35" i="192"/>
  <c r="H35" i="192"/>
  <c r="I35" i="192"/>
  <c r="E36" i="192"/>
  <c r="F36" i="192"/>
  <c r="G36" i="192"/>
  <c r="H36" i="192"/>
  <c r="I36" i="192"/>
  <c r="E37" i="192"/>
  <c r="F37" i="192"/>
  <c r="G37" i="192"/>
  <c r="H37" i="192"/>
  <c r="I37" i="192"/>
  <c r="E38" i="192"/>
  <c r="F38" i="192"/>
  <c r="G38" i="192"/>
  <c r="H38" i="192"/>
  <c r="I38" i="192"/>
  <c r="E39" i="192"/>
  <c r="F39" i="192"/>
  <c r="G39" i="192"/>
  <c r="H39" i="192"/>
  <c r="I39" i="192"/>
  <c r="E40" i="192"/>
  <c r="F40" i="192"/>
  <c r="G40" i="192"/>
  <c r="H40" i="192"/>
  <c r="I40" i="192"/>
  <c r="E41" i="192"/>
  <c r="F41" i="192"/>
  <c r="G41" i="192"/>
  <c r="H41" i="192"/>
  <c r="I41" i="192"/>
  <c r="E42" i="192"/>
  <c r="F42" i="192"/>
  <c r="G42" i="192"/>
  <c r="H42" i="192"/>
  <c r="I42" i="192"/>
  <c r="E43" i="192"/>
  <c r="F43" i="192"/>
  <c r="G43" i="192"/>
  <c r="H43" i="192"/>
  <c r="I43" i="192"/>
  <c r="E45" i="192"/>
  <c r="F45" i="192"/>
  <c r="G45" i="192"/>
  <c r="H45" i="192"/>
  <c r="I45" i="192"/>
  <c r="E46" i="192"/>
  <c r="F46" i="192"/>
  <c r="G46" i="192"/>
  <c r="H46" i="192"/>
  <c r="I46" i="192"/>
  <c r="E47" i="192"/>
  <c r="F47" i="192"/>
  <c r="G47" i="192"/>
  <c r="H47" i="192"/>
  <c r="I47" i="192"/>
  <c r="E48" i="192"/>
  <c r="F48" i="192"/>
  <c r="G48" i="192"/>
  <c r="H48" i="192"/>
  <c r="I48" i="192"/>
  <c r="E49" i="192"/>
  <c r="F49" i="192"/>
  <c r="G49" i="192"/>
  <c r="H49" i="192"/>
  <c r="I49" i="192"/>
  <c r="E50" i="192"/>
  <c r="F50" i="192"/>
  <c r="G50" i="192"/>
  <c r="H50" i="192"/>
  <c r="I50" i="192"/>
  <c r="E51" i="192"/>
  <c r="F51" i="192"/>
  <c r="G51" i="192"/>
  <c r="H51" i="192"/>
  <c r="I51" i="192"/>
  <c r="E52" i="192"/>
  <c r="F52" i="192"/>
  <c r="G52" i="192"/>
  <c r="H52" i="192"/>
  <c r="I52" i="192"/>
  <c r="E53" i="192"/>
  <c r="F53" i="192"/>
  <c r="G53" i="192"/>
  <c r="H53" i="192"/>
  <c r="I53" i="192"/>
  <c r="E54" i="192"/>
  <c r="F54" i="192"/>
  <c r="G54" i="192"/>
  <c r="H54" i="192"/>
  <c r="I54" i="192"/>
  <c r="E55" i="192"/>
  <c r="F55" i="192"/>
  <c r="G55" i="192"/>
  <c r="H55" i="192"/>
  <c r="I55" i="192"/>
  <c r="E56" i="192"/>
  <c r="F56" i="192"/>
  <c r="G56" i="192"/>
  <c r="H56" i="192"/>
  <c r="I56" i="192"/>
  <c r="E57" i="192"/>
  <c r="F57" i="192"/>
  <c r="G57" i="192"/>
  <c r="H57" i="192"/>
  <c r="I57" i="192"/>
  <c r="E58" i="192"/>
  <c r="F58" i="192"/>
  <c r="G58" i="192"/>
  <c r="H58" i="192"/>
  <c r="I58" i="192"/>
  <c r="E59" i="192"/>
  <c r="F59" i="192"/>
  <c r="G59" i="192"/>
  <c r="H59" i="192"/>
  <c r="I59" i="192"/>
  <c r="D45" i="192"/>
  <c r="D38" i="192"/>
  <c r="D39" i="192"/>
  <c r="D40" i="192"/>
  <c r="D37" i="192"/>
  <c r="D34" i="192" l="1"/>
  <c r="D25" i="192"/>
  <c r="E21" i="193"/>
  <c r="F21" i="193"/>
  <c r="G21" i="193"/>
  <c r="H21" i="193"/>
  <c r="I21" i="193"/>
  <c r="D21" i="193"/>
  <c r="E12" i="193"/>
  <c r="F12" i="193"/>
  <c r="G12" i="193"/>
  <c r="H12" i="193"/>
  <c r="I12" i="193"/>
  <c r="E13" i="193"/>
  <c r="F13" i="193"/>
  <c r="G13" i="193"/>
  <c r="H13" i="193"/>
  <c r="I13" i="193"/>
  <c r="E14" i="193"/>
  <c r="F14" i="193"/>
  <c r="G14" i="193"/>
  <c r="H14" i="193"/>
  <c r="I14" i="193"/>
  <c r="E15" i="193"/>
  <c r="F15" i="193"/>
  <c r="G15" i="193"/>
  <c r="H15" i="193"/>
  <c r="I15" i="193"/>
  <c r="E16" i="193"/>
  <c r="F16" i="193"/>
  <c r="G16" i="193"/>
  <c r="H16" i="193"/>
  <c r="I16" i="193"/>
  <c r="E17" i="193"/>
  <c r="F17" i="193"/>
  <c r="G17" i="193"/>
  <c r="H17" i="193"/>
  <c r="I17" i="193"/>
  <c r="E18" i="193"/>
  <c r="F18" i="193"/>
  <c r="G18" i="193"/>
  <c r="H18" i="193"/>
  <c r="I18" i="193"/>
  <c r="E19" i="193"/>
  <c r="F19" i="193"/>
  <c r="G19" i="193"/>
  <c r="H19" i="193"/>
  <c r="I19" i="193"/>
  <c r="E20" i="193"/>
  <c r="F20" i="193"/>
  <c r="G20" i="193"/>
  <c r="H20" i="193"/>
  <c r="I20" i="193"/>
  <c r="E22" i="193"/>
  <c r="F22" i="193"/>
  <c r="G22" i="193"/>
  <c r="H22" i="193"/>
  <c r="I22" i="193"/>
  <c r="E23" i="193"/>
  <c r="F23" i="193"/>
  <c r="G23" i="193"/>
  <c r="H23" i="193"/>
  <c r="I23" i="193"/>
  <c r="E24" i="193"/>
  <c r="F24" i="193"/>
  <c r="G24" i="193"/>
  <c r="H24" i="193"/>
  <c r="I24" i="193"/>
  <c r="E25" i="193"/>
  <c r="F25" i="193"/>
  <c r="G25" i="193"/>
  <c r="H25" i="193"/>
  <c r="I25" i="193"/>
  <c r="E26" i="193"/>
  <c r="F26" i="193"/>
  <c r="G26" i="193"/>
  <c r="H26" i="193"/>
  <c r="I26" i="193"/>
  <c r="E27" i="193"/>
  <c r="F27" i="193"/>
  <c r="G27" i="193"/>
  <c r="H27" i="193"/>
  <c r="I27" i="193"/>
  <c r="E28" i="193"/>
  <c r="F28" i="193"/>
  <c r="G28" i="193"/>
  <c r="H28" i="193"/>
  <c r="I28" i="193"/>
  <c r="D24" i="193"/>
  <c r="D25" i="193"/>
  <c r="D26" i="193"/>
  <c r="D27" i="193"/>
  <c r="D28" i="193"/>
  <c r="D23" i="193"/>
  <c r="D22" i="193"/>
  <c r="D20" i="193"/>
  <c r="I14" i="190" l="1"/>
  <c r="I15" i="190"/>
  <c r="I16" i="190"/>
  <c r="I17" i="190"/>
  <c r="I18" i="190"/>
  <c r="I19" i="190"/>
  <c r="I20" i="190"/>
  <c r="I21" i="190"/>
  <c r="I22" i="190"/>
  <c r="I23" i="190"/>
  <c r="I24" i="190"/>
  <c r="I25" i="190"/>
  <c r="I26" i="190"/>
  <c r="I28" i="190"/>
  <c r="I29" i="190"/>
  <c r="I30" i="190"/>
  <c r="I31" i="190"/>
  <c r="I32" i="190"/>
  <c r="I33" i="190"/>
  <c r="I34" i="190"/>
  <c r="I35" i="190"/>
  <c r="I36" i="190"/>
  <c r="I37" i="190"/>
  <c r="I38" i="190"/>
  <c r="I39" i="190"/>
  <c r="I40" i="190"/>
  <c r="I41" i="190"/>
  <c r="E14" i="190"/>
  <c r="F14" i="190"/>
  <c r="G14" i="190"/>
  <c r="H14" i="190"/>
  <c r="E15" i="190"/>
  <c r="F15" i="190"/>
  <c r="G15" i="190"/>
  <c r="H15" i="190"/>
  <c r="E16" i="190"/>
  <c r="F16" i="190"/>
  <c r="G16" i="190"/>
  <c r="H16" i="190"/>
  <c r="E17" i="190"/>
  <c r="F17" i="190"/>
  <c r="G17" i="190"/>
  <c r="H17" i="190"/>
  <c r="E18" i="190"/>
  <c r="F18" i="190"/>
  <c r="G18" i="190"/>
  <c r="H18" i="190"/>
  <c r="E19" i="190"/>
  <c r="F19" i="190"/>
  <c r="G19" i="190"/>
  <c r="H19" i="190"/>
  <c r="E20" i="190"/>
  <c r="F20" i="190"/>
  <c r="G20" i="190"/>
  <c r="H20" i="190"/>
  <c r="E21" i="190"/>
  <c r="F21" i="190"/>
  <c r="G21" i="190"/>
  <c r="H21" i="190"/>
  <c r="E22" i="190"/>
  <c r="F22" i="190"/>
  <c r="G22" i="190"/>
  <c r="H22" i="190"/>
  <c r="E23" i="190"/>
  <c r="F23" i="190"/>
  <c r="G23" i="190"/>
  <c r="H23" i="190"/>
  <c r="E24" i="190"/>
  <c r="F24" i="190"/>
  <c r="G24" i="190"/>
  <c r="H24" i="190"/>
  <c r="E25" i="190"/>
  <c r="F25" i="190"/>
  <c r="G25" i="190"/>
  <c r="H25" i="190"/>
  <c r="E26" i="190"/>
  <c r="F26" i="190"/>
  <c r="G26" i="190"/>
  <c r="H26" i="190"/>
  <c r="E28" i="190"/>
  <c r="F28" i="190"/>
  <c r="G28" i="190"/>
  <c r="H28" i="190"/>
  <c r="E29" i="190"/>
  <c r="F29" i="190"/>
  <c r="G29" i="190"/>
  <c r="H29" i="190"/>
  <c r="E30" i="190"/>
  <c r="F30" i="190"/>
  <c r="G30" i="190"/>
  <c r="H30" i="190"/>
  <c r="E31" i="190"/>
  <c r="F31" i="190"/>
  <c r="G31" i="190"/>
  <c r="H31" i="190"/>
  <c r="E32" i="190"/>
  <c r="F32" i="190"/>
  <c r="G32" i="190"/>
  <c r="H32" i="190"/>
  <c r="E33" i="190"/>
  <c r="F33" i="190"/>
  <c r="G33" i="190"/>
  <c r="H33" i="190"/>
  <c r="E34" i="190"/>
  <c r="F34" i="190"/>
  <c r="G34" i="190"/>
  <c r="H34" i="190"/>
  <c r="E35" i="190"/>
  <c r="F35" i="190"/>
  <c r="G35" i="190"/>
  <c r="H35" i="190"/>
  <c r="E36" i="190"/>
  <c r="F36" i="190"/>
  <c r="G36" i="190"/>
  <c r="H36" i="190"/>
  <c r="E37" i="190"/>
  <c r="F37" i="190"/>
  <c r="G37" i="190"/>
  <c r="H37" i="190"/>
  <c r="E38" i="190"/>
  <c r="F38" i="190"/>
  <c r="G38" i="190"/>
  <c r="H38" i="190"/>
  <c r="E39" i="190"/>
  <c r="F39" i="190"/>
  <c r="G39" i="190"/>
  <c r="H39" i="190"/>
  <c r="E40" i="190"/>
  <c r="F40" i="190"/>
  <c r="G40" i="190"/>
  <c r="H40" i="190"/>
  <c r="E41" i="190"/>
  <c r="F41" i="190"/>
  <c r="G41" i="190"/>
  <c r="H41" i="190"/>
  <c r="K22" i="190"/>
  <c r="L22" i="190"/>
  <c r="M22" i="190"/>
  <c r="N22" i="190"/>
  <c r="O22" i="190"/>
  <c r="J22" i="190"/>
  <c r="D22" i="190"/>
  <c r="A22" i="190"/>
  <c r="A23" i="190" s="1"/>
  <c r="A24" i="190" s="1"/>
  <c r="P22" i="190" l="1"/>
  <c r="E46" i="190"/>
  <c r="F46" i="190"/>
  <c r="G46" i="190"/>
  <c r="H46" i="190"/>
  <c r="I46" i="190"/>
  <c r="D46" i="190"/>
  <c r="E34" i="193"/>
  <c r="F34" i="193"/>
  <c r="G34" i="193"/>
  <c r="H34" i="193"/>
  <c r="I34" i="193"/>
  <c r="D34" i="193"/>
  <c r="E65" i="192"/>
  <c r="F65" i="192"/>
  <c r="G65" i="192"/>
  <c r="H65" i="192"/>
  <c r="I65" i="192"/>
  <c r="D65" i="192"/>
  <c r="J27" i="190" l="1"/>
  <c r="K27" i="190"/>
  <c r="L27" i="190"/>
  <c r="M27" i="190"/>
  <c r="N27" i="190"/>
  <c r="O27" i="190"/>
  <c r="P27" i="190" l="1"/>
  <c r="E264" i="213"/>
  <c r="E227" i="213"/>
  <c r="E181" i="213"/>
  <c r="E119" i="213"/>
  <c r="E264" i="207"/>
  <c r="E227" i="207"/>
  <c r="E181" i="207"/>
  <c r="E119" i="207"/>
  <c r="S26" i="35"/>
  <c r="R26" i="35"/>
  <c r="E268" i="207" l="1"/>
  <c r="E268" i="213"/>
  <c r="M50" i="35"/>
  <c r="O50" i="35" s="1"/>
  <c r="G12" i="35"/>
  <c r="I12" i="35" s="1"/>
  <c r="K12" i="35" s="1"/>
  <c r="E12" i="35"/>
  <c r="J132" i="10" l="1"/>
  <c r="K132" i="10"/>
  <c r="L132" i="10"/>
  <c r="M132" i="10"/>
  <c r="N132" i="10"/>
  <c r="O132" i="10"/>
  <c r="P132" i="10"/>
  <c r="Q132" i="10"/>
  <c r="R132" i="10"/>
  <c r="I132" i="10"/>
  <c r="J130" i="10"/>
  <c r="K130" i="10"/>
  <c r="L130" i="10"/>
  <c r="M130" i="10"/>
  <c r="N130" i="10"/>
  <c r="O130" i="10"/>
  <c r="P130" i="10"/>
  <c r="Q130" i="10"/>
  <c r="R130" i="10"/>
  <c r="I130" i="10"/>
  <c r="J119" i="10"/>
  <c r="K119" i="10"/>
  <c r="L119" i="10"/>
  <c r="M119" i="10"/>
  <c r="N119" i="10"/>
  <c r="O119" i="10"/>
  <c r="P119" i="10"/>
  <c r="Q119" i="10"/>
  <c r="R119" i="10"/>
  <c r="J120" i="10"/>
  <c r="K120" i="10"/>
  <c r="L120" i="10"/>
  <c r="M120" i="10"/>
  <c r="N120" i="10"/>
  <c r="O120" i="10"/>
  <c r="P120" i="10"/>
  <c r="Q120" i="10"/>
  <c r="R120" i="10"/>
  <c r="J121" i="10"/>
  <c r="K121" i="10"/>
  <c r="L121" i="10"/>
  <c r="M121" i="10"/>
  <c r="N121" i="10"/>
  <c r="O121" i="10"/>
  <c r="P121" i="10"/>
  <c r="Q121" i="10"/>
  <c r="R121" i="10"/>
  <c r="J122" i="10"/>
  <c r="K122" i="10"/>
  <c r="L122" i="10"/>
  <c r="M122" i="10"/>
  <c r="N122" i="10"/>
  <c r="O122" i="10"/>
  <c r="P122" i="10"/>
  <c r="Q122" i="10"/>
  <c r="R122" i="10"/>
  <c r="I120" i="10"/>
  <c r="I121" i="10"/>
  <c r="I122" i="10"/>
  <c r="I119" i="10"/>
  <c r="J113" i="10"/>
  <c r="K113" i="10"/>
  <c r="L113" i="10"/>
  <c r="M113" i="10"/>
  <c r="N113" i="10"/>
  <c r="O113" i="10"/>
  <c r="P113" i="10"/>
  <c r="Q113" i="10"/>
  <c r="R113" i="10"/>
  <c r="J114" i="10"/>
  <c r="K114" i="10"/>
  <c r="L114" i="10"/>
  <c r="M114" i="10"/>
  <c r="N114" i="10"/>
  <c r="O114" i="10"/>
  <c r="P114" i="10"/>
  <c r="Q114" i="10"/>
  <c r="R114" i="10"/>
  <c r="J115" i="10"/>
  <c r="K115" i="10"/>
  <c r="L115" i="10"/>
  <c r="M115" i="10"/>
  <c r="N115" i="10"/>
  <c r="O115" i="10"/>
  <c r="P115" i="10"/>
  <c r="Q115" i="10"/>
  <c r="R115" i="10"/>
  <c r="I114" i="10"/>
  <c r="I115" i="10"/>
  <c r="I113" i="10"/>
  <c r="J100" i="10"/>
  <c r="K100" i="10"/>
  <c r="L100" i="10"/>
  <c r="M100" i="10"/>
  <c r="N100" i="10"/>
  <c r="O100" i="10"/>
  <c r="P100" i="10"/>
  <c r="Q100" i="10"/>
  <c r="R100" i="10"/>
  <c r="J101" i="10"/>
  <c r="K101" i="10"/>
  <c r="L101" i="10"/>
  <c r="M101" i="10"/>
  <c r="N101" i="10"/>
  <c r="O101" i="10"/>
  <c r="P101" i="10"/>
  <c r="Q101" i="10"/>
  <c r="R101" i="10"/>
  <c r="J102" i="10"/>
  <c r="K102" i="10"/>
  <c r="L102" i="10"/>
  <c r="M102" i="10"/>
  <c r="N102" i="10"/>
  <c r="O102" i="10"/>
  <c r="P102" i="10"/>
  <c r="Q102" i="10"/>
  <c r="R102" i="10"/>
  <c r="J103" i="10"/>
  <c r="K103" i="10"/>
  <c r="L103" i="10"/>
  <c r="M103" i="10"/>
  <c r="N103" i="10"/>
  <c r="O103" i="10"/>
  <c r="P103" i="10"/>
  <c r="Q103" i="10"/>
  <c r="R103" i="10"/>
  <c r="J104" i="10"/>
  <c r="K104" i="10"/>
  <c r="L104" i="10"/>
  <c r="M104" i="10"/>
  <c r="N104" i="10"/>
  <c r="O104" i="10"/>
  <c r="P104" i="10"/>
  <c r="Q104" i="10"/>
  <c r="R104" i="10"/>
  <c r="J105" i="10"/>
  <c r="K105" i="10"/>
  <c r="L105" i="10"/>
  <c r="M105" i="10"/>
  <c r="N105" i="10"/>
  <c r="O105" i="10"/>
  <c r="P105" i="10"/>
  <c r="Q105" i="10"/>
  <c r="R105" i="10"/>
  <c r="J106" i="10"/>
  <c r="K106" i="10"/>
  <c r="L106" i="10"/>
  <c r="M106" i="10"/>
  <c r="N106" i="10"/>
  <c r="O106" i="10"/>
  <c r="P106" i="10"/>
  <c r="Q106" i="10"/>
  <c r="R106" i="10"/>
  <c r="J107" i="10"/>
  <c r="K107" i="10"/>
  <c r="L107" i="10"/>
  <c r="M107" i="10"/>
  <c r="N107" i="10"/>
  <c r="O107" i="10"/>
  <c r="P107" i="10"/>
  <c r="Q107" i="10"/>
  <c r="R107" i="10"/>
  <c r="J108" i="10"/>
  <c r="K108" i="10"/>
  <c r="L108" i="10"/>
  <c r="M108" i="10"/>
  <c r="N108" i="10"/>
  <c r="O108" i="10"/>
  <c r="P108" i="10"/>
  <c r="Q108" i="10"/>
  <c r="R108" i="10"/>
  <c r="I101" i="10"/>
  <c r="I102" i="10"/>
  <c r="I103" i="10"/>
  <c r="I104" i="10"/>
  <c r="I105" i="10"/>
  <c r="I106" i="10"/>
  <c r="I107" i="10"/>
  <c r="I108" i="10"/>
  <c r="I100" i="10"/>
  <c r="I94" i="10"/>
  <c r="I95" i="10"/>
  <c r="I96" i="10"/>
  <c r="I93" i="10"/>
  <c r="I91" i="10"/>
  <c r="J85" i="10"/>
  <c r="K85" i="10"/>
  <c r="L85" i="10"/>
  <c r="M85" i="10"/>
  <c r="N85" i="10"/>
  <c r="O85" i="10"/>
  <c r="P85" i="10"/>
  <c r="Q85" i="10"/>
  <c r="R85" i="10"/>
  <c r="J86" i="10"/>
  <c r="K86" i="10"/>
  <c r="L86" i="10"/>
  <c r="M86" i="10"/>
  <c r="N86" i="10"/>
  <c r="O86" i="10"/>
  <c r="P86" i="10"/>
  <c r="Q86" i="10"/>
  <c r="R86" i="10"/>
  <c r="J87" i="10"/>
  <c r="K87" i="10"/>
  <c r="L87" i="10"/>
  <c r="M87" i="10"/>
  <c r="N87" i="10"/>
  <c r="O87" i="10"/>
  <c r="P87" i="10"/>
  <c r="Q87" i="10"/>
  <c r="R87" i="10"/>
  <c r="J88" i="10"/>
  <c r="K88" i="10"/>
  <c r="L88" i="10"/>
  <c r="M88" i="10"/>
  <c r="N88" i="10"/>
  <c r="O88" i="10"/>
  <c r="P88" i="10"/>
  <c r="Q88" i="10"/>
  <c r="R88" i="10"/>
  <c r="I86" i="10"/>
  <c r="I87" i="10"/>
  <c r="I88" i="10"/>
  <c r="I85" i="10"/>
  <c r="J76" i="10"/>
  <c r="K76" i="10"/>
  <c r="L76" i="10"/>
  <c r="M76" i="10"/>
  <c r="N76" i="10"/>
  <c r="O76" i="10"/>
  <c r="P76" i="10"/>
  <c r="Q76" i="10"/>
  <c r="R76" i="10"/>
  <c r="J77" i="10"/>
  <c r="K77" i="10"/>
  <c r="L77" i="10"/>
  <c r="M77" i="10"/>
  <c r="N77" i="10"/>
  <c r="O77" i="10"/>
  <c r="P77" i="10"/>
  <c r="Q77" i="10"/>
  <c r="R77" i="10"/>
  <c r="J78" i="10"/>
  <c r="K78" i="10"/>
  <c r="L78" i="10"/>
  <c r="M78" i="10"/>
  <c r="N78" i="10"/>
  <c r="O78" i="10"/>
  <c r="P78" i="10"/>
  <c r="Q78" i="10"/>
  <c r="R78" i="10"/>
  <c r="J79" i="10"/>
  <c r="K79" i="10"/>
  <c r="L79" i="10"/>
  <c r="M79" i="10"/>
  <c r="N79" i="10"/>
  <c r="O79" i="10"/>
  <c r="P79" i="10"/>
  <c r="Q79" i="10"/>
  <c r="R79" i="10"/>
  <c r="J80" i="10"/>
  <c r="K80" i="10"/>
  <c r="L80" i="10"/>
  <c r="M80" i="10"/>
  <c r="N80" i="10"/>
  <c r="O80" i="10"/>
  <c r="P80" i="10"/>
  <c r="Q80" i="10"/>
  <c r="R80" i="10"/>
  <c r="J81" i="10"/>
  <c r="K81" i="10"/>
  <c r="L81" i="10"/>
  <c r="M81" i="10"/>
  <c r="N81" i="10"/>
  <c r="O81" i="10"/>
  <c r="P81" i="10"/>
  <c r="Q81" i="10"/>
  <c r="R81" i="10"/>
  <c r="J82" i="10"/>
  <c r="K82" i="10"/>
  <c r="L82" i="10"/>
  <c r="M82" i="10"/>
  <c r="N82" i="10"/>
  <c r="O82" i="10"/>
  <c r="P82" i="10"/>
  <c r="Q82" i="10"/>
  <c r="R82" i="10"/>
  <c r="I82" i="10"/>
  <c r="I81" i="10"/>
  <c r="I80" i="10"/>
  <c r="I79" i="10"/>
  <c r="I78" i="10"/>
  <c r="I77" i="10"/>
  <c r="I76" i="10"/>
  <c r="J72" i="10"/>
  <c r="K72" i="10"/>
  <c r="L72" i="10"/>
  <c r="M72" i="10"/>
  <c r="N72" i="10"/>
  <c r="O72" i="10"/>
  <c r="P72" i="10"/>
  <c r="Q72" i="10"/>
  <c r="R72" i="10"/>
  <c r="J73" i="10"/>
  <c r="K73" i="10"/>
  <c r="L73" i="10"/>
  <c r="M73" i="10"/>
  <c r="N73" i="10"/>
  <c r="O73" i="10"/>
  <c r="P73" i="10"/>
  <c r="Q73" i="10"/>
  <c r="R73" i="10"/>
  <c r="I73" i="10"/>
  <c r="I72" i="10"/>
  <c r="K71" i="10"/>
  <c r="L71" i="10"/>
  <c r="M71" i="10"/>
  <c r="N71" i="10"/>
  <c r="O71" i="10"/>
  <c r="P71" i="10"/>
  <c r="Q71" i="10"/>
  <c r="R71" i="10"/>
  <c r="J71" i="10"/>
  <c r="I71" i="10"/>
  <c r="J59" i="10"/>
  <c r="K59" i="10"/>
  <c r="L59" i="10"/>
  <c r="M59" i="10"/>
  <c r="N59" i="10"/>
  <c r="O59" i="10"/>
  <c r="P59" i="10"/>
  <c r="Q59" i="10"/>
  <c r="R59" i="10"/>
  <c r="I59" i="10"/>
  <c r="J56" i="10"/>
  <c r="K56" i="10"/>
  <c r="L56" i="10"/>
  <c r="M56" i="10"/>
  <c r="N56" i="10"/>
  <c r="O56" i="10"/>
  <c r="P56" i="10"/>
  <c r="Q56" i="10"/>
  <c r="R56" i="10"/>
  <c r="J57" i="10"/>
  <c r="K57" i="10"/>
  <c r="L57" i="10"/>
  <c r="M57" i="10"/>
  <c r="N57" i="10"/>
  <c r="O57" i="10"/>
  <c r="P57" i="10"/>
  <c r="Q57" i="10"/>
  <c r="R57" i="10"/>
  <c r="I57" i="10"/>
  <c r="I56" i="10"/>
  <c r="J48" i="10"/>
  <c r="K48" i="10"/>
  <c r="L48" i="10"/>
  <c r="M48" i="10"/>
  <c r="N48" i="10"/>
  <c r="O48" i="10"/>
  <c r="P48" i="10"/>
  <c r="Q48" i="10"/>
  <c r="R48" i="10"/>
  <c r="J50" i="10"/>
  <c r="K50" i="10"/>
  <c r="L50" i="10"/>
  <c r="M50" i="10"/>
  <c r="N50" i="10"/>
  <c r="O50" i="10"/>
  <c r="P50" i="10"/>
  <c r="Q50" i="10"/>
  <c r="R50" i="10"/>
  <c r="J53" i="10"/>
  <c r="K53" i="10"/>
  <c r="L53" i="10"/>
  <c r="M53" i="10"/>
  <c r="N53" i="10"/>
  <c r="O53" i="10"/>
  <c r="P53" i="10"/>
  <c r="Q53" i="10"/>
  <c r="R53" i="10"/>
  <c r="I53" i="10"/>
  <c r="I50" i="10"/>
  <c r="I48" i="10"/>
  <c r="J40" i="10"/>
  <c r="K40" i="10"/>
  <c r="L40" i="10"/>
  <c r="M40" i="10"/>
  <c r="N40" i="10"/>
  <c r="O40" i="10"/>
  <c r="P40" i="10"/>
  <c r="Q40" i="10"/>
  <c r="R40" i="10"/>
  <c r="J41" i="10"/>
  <c r="K41" i="10"/>
  <c r="L41" i="10"/>
  <c r="M41" i="10"/>
  <c r="N41" i="10"/>
  <c r="O41" i="10"/>
  <c r="P41" i="10"/>
  <c r="Q41" i="10"/>
  <c r="R41" i="10"/>
  <c r="J42" i="10"/>
  <c r="K42" i="10"/>
  <c r="L42" i="10"/>
  <c r="M42" i="10"/>
  <c r="N42" i="10"/>
  <c r="O42" i="10"/>
  <c r="P42" i="10"/>
  <c r="Q42" i="10"/>
  <c r="R42" i="10"/>
  <c r="J43" i="10"/>
  <c r="K43" i="10"/>
  <c r="L43" i="10"/>
  <c r="M43" i="10"/>
  <c r="N43" i="10"/>
  <c r="O43" i="10"/>
  <c r="P43" i="10"/>
  <c r="Q43" i="10"/>
  <c r="R43" i="10"/>
  <c r="I43" i="10"/>
  <c r="I42" i="10"/>
  <c r="I41" i="10"/>
  <c r="I40" i="10"/>
  <c r="J13" i="10"/>
  <c r="K13" i="10" s="1"/>
  <c r="L13" i="10" s="1"/>
  <c r="M13" i="10" s="1"/>
  <c r="N13" i="10" s="1"/>
  <c r="O13" i="10" s="1"/>
  <c r="P13" i="10" s="1"/>
  <c r="Q13" i="10" s="1"/>
  <c r="R13" i="10" s="1"/>
  <c r="J29" i="10"/>
  <c r="K29" i="10"/>
  <c r="L29" i="10"/>
  <c r="M29" i="10"/>
  <c r="N29" i="10"/>
  <c r="O29" i="10"/>
  <c r="P29" i="10"/>
  <c r="Q29" i="10"/>
  <c r="R29" i="10"/>
  <c r="I29" i="10"/>
  <c r="J26" i="10"/>
  <c r="K26" i="10"/>
  <c r="L26" i="10"/>
  <c r="M26" i="10"/>
  <c r="N26" i="10"/>
  <c r="O26" i="10"/>
  <c r="P26" i="10"/>
  <c r="Q26" i="10"/>
  <c r="R26" i="10"/>
  <c r="I26" i="10"/>
  <c r="J17" i="10"/>
  <c r="K17" i="10"/>
  <c r="L17" i="10"/>
  <c r="M17" i="10"/>
  <c r="N17" i="10"/>
  <c r="O17" i="10"/>
  <c r="P17" i="10"/>
  <c r="Q17" i="10"/>
  <c r="R17" i="10"/>
  <c r="J18" i="10"/>
  <c r="K18" i="10"/>
  <c r="L18" i="10"/>
  <c r="M18" i="10"/>
  <c r="N18" i="10"/>
  <c r="O18" i="10"/>
  <c r="P18" i="10"/>
  <c r="Q18" i="10"/>
  <c r="R18" i="10"/>
  <c r="J19" i="10"/>
  <c r="K19" i="10"/>
  <c r="L19" i="10"/>
  <c r="M19" i="10"/>
  <c r="N19" i="10"/>
  <c r="O19" i="10"/>
  <c r="P19" i="10"/>
  <c r="Q19" i="10"/>
  <c r="R19" i="10"/>
  <c r="J20" i="10"/>
  <c r="K20" i="10"/>
  <c r="L20" i="10"/>
  <c r="M20" i="10"/>
  <c r="N20" i="10"/>
  <c r="O20" i="10"/>
  <c r="P20" i="10"/>
  <c r="Q20" i="10"/>
  <c r="R20" i="10"/>
  <c r="J21" i="10"/>
  <c r="K21" i="10"/>
  <c r="L21" i="10"/>
  <c r="M21" i="10"/>
  <c r="N21" i="10"/>
  <c r="O21" i="10"/>
  <c r="P21" i="10"/>
  <c r="Q21" i="10"/>
  <c r="R21" i="10"/>
  <c r="J22" i="10"/>
  <c r="K22" i="10"/>
  <c r="L22" i="10"/>
  <c r="M22" i="10"/>
  <c r="N22" i="10"/>
  <c r="O22" i="10"/>
  <c r="P22" i="10"/>
  <c r="Q22" i="10"/>
  <c r="R22" i="10"/>
  <c r="J23" i="10"/>
  <c r="K23" i="10"/>
  <c r="L23" i="10"/>
  <c r="M23" i="10"/>
  <c r="N23" i="10"/>
  <c r="O23" i="10"/>
  <c r="P23" i="10"/>
  <c r="Q23" i="10"/>
  <c r="R23" i="10"/>
  <c r="I18" i="10"/>
  <c r="I19" i="10"/>
  <c r="I20" i="10"/>
  <c r="I21" i="10"/>
  <c r="I22" i="10"/>
  <c r="I23" i="10"/>
  <c r="I17" i="10"/>
  <c r="K16" i="39" l="1"/>
  <c r="G16" i="39"/>
  <c r="H16" i="39"/>
  <c r="I16" i="39"/>
  <c r="J16" i="39"/>
  <c r="H17" i="39"/>
  <c r="I17" i="39"/>
  <c r="J17" i="39"/>
  <c r="K17" i="39"/>
  <c r="H18" i="39"/>
  <c r="I18" i="39"/>
  <c r="J18" i="39"/>
  <c r="K18" i="39"/>
  <c r="H19" i="39"/>
  <c r="I19" i="39"/>
  <c r="J19" i="39"/>
  <c r="K19" i="39"/>
  <c r="G19" i="39"/>
  <c r="G18" i="39"/>
  <c r="G17" i="39"/>
  <c r="G22" i="39" l="1"/>
  <c r="D31" i="105" l="1"/>
  <c r="H28" i="41" l="1"/>
  <c r="I28" i="41"/>
  <c r="J28" i="41"/>
  <c r="K28" i="41"/>
  <c r="G28" i="41"/>
  <c r="H27" i="41"/>
  <c r="I27" i="41"/>
  <c r="J27" i="41"/>
  <c r="K27" i="41"/>
  <c r="G27" i="41"/>
  <c r="H26" i="41"/>
  <c r="I26" i="41"/>
  <c r="J26" i="41"/>
  <c r="K26" i="41"/>
  <c r="G26" i="41"/>
  <c r="H25" i="41"/>
  <c r="I25" i="41"/>
  <c r="J25" i="41"/>
  <c r="K25" i="41"/>
  <c r="G25" i="41"/>
  <c r="K19" i="41"/>
  <c r="J19" i="41"/>
  <c r="I19" i="41"/>
  <c r="H19" i="41"/>
  <c r="G19" i="41" l="1"/>
  <c r="H18" i="41"/>
  <c r="I18" i="41"/>
  <c r="J18" i="41"/>
  <c r="K18" i="41"/>
  <c r="G18" i="41"/>
  <c r="H17" i="41"/>
  <c r="I17" i="41"/>
  <c r="J17" i="41"/>
  <c r="K17" i="41"/>
  <c r="G17" i="41"/>
  <c r="H16" i="41"/>
  <c r="I16" i="41"/>
  <c r="J16" i="41"/>
  <c r="K16" i="41"/>
  <c r="G16" i="41"/>
  <c r="E13" i="42"/>
  <c r="F13" i="42" s="1"/>
  <c r="G13" i="42" s="1"/>
  <c r="H13" i="42" s="1"/>
  <c r="O13" i="42"/>
  <c r="P13" i="42" s="1"/>
  <c r="E43" i="42" l="1"/>
  <c r="F43" i="42"/>
  <c r="G43" i="42"/>
  <c r="H43" i="42"/>
  <c r="D43" i="42"/>
  <c r="F41" i="42"/>
  <c r="G41" i="42"/>
  <c r="H41" i="42"/>
  <c r="E41" i="42"/>
  <c r="D41" i="42"/>
  <c r="E34" i="42"/>
  <c r="F34" i="42"/>
  <c r="G34" i="42"/>
  <c r="H34" i="42"/>
  <c r="E35" i="42"/>
  <c r="F35" i="42"/>
  <c r="G35" i="42"/>
  <c r="H35" i="42"/>
  <c r="E36" i="42"/>
  <c r="F36" i="42"/>
  <c r="G36" i="42"/>
  <c r="H36" i="42"/>
  <c r="E37" i="42"/>
  <c r="F37" i="42"/>
  <c r="G37" i="42"/>
  <c r="H37" i="42"/>
  <c r="D37" i="42"/>
  <c r="D36" i="42"/>
  <c r="D35" i="42"/>
  <c r="D34" i="42"/>
  <c r="E25" i="42"/>
  <c r="F25" i="42"/>
  <c r="G25" i="42"/>
  <c r="H25" i="42"/>
  <c r="E26" i="42"/>
  <c r="F26" i="42"/>
  <c r="G26" i="42"/>
  <c r="H26" i="42"/>
  <c r="E27" i="42"/>
  <c r="F27" i="42"/>
  <c r="G27" i="42"/>
  <c r="H27" i="42"/>
  <c r="E28" i="42"/>
  <c r="F28" i="42"/>
  <c r="G28" i="42"/>
  <c r="H28" i="42"/>
  <c r="D28" i="42"/>
  <c r="D27" i="42"/>
  <c r="D26" i="42"/>
  <c r="D25" i="42"/>
  <c r="E21" i="42"/>
  <c r="F21" i="42"/>
  <c r="G21" i="42"/>
  <c r="H21" i="42"/>
  <c r="D21" i="42"/>
  <c r="E16" i="42"/>
  <c r="F16" i="42"/>
  <c r="G16" i="42"/>
  <c r="H16" i="42"/>
  <c r="E17" i="42"/>
  <c r="F17" i="42"/>
  <c r="G17" i="42"/>
  <c r="H17" i="42"/>
  <c r="E18" i="42"/>
  <c r="F18" i="42"/>
  <c r="G18" i="42"/>
  <c r="H18" i="42"/>
  <c r="D17" i="42"/>
  <c r="D16" i="42"/>
  <c r="D18" i="42"/>
  <c r="L29" i="34"/>
  <c r="G25" i="34"/>
  <c r="F25" i="34"/>
  <c r="E25" i="34"/>
  <c r="G23" i="34"/>
  <c r="F23" i="34"/>
  <c r="E23" i="34"/>
  <c r="F22" i="34"/>
  <c r="E22" i="34"/>
  <c r="H29" i="34"/>
  <c r="H24" i="34"/>
  <c r="H19" i="34"/>
  <c r="H18" i="34"/>
  <c r="D13" i="252" l="1"/>
  <c r="D17" i="252"/>
  <c r="D16" i="252"/>
  <c r="D15" i="252"/>
  <c r="D14" i="252"/>
  <c r="D17" i="250" l="1"/>
  <c r="C22" i="239" l="1"/>
  <c r="C20" i="239" l="1"/>
  <c r="C18" i="239" l="1"/>
  <c r="C16" i="239" l="1"/>
  <c r="D57" i="106" l="1"/>
  <c r="E27" i="106" l="1"/>
  <c r="E24" i="106"/>
  <c r="E21" i="106"/>
  <c r="D17" i="106"/>
  <c r="D16" i="106"/>
  <c r="D15" i="106"/>
  <c r="G33" i="102" l="1"/>
  <c r="G32" i="102"/>
  <c r="C33" i="102"/>
  <c r="C32" i="102"/>
  <c r="G28" i="102"/>
  <c r="G27" i="102"/>
  <c r="C28" i="102"/>
  <c r="C27" i="102"/>
  <c r="G23" i="102"/>
  <c r="G22" i="102"/>
  <c r="C23" i="102"/>
  <c r="C22" i="102"/>
  <c r="G18" i="102"/>
  <c r="G17" i="102"/>
  <c r="C18" i="102"/>
  <c r="C17" i="102"/>
  <c r="C18" i="103" l="1"/>
  <c r="C25" i="103"/>
  <c r="C32" i="103"/>
  <c r="C27" i="247" l="1"/>
  <c r="D24" i="247"/>
  <c r="C24" i="247"/>
  <c r="D21" i="247"/>
  <c r="C21" i="247"/>
  <c r="C18" i="247"/>
  <c r="D18" i="247"/>
  <c r="H31" i="105"/>
  <c r="H26" i="105"/>
  <c r="D26" i="105"/>
  <c r="H21" i="105"/>
  <c r="D21" i="105"/>
  <c r="C28" i="107" l="1"/>
  <c r="D28" i="107"/>
  <c r="C29" i="107"/>
  <c r="D29" i="107"/>
  <c r="C30" i="107"/>
  <c r="D30" i="107"/>
  <c r="C31" i="107"/>
  <c r="D31" i="107"/>
  <c r="C32" i="107"/>
  <c r="D32" i="107"/>
  <c r="C33" i="107"/>
  <c r="D33" i="107"/>
  <c r="C34" i="107"/>
  <c r="D34" i="107"/>
  <c r="D27" i="107"/>
  <c r="C27" i="107"/>
  <c r="C16" i="107"/>
  <c r="D16" i="107"/>
  <c r="C17" i="107"/>
  <c r="D17" i="107"/>
  <c r="C18" i="107"/>
  <c r="D18" i="107"/>
  <c r="C19" i="107"/>
  <c r="D19" i="107"/>
  <c r="C20" i="107"/>
  <c r="D20" i="107"/>
  <c r="C21" i="107"/>
  <c r="D21" i="107"/>
  <c r="C22" i="107"/>
  <c r="D22" i="107"/>
  <c r="D15" i="107"/>
  <c r="C15" i="107"/>
  <c r="C57" i="248" l="1"/>
  <c r="D57" i="248"/>
  <c r="C58" i="248"/>
  <c r="D58" i="248"/>
  <c r="C59" i="248"/>
  <c r="D59" i="248"/>
  <c r="C60" i="248"/>
  <c r="D60" i="248"/>
  <c r="C61" i="248"/>
  <c r="D61" i="248"/>
  <c r="C62" i="248"/>
  <c r="D62" i="248"/>
  <c r="C63" i="248"/>
  <c r="D63" i="248"/>
  <c r="C64" i="248"/>
  <c r="D64" i="248"/>
  <c r="C65" i="248"/>
  <c r="D65" i="248"/>
  <c r="C66" i="248"/>
  <c r="D66" i="248"/>
  <c r="C67" i="248"/>
  <c r="D67" i="248"/>
  <c r="C68" i="248"/>
  <c r="D68" i="248"/>
  <c r="C69" i="248"/>
  <c r="D69" i="248"/>
  <c r="C70" i="248"/>
  <c r="D70" i="248"/>
  <c r="C71" i="248"/>
  <c r="D71" i="248"/>
  <c r="C72" i="248"/>
  <c r="D72" i="248"/>
  <c r="C73" i="248"/>
  <c r="D73" i="248"/>
  <c r="C74" i="248"/>
  <c r="D74" i="248"/>
  <c r="C75" i="248"/>
  <c r="D75" i="248"/>
  <c r="C76" i="248"/>
  <c r="D76" i="248"/>
  <c r="C77" i="248"/>
  <c r="D77" i="248"/>
  <c r="C78" i="248"/>
  <c r="D78" i="248"/>
  <c r="C79" i="248"/>
  <c r="D79" i="248"/>
  <c r="C80" i="248"/>
  <c r="D80" i="248"/>
  <c r="C81" i="248"/>
  <c r="D81" i="248"/>
  <c r="C82" i="248"/>
  <c r="D82" i="248"/>
  <c r="C83" i="248"/>
  <c r="D83" i="248"/>
  <c r="C84" i="248"/>
  <c r="D84" i="248"/>
  <c r="C85" i="248"/>
  <c r="D85" i="248"/>
  <c r="C86" i="248"/>
  <c r="D86" i="248"/>
  <c r="C87" i="248"/>
  <c r="D87" i="248"/>
  <c r="C88" i="248"/>
  <c r="D88" i="248"/>
  <c r="F88" i="248" s="1"/>
  <c r="I88" i="248" s="1"/>
  <c r="C89" i="248"/>
  <c r="D89" i="248"/>
  <c r="F89" i="248" s="1"/>
  <c r="I89" i="248" s="1"/>
  <c r="C90" i="248"/>
  <c r="D90" i="248"/>
  <c r="C91" i="248"/>
  <c r="D91" i="248"/>
  <c r="D56" i="248"/>
  <c r="C56" i="248"/>
  <c r="C16" i="248"/>
  <c r="D16" i="248"/>
  <c r="C17" i="248"/>
  <c r="D17" i="248"/>
  <c r="C18" i="248"/>
  <c r="D18" i="248"/>
  <c r="C19" i="248"/>
  <c r="D19" i="248"/>
  <c r="C20" i="248"/>
  <c r="D20" i="248"/>
  <c r="C21" i="248"/>
  <c r="D21" i="248"/>
  <c r="C22" i="248"/>
  <c r="D22" i="248"/>
  <c r="C23" i="248"/>
  <c r="D23" i="248"/>
  <c r="C24" i="248"/>
  <c r="D24" i="248"/>
  <c r="C25" i="248"/>
  <c r="D25" i="248"/>
  <c r="C26" i="248"/>
  <c r="D26" i="248"/>
  <c r="C27" i="248"/>
  <c r="D27" i="248"/>
  <c r="C28" i="248"/>
  <c r="D28" i="248"/>
  <c r="C29" i="248"/>
  <c r="D29" i="248"/>
  <c r="C30" i="248"/>
  <c r="D30" i="248"/>
  <c r="C31" i="248"/>
  <c r="D31" i="248"/>
  <c r="C32" i="248"/>
  <c r="D32" i="248"/>
  <c r="C33" i="248"/>
  <c r="D33" i="248"/>
  <c r="C34" i="248"/>
  <c r="D34" i="248"/>
  <c r="C35" i="248"/>
  <c r="D35" i="248"/>
  <c r="C36" i="248"/>
  <c r="D36" i="248"/>
  <c r="C37" i="248"/>
  <c r="D37" i="248"/>
  <c r="C38" i="248"/>
  <c r="D38" i="248"/>
  <c r="C39" i="248"/>
  <c r="D39" i="248"/>
  <c r="C40" i="248"/>
  <c r="D40" i="248"/>
  <c r="C41" i="248"/>
  <c r="D41" i="248"/>
  <c r="C42" i="248"/>
  <c r="D42" i="248"/>
  <c r="C43" i="248"/>
  <c r="D43" i="248"/>
  <c r="C44" i="248"/>
  <c r="D44" i="248"/>
  <c r="C45" i="248"/>
  <c r="D45" i="248"/>
  <c r="C46" i="248"/>
  <c r="D46" i="248"/>
  <c r="C47" i="248"/>
  <c r="D47" i="248"/>
  <c r="C48" i="248"/>
  <c r="D48" i="248"/>
  <c r="C49" i="248"/>
  <c r="D49" i="248"/>
  <c r="C50" i="248"/>
  <c r="D50" i="248"/>
  <c r="D15" i="248"/>
  <c r="C15" i="248"/>
  <c r="J132" i="51" l="1"/>
  <c r="J131" i="51"/>
  <c r="J130" i="51"/>
  <c r="J129" i="51"/>
  <c r="J128" i="51"/>
  <c r="J127" i="51"/>
  <c r="J126" i="51"/>
  <c r="J125" i="51"/>
  <c r="J124" i="51"/>
  <c r="J123" i="51"/>
  <c r="J122" i="51"/>
  <c r="J121" i="51"/>
  <c r="J120" i="51"/>
  <c r="J119" i="51"/>
  <c r="J118" i="51"/>
  <c r="J117" i="51"/>
  <c r="J116" i="51"/>
  <c r="J115" i="51"/>
  <c r="J114" i="51"/>
  <c r="J113" i="51"/>
  <c r="J112" i="51"/>
  <c r="J111" i="51"/>
  <c r="J110" i="51"/>
  <c r="J109" i="51"/>
  <c r="J108" i="51"/>
  <c r="J107" i="51"/>
  <c r="J106" i="51"/>
  <c r="J105" i="51"/>
  <c r="J104" i="51"/>
  <c r="J103" i="51"/>
  <c r="J102" i="51"/>
  <c r="J101" i="51"/>
  <c r="J100" i="51"/>
  <c r="J99" i="51"/>
  <c r="J49" i="51"/>
  <c r="J50" i="51"/>
  <c r="J51" i="51"/>
  <c r="J52" i="51"/>
  <c r="J53" i="51"/>
  <c r="J54" i="51"/>
  <c r="J55" i="51"/>
  <c r="J56" i="51"/>
  <c r="J57" i="51"/>
  <c r="J58" i="51"/>
  <c r="J59" i="51"/>
  <c r="J60" i="51"/>
  <c r="J61" i="51"/>
  <c r="J62" i="51"/>
  <c r="J63" i="51"/>
  <c r="J64" i="51"/>
  <c r="J65" i="51"/>
  <c r="J66" i="51"/>
  <c r="J67" i="51"/>
  <c r="J68" i="51"/>
  <c r="J69" i="51"/>
  <c r="J70" i="51"/>
  <c r="J71" i="51"/>
  <c r="J72" i="51"/>
  <c r="J73" i="51"/>
  <c r="J74" i="51"/>
  <c r="J75" i="51"/>
  <c r="J76" i="51"/>
  <c r="J77" i="51"/>
  <c r="J78" i="51"/>
  <c r="J79" i="51"/>
  <c r="J80" i="51"/>
  <c r="J81" i="51"/>
  <c r="J82" i="51"/>
  <c r="J83" i="51"/>
  <c r="J84" i="51"/>
  <c r="J85" i="51"/>
  <c r="J86" i="51"/>
  <c r="J87" i="51"/>
  <c r="J88" i="51"/>
  <c r="J89" i="51"/>
  <c r="J90" i="51"/>
  <c r="J91" i="51"/>
  <c r="J92" i="51"/>
  <c r="J93" i="51"/>
  <c r="J48" i="51"/>
  <c r="H132" i="51"/>
  <c r="H131" i="51"/>
  <c r="H130" i="51"/>
  <c r="H129" i="51"/>
  <c r="H128" i="51"/>
  <c r="H127" i="51"/>
  <c r="H126" i="51"/>
  <c r="H125" i="51"/>
  <c r="H124" i="51"/>
  <c r="H123" i="51"/>
  <c r="H122" i="51"/>
  <c r="H121" i="51"/>
  <c r="H120" i="51"/>
  <c r="H119" i="51"/>
  <c r="H118" i="51"/>
  <c r="H117" i="51"/>
  <c r="H116" i="51"/>
  <c r="H115" i="51"/>
  <c r="H114" i="51"/>
  <c r="H113" i="51"/>
  <c r="H112" i="51"/>
  <c r="H111" i="51"/>
  <c r="H110" i="51"/>
  <c r="H109" i="51"/>
  <c r="H108" i="51"/>
  <c r="H107" i="51"/>
  <c r="H106" i="51"/>
  <c r="H105" i="51"/>
  <c r="H104" i="51"/>
  <c r="H103" i="51"/>
  <c r="H102" i="51"/>
  <c r="H101" i="51"/>
  <c r="H100" i="51"/>
  <c r="H99" i="51"/>
  <c r="H49" i="51"/>
  <c r="H50" i="51"/>
  <c r="H51" i="51"/>
  <c r="H52" i="51"/>
  <c r="H53" i="51"/>
  <c r="H54" i="51"/>
  <c r="H55" i="51"/>
  <c r="H56" i="51"/>
  <c r="H57" i="51"/>
  <c r="H58" i="51"/>
  <c r="H59" i="51"/>
  <c r="H60" i="51"/>
  <c r="H61" i="51"/>
  <c r="H62" i="51"/>
  <c r="H63" i="51"/>
  <c r="H64" i="51"/>
  <c r="H65" i="51"/>
  <c r="H66" i="51"/>
  <c r="H67" i="51"/>
  <c r="H68" i="51"/>
  <c r="H69" i="51"/>
  <c r="H70" i="51"/>
  <c r="H71" i="51"/>
  <c r="H72" i="51"/>
  <c r="H73" i="51"/>
  <c r="H74" i="51"/>
  <c r="H75" i="51"/>
  <c r="H76" i="51"/>
  <c r="H77" i="51"/>
  <c r="H78" i="51"/>
  <c r="H79" i="51"/>
  <c r="H80" i="51"/>
  <c r="H81" i="51"/>
  <c r="H82" i="51"/>
  <c r="H83" i="51"/>
  <c r="H84" i="51"/>
  <c r="H85" i="51"/>
  <c r="H86" i="51"/>
  <c r="H87" i="51"/>
  <c r="H88" i="51"/>
  <c r="H89" i="51"/>
  <c r="H90" i="51"/>
  <c r="H91" i="51"/>
  <c r="H92" i="51"/>
  <c r="H93" i="51"/>
  <c r="H48" i="51"/>
  <c r="F132" i="51"/>
  <c r="F131" i="51"/>
  <c r="F130" i="51"/>
  <c r="F129" i="51"/>
  <c r="F128" i="51"/>
  <c r="F127" i="51"/>
  <c r="F126" i="51"/>
  <c r="F125" i="51"/>
  <c r="F124" i="51"/>
  <c r="F123" i="51"/>
  <c r="F122" i="51"/>
  <c r="F121" i="51"/>
  <c r="F120" i="51"/>
  <c r="F119" i="51"/>
  <c r="F118" i="51"/>
  <c r="F117" i="51"/>
  <c r="F116" i="51"/>
  <c r="F115" i="51"/>
  <c r="F114" i="51"/>
  <c r="F113" i="51"/>
  <c r="F112" i="51"/>
  <c r="F111" i="51"/>
  <c r="F110" i="51"/>
  <c r="F109" i="51"/>
  <c r="F108" i="51"/>
  <c r="F107" i="51"/>
  <c r="F106" i="51"/>
  <c r="F105" i="51"/>
  <c r="F104" i="51"/>
  <c r="F103" i="51"/>
  <c r="F102" i="51"/>
  <c r="F101" i="51"/>
  <c r="F100" i="51"/>
  <c r="F99" i="51"/>
  <c r="F57" i="51"/>
  <c r="F58" i="51"/>
  <c r="F59" i="51"/>
  <c r="F60" i="51"/>
  <c r="F61" i="51"/>
  <c r="F62" i="51"/>
  <c r="F63" i="51"/>
  <c r="F64" i="51"/>
  <c r="F65" i="51"/>
  <c r="F66" i="51"/>
  <c r="F67" i="51"/>
  <c r="F68" i="51"/>
  <c r="F69" i="51"/>
  <c r="F70" i="51"/>
  <c r="F71" i="51"/>
  <c r="F72" i="51"/>
  <c r="F73" i="51"/>
  <c r="F74" i="51"/>
  <c r="F75" i="51"/>
  <c r="F76" i="51"/>
  <c r="F77" i="51"/>
  <c r="F78" i="51"/>
  <c r="F79" i="51"/>
  <c r="F80" i="51"/>
  <c r="F81" i="51"/>
  <c r="F82" i="51"/>
  <c r="F83" i="51"/>
  <c r="F84" i="51"/>
  <c r="F85" i="51"/>
  <c r="F86" i="51"/>
  <c r="F87" i="51"/>
  <c r="F88" i="51"/>
  <c r="F89" i="51"/>
  <c r="F90" i="51"/>
  <c r="F91" i="51"/>
  <c r="F92" i="51"/>
  <c r="F93" i="51"/>
  <c r="F49" i="51"/>
  <c r="F50" i="51"/>
  <c r="F51" i="51"/>
  <c r="F52" i="51"/>
  <c r="F53" i="51"/>
  <c r="F54" i="51"/>
  <c r="F55" i="51"/>
  <c r="F56" i="51"/>
  <c r="F48" i="51"/>
  <c r="J59" i="171" l="1"/>
  <c r="K59" i="171"/>
  <c r="L59" i="171"/>
  <c r="M59" i="171"/>
  <c r="N59" i="171"/>
  <c r="K16" i="171" l="1"/>
  <c r="L16" i="171"/>
  <c r="M16" i="171"/>
  <c r="N16" i="171"/>
  <c r="J16" i="171"/>
  <c r="I59" i="171"/>
  <c r="J45" i="171"/>
  <c r="K45" i="171"/>
  <c r="L45" i="171"/>
  <c r="M45" i="171"/>
  <c r="N45" i="171"/>
  <c r="I45" i="171"/>
  <c r="J30" i="171"/>
  <c r="K30" i="171"/>
  <c r="L30" i="171"/>
  <c r="M30" i="171"/>
  <c r="N30" i="171"/>
  <c r="I30" i="171"/>
  <c r="I16" i="171"/>
  <c r="M19" i="238" l="1"/>
  <c r="N19" i="238"/>
  <c r="L19" i="238"/>
  <c r="D19" i="238"/>
  <c r="E19" i="238"/>
  <c r="F19" i="238"/>
  <c r="G19" i="238"/>
  <c r="H19" i="238"/>
  <c r="I19" i="238"/>
  <c r="J19" i="238"/>
  <c r="K19" i="238"/>
  <c r="C19" i="238"/>
  <c r="M18" i="238"/>
  <c r="N18" i="238"/>
  <c r="L18" i="238"/>
  <c r="D18" i="238"/>
  <c r="E18" i="238"/>
  <c r="F18" i="238"/>
  <c r="G18" i="238"/>
  <c r="H18" i="238"/>
  <c r="I18" i="238"/>
  <c r="J18" i="238"/>
  <c r="K18" i="238"/>
  <c r="C18" i="238"/>
  <c r="M15" i="238"/>
  <c r="N15" i="238"/>
  <c r="L15" i="238"/>
  <c r="D15" i="238"/>
  <c r="E15" i="238"/>
  <c r="F15" i="238"/>
  <c r="G15" i="238"/>
  <c r="H15" i="238"/>
  <c r="I15" i="238"/>
  <c r="J15" i="238"/>
  <c r="K15" i="238"/>
  <c r="C15" i="238"/>
  <c r="N60" i="171" l="1"/>
  <c r="M60" i="171"/>
  <c r="L60" i="171"/>
  <c r="K60" i="171"/>
  <c r="J60" i="171"/>
  <c r="I60" i="171"/>
  <c r="H60" i="171"/>
  <c r="G60" i="171"/>
  <c r="F60" i="171"/>
  <c r="E60" i="171"/>
  <c r="D60" i="171"/>
  <c r="C60" i="171"/>
  <c r="C61" i="238" s="1"/>
  <c r="D61" i="238" s="1"/>
  <c r="E61" i="238" s="1"/>
  <c r="F61" i="238" s="1"/>
  <c r="G61" i="238" s="1"/>
  <c r="H61" i="238" s="1"/>
  <c r="I61" i="238" s="1"/>
  <c r="J61" i="238" s="1"/>
  <c r="K61" i="238" s="1"/>
  <c r="L61" i="238" s="1"/>
  <c r="M61" i="238" s="1"/>
  <c r="N61" i="238" s="1"/>
  <c r="H59" i="171"/>
  <c r="G59" i="171"/>
  <c r="F59" i="171"/>
  <c r="E59" i="171"/>
  <c r="D59" i="171"/>
  <c r="C59" i="171"/>
  <c r="C60" i="238" s="1"/>
  <c r="D60" i="238" s="1"/>
  <c r="E60" i="238" s="1"/>
  <c r="F60" i="238" s="1"/>
  <c r="G60" i="238" s="1"/>
  <c r="H60" i="238" s="1"/>
  <c r="I60" i="238" s="1"/>
  <c r="J60" i="238" s="1"/>
  <c r="K60" i="238" s="1"/>
  <c r="L60" i="238" s="1"/>
  <c r="M60" i="238" s="1"/>
  <c r="N60" i="238" s="1"/>
  <c r="N58" i="171"/>
  <c r="M58" i="171"/>
  <c r="L58" i="171"/>
  <c r="K58" i="171"/>
  <c r="J58" i="171"/>
  <c r="I58" i="171"/>
  <c r="H58" i="171"/>
  <c r="G58" i="171"/>
  <c r="F58" i="171"/>
  <c r="E58" i="171"/>
  <c r="D58" i="171"/>
  <c r="C58" i="171"/>
  <c r="N57" i="171"/>
  <c r="C58" i="238" s="1"/>
  <c r="D58" i="238" s="1"/>
  <c r="E58" i="238" s="1"/>
  <c r="F58" i="238" s="1"/>
  <c r="G58" i="238" s="1"/>
  <c r="H58" i="238" s="1"/>
  <c r="I58" i="238" s="1"/>
  <c r="J58" i="238" s="1"/>
  <c r="K58" i="238" s="1"/>
  <c r="L58" i="238" s="1"/>
  <c r="M58" i="238" s="1"/>
  <c r="N58" i="238" s="1"/>
  <c r="M57" i="171"/>
  <c r="L57" i="171"/>
  <c r="K57" i="171"/>
  <c r="J57" i="171"/>
  <c r="I57" i="171"/>
  <c r="H57" i="171"/>
  <c r="G57" i="171"/>
  <c r="F57" i="171"/>
  <c r="E57" i="171"/>
  <c r="D57" i="171"/>
  <c r="C57" i="171"/>
  <c r="H45" i="171"/>
  <c r="G45" i="171"/>
  <c r="F45" i="171"/>
  <c r="E45" i="171"/>
  <c r="D45" i="171"/>
  <c r="C45" i="171"/>
  <c r="N44" i="171"/>
  <c r="M44" i="171"/>
  <c r="L44" i="171"/>
  <c r="K44" i="171"/>
  <c r="J44" i="171"/>
  <c r="I44" i="171"/>
  <c r="H44" i="171"/>
  <c r="G44" i="171"/>
  <c r="F44" i="171"/>
  <c r="E44" i="171"/>
  <c r="D44" i="171"/>
  <c r="C44" i="171"/>
  <c r="N32" i="171"/>
  <c r="M32" i="171"/>
  <c r="L32" i="171"/>
  <c r="K32" i="171"/>
  <c r="J32" i="171"/>
  <c r="I32" i="171"/>
  <c r="H32" i="171"/>
  <c r="G32" i="171"/>
  <c r="F32" i="171"/>
  <c r="E32" i="171"/>
  <c r="D32" i="171"/>
  <c r="C32" i="171"/>
  <c r="N31" i="171"/>
  <c r="M31" i="171"/>
  <c r="L31" i="171"/>
  <c r="K31" i="171"/>
  <c r="J31" i="171"/>
  <c r="I31" i="171"/>
  <c r="H31" i="171"/>
  <c r="G31" i="171"/>
  <c r="F31" i="171"/>
  <c r="E31" i="171"/>
  <c r="D31" i="171"/>
  <c r="C31" i="171"/>
  <c r="H30" i="171"/>
  <c r="G30" i="171"/>
  <c r="F30" i="171"/>
  <c r="E30" i="171"/>
  <c r="D30" i="171"/>
  <c r="C30" i="171"/>
  <c r="N29" i="171"/>
  <c r="M29" i="171"/>
  <c r="L29" i="171"/>
  <c r="K29" i="171"/>
  <c r="J29" i="171"/>
  <c r="I29" i="171"/>
  <c r="H29" i="171"/>
  <c r="G29" i="171"/>
  <c r="F29" i="171"/>
  <c r="E29" i="171"/>
  <c r="D29" i="171"/>
  <c r="C29" i="171"/>
  <c r="H22" i="171"/>
  <c r="G22" i="171"/>
  <c r="F22" i="171"/>
  <c r="E22" i="171"/>
  <c r="D22" i="171"/>
  <c r="C22" i="171"/>
  <c r="H21" i="171"/>
  <c r="G21" i="171"/>
  <c r="F21" i="171"/>
  <c r="E21" i="171"/>
  <c r="D21" i="171"/>
  <c r="C21" i="171"/>
  <c r="H20" i="171"/>
  <c r="G20" i="171"/>
  <c r="F20" i="171"/>
  <c r="E20" i="171"/>
  <c r="D20" i="171"/>
  <c r="C20" i="171"/>
  <c r="N19" i="171"/>
  <c r="M19" i="171"/>
  <c r="L19" i="171"/>
  <c r="K19" i="171"/>
  <c r="J19" i="171"/>
  <c r="I19" i="171"/>
  <c r="H19" i="171"/>
  <c r="G19" i="171"/>
  <c r="F19" i="171"/>
  <c r="E19" i="171"/>
  <c r="D19" i="171"/>
  <c r="C19" i="171"/>
  <c r="N18" i="171"/>
  <c r="M18" i="171"/>
  <c r="L18" i="171"/>
  <c r="K18" i="171"/>
  <c r="J18" i="171"/>
  <c r="I18" i="171"/>
  <c r="H18" i="171"/>
  <c r="G18" i="171"/>
  <c r="F18" i="171"/>
  <c r="E18" i="171"/>
  <c r="D18" i="171"/>
  <c r="C18" i="171"/>
  <c r="N17" i="171"/>
  <c r="M17" i="171"/>
  <c r="L17" i="171"/>
  <c r="K17" i="171"/>
  <c r="J17" i="171"/>
  <c r="I17" i="171"/>
  <c r="H17" i="171"/>
  <c r="G17" i="171"/>
  <c r="F17" i="171"/>
  <c r="E17" i="171"/>
  <c r="D17" i="171"/>
  <c r="C17" i="171"/>
  <c r="H16" i="171"/>
  <c r="G16" i="171"/>
  <c r="F16" i="171"/>
  <c r="E16" i="171"/>
  <c r="D16" i="171"/>
  <c r="C16" i="171"/>
  <c r="N15" i="171"/>
  <c r="M15" i="171"/>
  <c r="L15" i="171"/>
  <c r="K15" i="171"/>
  <c r="J15" i="171"/>
  <c r="I15" i="171"/>
  <c r="H15" i="171"/>
  <c r="G15" i="171"/>
  <c r="F15" i="171"/>
  <c r="E15" i="171"/>
  <c r="D15" i="171"/>
  <c r="C15" i="171"/>
  <c r="N14" i="171"/>
  <c r="M14" i="171"/>
  <c r="L14" i="171"/>
  <c r="K14" i="171"/>
  <c r="J14" i="171"/>
  <c r="I14" i="171"/>
  <c r="H14" i="171"/>
  <c r="G14" i="171"/>
  <c r="F14" i="171"/>
  <c r="E14" i="171"/>
  <c r="D14" i="171"/>
  <c r="C14" i="171"/>
  <c r="P25" i="202" l="1"/>
  <c r="H25" i="202"/>
  <c r="C34" i="214" l="1"/>
  <c r="D28" i="214"/>
  <c r="F56" i="237" l="1"/>
  <c r="G56" i="237"/>
  <c r="H56" i="237" l="1"/>
  <c r="E14" i="226" l="1"/>
  <c r="F14" i="226"/>
  <c r="G14" i="226"/>
  <c r="H14" i="226"/>
  <c r="I14" i="226"/>
  <c r="J14" i="226"/>
  <c r="K14" i="226"/>
  <c r="L14" i="226"/>
  <c r="M14" i="226"/>
  <c r="N14" i="226"/>
  <c r="O14" i="226"/>
  <c r="E15" i="226"/>
  <c r="F15" i="226"/>
  <c r="G15" i="226"/>
  <c r="H15" i="226"/>
  <c r="I15" i="226"/>
  <c r="J15" i="226"/>
  <c r="K15" i="226"/>
  <c r="L15" i="226"/>
  <c r="M15" i="226"/>
  <c r="N15" i="226"/>
  <c r="O15" i="226"/>
  <c r="E16" i="226"/>
  <c r="F16" i="226"/>
  <c r="G16" i="226"/>
  <c r="H16" i="226"/>
  <c r="I16" i="226"/>
  <c r="J16" i="226"/>
  <c r="K16" i="226"/>
  <c r="L16" i="226"/>
  <c r="M16" i="226"/>
  <c r="N16" i="226"/>
  <c r="O16" i="226"/>
  <c r="E17" i="226"/>
  <c r="F17" i="226"/>
  <c r="G17" i="226"/>
  <c r="H17" i="226"/>
  <c r="I17" i="226"/>
  <c r="J17" i="226"/>
  <c r="K17" i="226"/>
  <c r="L17" i="226"/>
  <c r="M17" i="226"/>
  <c r="N17" i="226"/>
  <c r="O17" i="226"/>
  <c r="E18" i="226"/>
  <c r="F18" i="226"/>
  <c r="G18" i="226"/>
  <c r="H18" i="226"/>
  <c r="I18" i="226"/>
  <c r="J18" i="226"/>
  <c r="K18" i="226"/>
  <c r="L18" i="226"/>
  <c r="M18" i="226"/>
  <c r="N18" i="226"/>
  <c r="O18" i="226"/>
  <c r="E19" i="226"/>
  <c r="F19" i="226"/>
  <c r="G19" i="226"/>
  <c r="H19" i="226"/>
  <c r="I19" i="226"/>
  <c r="J19" i="226"/>
  <c r="K19" i="226"/>
  <c r="L19" i="226"/>
  <c r="M19" i="226"/>
  <c r="N19" i="226"/>
  <c r="O19" i="226"/>
  <c r="E21" i="226"/>
  <c r="F21" i="226"/>
  <c r="G21" i="226"/>
  <c r="H21" i="226"/>
  <c r="I21" i="226"/>
  <c r="J21" i="226"/>
  <c r="K21" i="226"/>
  <c r="L21" i="226"/>
  <c r="M21" i="226"/>
  <c r="N21" i="226"/>
  <c r="O21" i="226"/>
  <c r="E22" i="226"/>
  <c r="F22" i="226"/>
  <c r="G22" i="226"/>
  <c r="H22" i="226"/>
  <c r="I22" i="226"/>
  <c r="J22" i="226"/>
  <c r="K22" i="226"/>
  <c r="L22" i="226"/>
  <c r="M22" i="226"/>
  <c r="N22" i="226"/>
  <c r="O22" i="226"/>
  <c r="E23" i="226"/>
  <c r="F23" i="226"/>
  <c r="G23" i="226"/>
  <c r="H23" i="226"/>
  <c r="I23" i="226"/>
  <c r="J23" i="226"/>
  <c r="K23" i="226"/>
  <c r="L23" i="226"/>
  <c r="M23" i="226"/>
  <c r="N23" i="226"/>
  <c r="O23" i="226"/>
  <c r="E24" i="226"/>
  <c r="F24" i="226"/>
  <c r="G24" i="226"/>
  <c r="H24" i="226"/>
  <c r="I24" i="226"/>
  <c r="J24" i="226"/>
  <c r="K24" i="226"/>
  <c r="L24" i="226"/>
  <c r="M24" i="226"/>
  <c r="N24" i="226"/>
  <c r="O24" i="226"/>
  <c r="E26" i="226"/>
  <c r="F26" i="226"/>
  <c r="G26" i="226"/>
  <c r="H26" i="226"/>
  <c r="I26" i="226"/>
  <c r="J26" i="226"/>
  <c r="K26" i="226"/>
  <c r="L26" i="226"/>
  <c r="M26" i="226"/>
  <c r="N26" i="226"/>
  <c r="O26" i="226"/>
  <c r="E27" i="226"/>
  <c r="F27" i="226"/>
  <c r="G27" i="226"/>
  <c r="H27" i="226"/>
  <c r="I27" i="226"/>
  <c r="J27" i="226"/>
  <c r="K27" i="226"/>
  <c r="L27" i="226"/>
  <c r="M27" i="226"/>
  <c r="N27" i="226"/>
  <c r="O27" i="226"/>
  <c r="E28" i="226"/>
  <c r="F28" i="226"/>
  <c r="G28" i="226"/>
  <c r="H28" i="226"/>
  <c r="I28" i="226"/>
  <c r="J28" i="226"/>
  <c r="K28" i="226"/>
  <c r="L28" i="226"/>
  <c r="M28" i="226"/>
  <c r="N28" i="226"/>
  <c r="O28" i="226"/>
  <c r="E29" i="226"/>
  <c r="F29" i="226"/>
  <c r="G29" i="226"/>
  <c r="H29" i="226"/>
  <c r="I29" i="226"/>
  <c r="J29" i="226"/>
  <c r="K29" i="226"/>
  <c r="L29" i="226"/>
  <c r="M29" i="226"/>
  <c r="N29" i="226"/>
  <c r="O29" i="226"/>
  <c r="E30" i="226"/>
  <c r="F30" i="226"/>
  <c r="G30" i="226"/>
  <c r="H30" i="226"/>
  <c r="I30" i="226"/>
  <c r="J30" i="226"/>
  <c r="K30" i="226"/>
  <c r="L30" i="226"/>
  <c r="M30" i="226"/>
  <c r="N30" i="226"/>
  <c r="O30" i="226"/>
  <c r="E32" i="226"/>
  <c r="F32" i="226"/>
  <c r="G32" i="226"/>
  <c r="H32" i="226"/>
  <c r="I32" i="226"/>
  <c r="J32" i="226"/>
  <c r="K32" i="226"/>
  <c r="L32" i="226"/>
  <c r="M32" i="226"/>
  <c r="N32" i="226"/>
  <c r="O32" i="226"/>
  <c r="E33" i="226"/>
  <c r="F33" i="226"/>
  <c r="G33" i="226"/>
  <c r="H33" i="226"/>
  <c r="I33" i="226"/>
  <c r="J33" i="226"/>
  <c r="K33" i="226"/>
  <c r="L33" i="226"/>
  <c r="M33" i="226"/>
  <c r="N33" i="226"/>
  <c r="O33" i="226"/>
  <c r="E34" i="226"/>
  <c r="F34" i="226"/>
  <c r="G34" i="226"/>
  <c r="H34" i="226"/>
  <c r="I34" i="226"/>
  <c r="J34" i="226"/>
  <c r="K34" i="226"/>
  <c r="L34" i="226"/>
  <c r="M34" i="226"/>
  <c r="N34" i="226"/>
  <c r="O34" i="226"/>
  <c r="E35" i="226"/>
  <c r="F35" i="226"/>
  <c r="G35" i="226"/>
  <c r="H35" i="226"/>
  <c r="I35" i="226"/>
  <c r="J35" i="226"/>
  <c r="K35" i="226"/>
  <c r="L35" i="226"/>
  <c r="M35" i="226"/>
  <c r="N35" i="226"/>
  <c r="O35" i="226"/>
  <c r="E36" i="226"/>
  <c r="F36" i="226"/>
  <c r="G36" i="226"/>
  <c r="H36" i="226"/>
  <c r="I36" i="226"/>
  <c r="J36" i="226"/>
  <c r="K36" i="226"/>
  <c r="L36" i="226"/>
  <c r="M36" i="226"/>
  <c r="N36" i="226"/>
  <c r="O36" i="226"/>
  <c r="E37" i="226"/>
  <c r="F37" i="226"/>
  <c r="G37" i="226"/>
  <c r="H37" i="226"/>
  <c r="I37" i="226"/>
  <c r="J37" i="226"/>
  <c r="K37" i="226"/>
  <c r="L37" i="226"/>
  <c r="M37" i="226"/>
  <c r="N37" i="226"/>
  <c r="O37" i="226"/>
  <c r="E38" i="226"/>
  <c r="F38" i="226"/>
  <c r="G38" i="226"/>
  <c r="H38" i="226"/>
  <c r="I38" i="226"/>
  <c r="J38" i="226"/>
  <c r="K38" i="226"/>
  <c r="L38" i="226"/>
  <c r="M38" i="226"/>
  <c r="N38" i="226"/>
  <c r="O38" i="226"/>
  <c r="E39" i="226"/>
  <c r="F39" i="226"/>
  <c r="G39" i="226"/>
  <c r="H39" i="226"/>
  <c r="I39" i="226"/>
  <c r="J39" i="226"/>
  <c r="K39" i="226"/>
  <c r="L39" i="226"/>
  <c r="M39" i="226"/>
  <c r="N39" i="226"/>
  <c r="O39" i="226"/>
  <c r="D33" i="226"/>
  <c r="D34" i="226"/>
  <c r="D35" i="226"/>
  <c r="D36" i="226"/>
  <c r="D37" i="226"/>
  <c r="D38" i="226"/>
  <c r="D39" i="226"/>
  <c r="D32" i="226"/>
  <c r="D15" i="226"/>
  <c r="D16" i="226"/>
  <c r="D17" i="226"/>
  <c r="D18" i="226"/>
  <c r="D19" i="226"/>
  <c r="D21" i="226"/>
  <c r="D22" i="226"/>
  <c r="D23" i="226"/>
  <c r="D24" i="226"/>
  <c r="D26" i="226"/>
  <c r="D27" i="226"/>
  <c r="D28" i="226"/>
  <c r="D29" i="226"/>
  <c r="D30" i="226"/>
  <c r="D14" i="226"/>
  <c r="O28" i="227"/>
  <c r="N28" i="227"/>
  <c r="M28" i="227"/>
  <c r="L28" i="227"/>
  <c r="K28" i="227"/>
  <c r="J28" i="227"/>
  <c r="I28" i="227"/>
  <c r="H28" i="227"/>
  <c r="G28" i="227"/>
  <c r="F28" i="227"/>
  <c r="E28" i="227"/>
  <c r="D28" i="227"/>
  <c r="O27" i="227"/>
  <c r="N27" i="227"/>
  <c r="M27" i="227"/>
  <c r="L27" i="227"/>
  <c r="K27" i="227"/>
  <c r="J27" i="227"/>
  <c r="I27" i="227"/>
  <c r="H27" i="227"/>
  <c r="G27" i="227"/>
  <c r="F27" i="227"/>
  <c r="E27" i="227"/>
  <c r="D27" i="227"/>
  <c r="O26" i="227"/>
  <c r="N26" i="227"/>
  <c r="M26" i="227"/>
  <c r="L26" i="227"/>
  <c r="K26" i="227"/>
  <c r="J26" i="227"/>
  <c r="I26" i="227"/>
  <c r="H26" i="227"/>
  <c r="G26" i="227"/>
  <c r="F26" i="227"/>
  <c r="E26" i="227"/>
  <c r="D26" i="227"/>
  <c r="O25" i="227"/>
  <c r="N25" i="227"/>
  <c r="M25" i="227"/>
  <c r="L25" i="227"/>
  <c r="K25" i="227"/>
  <c r="J25" i="227"/>
  <c r="I25" i="227"/>
  <c r="H25" i="227"/>
  <c r="G25" i="227"/>
  <c r="F25" i="227"/>
  <c r="E25" i="227"/>
  <c r="D25" i="227"/>
  <c r="O24" i="227"/>
  <c r="N24" i="227"/>
  <c r="M24" i="227"/>
  <c r="L24" i="227"/>
  <c r="K24" i="227"/>
  <c r="J24" i="227"/>
  <c r="I24" i="227"/>
  <c r="H24" i="227"/>
  <c r="G24" i="227"/>
  <c r="F24" i="227"/>
  <c r="E24" i="227"/>
  <c r="D24" i="227"/>
  <c r="O23" i="227"/>
  <c r="N23" i="227"/>
  <c r="M23" i="227"/>
  <c r="L23" i="227"/>
  <c r="K23" i="227"/>
  <c r="J23" i="227"/>
  <c r="I23" i="227"/>
  <c r="H23" i="227"/>
  <c r="G23" i="227"/>
  <c r="F23" i="227"/>
  <c r="E23" i="227"/>
  <c r="D23" i="227"/>
  <c r="E14" i="227"/>
  <c r="F14" i="227"/>
  <c r="G14" i="227"/>
  <c r="H14" i="227"/>
  <c r="I14" i="227"/>
  <c r="J14" i="227"/>
  <c r="K14" i="227"/>
  <c r="L14" i="227"/>
  <c r="M14" i="227"/>
  <c r="N14" i="227"/>
  <c r="O14" i="227"/>
  <c r="E15" i="227"/>
  <c r="F15" i="227"/>
  <c r="G15" i="227"/>
  <c r="H15" i="227"/>
  <c r="I15" i="227"/>
  <c r="J15" i="227"/>
  <c r="K15" i="227"/>
  <c r="L15" i="227"/>
  <c r="M15" i="227"/>
  <c r="N15" i="227"/>
  <c r="O15" i="227"/>
  <c r="E16" i="227"/>
  <c r="F16" i="227"/>
  <c r="G16" i="227"/>
  <c r="H16" i="227"/>
  <c r="I16" i="227"/>
  <c r="J16" i="227"/>
  <c r="K16" i="227"/>
  <c r="L16" i="227"/>
  <c r="M16" i="227"/>
  <c r="N16" i="227"/>
  <c r="O16" i="227"/>
  <c r="E17" i="227"/>
  <c r="F17" i="227"/>
  <c r="G17" i="227"/>
  <c r="H17" i="227"/>
  <c r="I17" i="227"/>
  <c r="J17" i="227"/>
  <c r="K17" i="227"/>
  <c r="L17" i="227"/>
  <c r="M17" i="227"/>
  <c r="N17" i="227"/>
  <c r="O17" i="227"/>
  <c r="E18" i="227"/>
  <c r="F18" i="227"/>
  <c r="G18" i="227"/>
  <c r="H18" i="227"/>
  <c r="I18" i="227"/>
  <c r="J18" i="227"/>
  <c r="K18" i="227"/>
  <c r="L18" i="227"/>
  <c r="M18" i="227"/>
  <c r="N18" i="227"/>
  <c r="O18" i="227"/>
  <c r="E19" i="227"/>
  <c r="F19" i="227"/>
  <c r="G19" i="227"/>
  <c r="H19" i="227"/>
  <c r="I19" i="227"/>
  <c r="J19" i="227"/>
  <c r="K19" i="227"/>
  <c r="L19" i="227"/>
  <c r="M19" i="227"/>
  <c r="N19" i="227"/>
  <c r="O19" i="227"/>
  <c r="E20" i="227"/>
  <c r="F20" i="227"/>
  <c r="G20" i="227"/>
  <c r="H20" i="227"/>
  <c r="I20" i="227"/>
  <c r="J20" i="227"/>
  <c r="K20" i="227"/>
  <c r="L20" i="227"/>
  <c r="M20" i="227"/>
  <c r="N20" i="227"/>
  <c r="O20" i="227"/>
  <c r="E21" i="227"/>
  <c r="F21" i="227"/>
  <c r="G21" i="227"/>
  <c r="H21" i="227"/>
  <c r="I21" i="227"/>
  <c r="J21" i="227"/>
  <c r="K21" i="227"/>
  <c r="L21" i="227"/>
  <c r="M21" i="227"/>
  <c r="N21" i="227"/>
  <c r="O21" i="227"/>
  <c r="D15" i="227"/>
  <c r="D16" i="227"/>
  <c r="D17" i="227"/>
  <c r="D18" i="227"/>
  <c r="D19" i="227"/>
  <c r="D20" i="227"/>
  <c r="D21" i="227"/>
  <c r="D14" i="227"/>
  <c r="E42" i="227"/>
  <c r="F42" i="227"/>
  <c r="G42" i="227"/>
  <c r="H42" i="227"/>
  <c r="I42" i="227"/>
  <c r="J42" i="227"/>
  <c r="K42" i="227"/>
  <c r="L42" i="227"/>
  <c r="M42" i="227"/>
  <c r="N42" i="227"/>
  <c r="O42" i="227"/>
  <c r="D42" i="227"/>
  <c r="E53" i="226"/>
  <c r="F53" i="226"/>
  <c r="G53" i="226"/>
  <c r="H53" i="226"/>
  <c r="I53" i="226"/>
  <c r="J53" i="226"/>
  <c r="K53" i="226"/>
  <c r="L53" i="226"/>
  <c r="M53" i="226"/>
  <c r="N53" i="226"/>
  <c r="O53" i="226"/>
  <c r="D53" i="226"/>
  <c r="D33" i="222"/>
  <c r="E33" i="222"/>
  <c r="F33" i="222"/>
  <c r="G33" i="222"/>
  <c r="H33" i="222"/>
  <c r="I33" i="222"/>
  <c r="J33" i="222"/>
  <c r="K33" i="222"/>
  <c r="L33" i="222"/>
  <c r="M33" i="222"/>
  <c r="N33" i="222"/>
  <c r="O33" i="222"/>
  <c r="D34" i="222"/>
  <c r="E34" i="222"/>
  <c r="F34" i="222"/>
  <c r="G34" i="222"/>
  <c r="H34" i="222"/>
  <c r="I34" i="222"/>
  <c r="J34" i="222"/>
  <c r="K34" i="222"/>
  <c r="L34" i="222"/>
  <c r="M34" i="222"/>
  <c r="N34" i="222"/>
  <c r="O34" i="222"/>
  <c r="D35" i="222"/>
  <c r="E35" i="222"/>
  <c r="F35" i="222"/>
  <c r="G35" i="222"/>
  <c r="H35" i="222"/>
  <c r="I35" i="222"/>
  <c r="J35" i="222"/>
  <c r="K35" i="222"/>
  <c r="L35" i="222"/>
  <c r="M35" i="222"/>
  <c r="N35" i="222"/>
  <c r="O35" i="222"/>
  <c r="D36" i="222"/>
  <c r="E36" i="222"/>
  <c r="F36" i="222"/>
  <c r="G36" i="222"/>
  <c r="H36" i="222"/>
  <c r="I36" i="222"/>
  <c r="J36" i="222"/>
  <c r="K36" i="222"/>
  <c r="L36" i="222"/>
  <c r="M36" i="222"/>
  <c r="N36" i="222"/>
  <c r="O36" i="222"/>
  <c r="D37" i="222"/>
  <c r="E37" i="222"/>
  <c r="F37" i="222"/>
  <c r="G37" i="222"/>
  <c r="H37" i="222"/>
  <c r="I37" i="222"/>
  <c r="J37" i="222"/>
  <c r="K37" i="222"/>
  <c r="L37" i="222"/>
  <c r="M37" i="222"/>
  <c r="N37" i="222"/>
  <c r="O37" i="222"/>
  <c r="D38" i="222"/>
  <c r="E38" i="222"/>
  <c r="F38" i="222"/>
  <c r="G38" i="222"/>
  <c r="H38" i="222"/>
  <c r="I38" i="222"/>
  <c r="J38" i="222"/>
  <c r="K38" i="222"/>
  <c r="L38" i="222"/>
  <c r="M38" i="222"/>
  <c r="N38" i="222"/>
  <c r="O38" i="222"/>
  <c r="D39" i="222"/>
  <c r="E39" i="222"/>
  <c r="F39" i="222"/>
  <c r="G39" i="222"/>
  <c r="H39" i="222"/>
  <c r="I39" i="222"/>
  <c r="J39" i="222"/>
  <c r="K39" i="222"/>
  <c r="L39" i="222"/>
  <c r="M39" i="222"/>
  <c r="N39" i="222"/>
  <c r="O39" i="222"/>
  <c r="D40" i="222"/>
  <c r="E40" i="222"/>
  <c r="F40" i="222"/>
  <c r="G40" i="222"/>
  <c r="H40" i="222"/>
  <c r="I40" i="222"/>
  <c r="J40" i="222"/>
  <c r="K40" i="222"/>
  <c r="L40" i="222"/>
  <c r="M40" i="222"/>
  <c r="N40" i="222"/>
  <c r="O40" i="222"/>
  <c r="D41" i="222"/>
  <c r="E41" i="222"/>
  <c r="F41" i="222"/>
  <c r="G41" i="222"/>
  <c r="H41" i="222"/>
  <c r="I41" i="222"/>
  <c r="J41" i="222"/>
  <c r="K41" i="222"/>
  <c r="L41" i="222"/>
  <c r="M41" i="222"/>
  <c r="N41" i="222"/>
  <c r="O41" i="222"/>
  <c r="D42" i="222"/>
  <c r="E42" i="222"/>
  <c r="F42" i="222"/>
  <c r="G42" i="222"/>
  <c r="H42" i="222"/>
  <c r="I42" i="222"/>
  <c r="J42" i="222"/>
  <c r="K42" i="222"/>
  <c r="L42" i="222"/>
  <c r="M42" i="222"/>
  <c r="N42" i="222"/>
  <c r="O42" i="222"/>
  <c r="D43" i="222"/>
  <c r="E43" i="222"/>
  <c r="F43" i="222"/>
  <c r="G43" i="222"/>
  <c r="H43" i="222"/>
  <c r="I43" i="222"/>
  <c r="J43" i="222"/>
  <c r="K43" i="222"/>
  <c r="L43" i="222"/>
  <c r="M43" i="222"/>
  <c r="N43" i="222"/>
  <c r="O43" i="222"/>
  <c r="D44" i="222"/>
  <c r="E44" i="222"/>
  <c r="F44" i="222"/>
  <c r="G44" i="222"/>
  <c r="H44" i="222"/>
  <c r="I44" i="222"/>
  <c r="J44" i="222"/>
  <c r="K44" i="222"/>
  <c r="L44" i="222"/>
  <c r="M44" i="222"/>
  <c r="N44" i="222"/>
  <c r="O44" i="222"/>
  <c r="D45" i="222"/>
  <c r="E45" i="222"/>
  <c r="F45" i="222"/>
  <c r="G45" i="222"/>
  <c r="H45" i="222"/>
  <c r="I45" i="222"/>
  <c r="J45" i="222"/>
  <c r="K45" i="222"/>
  <c r="L45" i="222"/>
  <c r="M45" i="222"/>
  <c r="N45" i="222"/>
  <c r="O45" i="222"/>
  <c r="D46" i="222"/>
  <c r="E46" i="222"/>
  <c r="F46" i="222"/>
  <c r="G46" i="222"/>
  <c r="H46" i="222"/>
  <c r="I46" i="222"/>
  <c r="J46" i="222"/>
  <c r="K46" i="222"/>
  <c r="L46" i="222"/>
  <c r="M46" i="222"/>
  <c r="N46" i="222"/>
  <c r="O46" i="222"/>
  <c r="E32" i="222"/>
  <c r="F32" i="222"/>
  <c r="G32" i="222"/>
  <c r="H32" i="222"/>
  <c r="I32" i="222"/>
  <c r="J32" i="222"/>
  <c r="K32" i="222"/>
  <c r="L32" i="222"/>
  <c r="M32" i="222"/>
  <c r="N32" i="222"/>
  <c r="O32" i="222"/>
  <c r="D32" i="222"/>
  <c r="D70" i="228" l="1"/>
  <c r="E70" i="228" l="1"/>
  <c r="F70" i="228" l="1"/>
  <c r="G70" i="228" l="1"/>
  <c r="H70" i="228" l="1"/>
  <c r="I70" i="228" l="1"/>
  <c r="J70" i="228" l="1"/>
  <c r="K70" i="228" l="1"/>
  <c r="M70" i="228" l="1"/>
  <c r="L70" i="228"/>
  <c r="O70" i="228" l="1"/>
  <c r="N70" i="228"/>
  <c r="E73" i="192" l="1"/>
  <c r="F73" i="192"/>
  <c r="G73" i="192"/>
  <c r="H73" i="192"/>
  <c r="I73" i="192"/>
  <c r="J73" i="192"/>
  <c r="K73" i="192"/>
  <c r="L73" i="192"/>
  <c r="M73" i="192"/>
  <c r="N73" i="192"/>
  <c r="O73" i="192"/>
  <c r="D73" i="192"/>
  <c r="O14" i="192"/>
  <c r="N14" i="192"/>
  <c r="M14" i="192"/>
  <c r="L14" i="192"/>
  <c r="K14" i="192"/>
  <c r="J14" i="192"/>
  <c r="E12" i="192" l="1"/>
  <c r="F12" i="192"/>
  <c r="G12" i="192"/>
  <c r="H12" i="192"/>
  <c r="I12" i="192"/>
  <c r="D58" i="192"/>
  <c r="D57" i="192"/>
  <c r="D47" i="192"/>
  <c r="D48" i="192"/>
  <c r="D49" i="192"/>
  <c r="D50" i="192"/>
  <c r="D51" i="192"/>
  <c r="D52" i="192"/>
  <c r="D53" i="192"/>
  <c r="D54" i="192"/>
  <c r="D55" i="192"/>
  <c r="D56" i="192"/>
  <c r="D46" i="192"/>
  <c r="D42" i="192"/>
  <c r="D43" i="192"/>
  <c r="D41" i="192"/>
  <c r="D36" i="192"/>
  <c r="D35" i="192"/>
  <c r="D31" i="192"/>
  <c r="D32" i="192"/>
  <c r="D33" i="192"/>
  <c r="D30" i="192"/>
  <c r="D29" i="192"/>
  <c r="D28" i="192"/>
  <c r="D27" i="192"/>
  <c r="D23" i="192"/>
  <c r="D24" i="192"/>
  <c r="D26" i="192"/>
  <c r="D22" i="192"/>
  <c r="D18" i="192"/>
  <c r="D19" i="192"/>
  <c r="D20" i="192"/>
  <c r="D17" i="192"/>
  <c r="D16" i="192"/>
  <c r="D15" i="192"/>
  <c r="D14" i="192"/>
  <c r="D12" i="192"/>
  <c r="D19" i="193"/>
  <c r="D17" i="193"/>
  <c r="D15" i="193"/>
  <c r="D14" i="193"/>
  <c r="D13" i="193"/>
  <c r="D12" i="193"/>
  <c r="K23" i="193" l="1"/>
  <c r="L23" i="193"/>
  <c r="M23" i="193"/>
  <c r="N23" i="193"/>
  <c r="O23" i="193"/>
  <c r="K24" i="193"/>
  <c r="L24" i="193"/>
  <c r="M24" i="193"/>
  <c r="N24" i="193"/>
  <c r="O24" i="193"/>
  <c r="K25" i="193"/>
  <c r="L25" i="193"/>
  <c r="M25" i="193"/>
  <c r="N25" i="193"/>
  <c r="O25" i="193"/>
  <c r="K26" i="193"/>
  <c r="L26" i="193"/>
  <c r="M26" i="193"/>
  <c r="N26" i="193"/>
  <c r="O26" i="193"/>
  <c r="K27" i="193"/>
  <c r="L27" i="193"/>
  <c r="M27" i="193"/>
  <c r="N27" i="193"/>
  <c r="O27" i="193"/>
  <c r="K28" i="193"/>
  <c r="L28" i="193"/>
  <c r="M28" i="193"/>
  <c r="N28" i="193"/>
  <c r="O28" i="193"/>
  <c r="J24" i="193"/>
  <c r="J25" i="193"/>
  <c r="J26" i="193"/>
  <c r="J27" i="193"/>
  <c r="J28" i="193"/>
  <c r="J23" i="193"/>
  <c r="K14" i="193"/>
  <c r="L14" i="193"/>
  <c r="M14" i="193"/>
  <c r="N14" i="193"/>
  <c r="O14" i="193"/>
  <c r="K15" i="193"/>
  <c r="L15" i="193"/>
  <c r="M15" i="193"/>
  <c r="N15" i="193"/>
  <c r="O15" i="193"/>
  <c r="K16" i="193"/>
  <c r="L16" i="193"/>
  <c r="M16" i="193"/>
  <c r="N16" i="193"/>
  <c r="O16" i="193"/>
  <c r="K17" i="193"/>
  <c r="L17" i="193"/>
  <c r="M17" i="193"/>
  <c r="N17" i="193"/>
  <c r="O17" i="193"/>
  <c r="K18" i="193"/>
  <c r="L18" i="193"/>
  <c r="M18" i="193"/>
  <c r="N18" i="193"/>
  <c r="O18" i="193"/>
  <c r="K19" i="193"/>
  <c r="L19" i="193"/>
  <c r="M19" i="193"/>
  <c r="N19" i="193"/>
  <c r="O19" i="193"/>
  <c r="K20" i="193"/>
  <c r="L20" i="193"/>
  <c r="M20" i="193"/>
  <c r="N20" i="193"/>
  <c r="O20" i="193"/>
  <c r="K21" i="193"/>
  <c r="L21" i="193"/>
  <c r="M21" i="193"/>
  <c r="N21" i="193"/>
  <c r="O21" i="193"/>
  <c r="J15" i="193"/>
  <c r="J16" i="193"/>
  <c r="J17" i="193"/>
  <c r="J18" i="193"/>
  <c r="J19" i="193"/>
  <c r="J20" i="193"/>
  <c r="J21" i="193"/>
  <c r="J14" i="193"/>
  <c r="K34" i="190"/>
  <c r="L34" i="190"/>
  <c r="M34" i="190"/>
  <c r="N34" i="190"/>
  <c r="O34" i="190"/>
  <c r="K35" i="190"/>
  <c r="L35" i="190"/>
  <c r="M35" i="190"/>
  <c r="N35" i="190"/>
  <c r="O35" i="190"/>
  <c r="K36" i="190"/>
  <c r="L36" i="190"/>
  <c r="M36" i="190"/>
  <c r="N36" i="190"/>
  <c r="O36" i="190"/>
  <c r="K37" i="190"/>
  <c r="L37" i="190"/>
  <c r="M37" i="190"/>
  <c r="N37" i="190"/>
  <c r="O37" i="190"/>
  <c r="K38" i="190"/>
  <c r="L38" i="190"/>
  <c r="M38" i="190"/>
  <c r="N38" i="190"/>
  <c r="O38" i="190"/>
  <c r="K39" i="190"/>
  <c r="L39" i="190"/>
  <c r="M39" i="190"/>
  <c r="N39" i="190"/>
  <c r="O39" i="190"/>
  <c r="K40" i="190"/>
  <c r="L40" i="190"/>
  <c r="M40" i="190"/>
  <c r="N40" i="190"/>
  <c r="O40" i="190"/>
  <c r="K41" i="190"/>
  <c r="L41" i="190"/>
  <c r="M41" i="190"/>
  <c r="N41" i="190"/>
  <c r="O41" i="190"/>
  <c r="J35" i="190"/>
  <c r="J36" i="190"/>
  <c r="J37" i="190"/>
  <c r="J38" i="190"/>
  <c r="J39" i="190"/>
  <c r="J40" i="190"/>
  <c r="J41" i="190"/>
  <c r="J34" i="190"/>
  <c r="K16" i="190"/>
  <c r="L16" i="190"/>
  <c r="M16" i="190"/>
  <c r="N16" i="190"/>
  <c r="O16" i="190"/>
  <c r="K17" i="190"/>
  <c r="L17" i="190"/>
  <c r="M17" i="190"/>
  <c r="N17" i="190"/>
  <c r="O17" i="190"/>
  <c r="K18" i="190"/>
  <c r="L18" i="190"/>
  <c r="M18" i="190"/>
  <c r="N18" i="190"/>
  <c r="O18" i="190"/>
  <c r="K19" i="190"/>
  <c r="L19" i="190"/>
  <c r="M19" i="190"/>
  <c r="N19" i="190"/>
  <c r="O19" i="190"/>
  <c r="K20" i="190"/>
  <c r="L20" i="190"/>
  <c r="M20" i="190"/>
  <c r="N20" i="190"/>
  <c r="O20" i="190"/>
  <c r="K21" i="190"/>
  <c r="L21" i="190"/>
  <c r="M21" i="190"/>
  <c r="N21" i="190"/>
  <c r="O21" i="190"/>
  <c r="K23" i="190"/>
  <c r="L23" i="190"/>
  <c r="M23" i="190"/>
  <c r="N23" i="190"/>
  <c r="O23" i="190"/>
  <c r="K24" i="190"/>
  <c r="L24" i="190"/>
  <c r="M24" i="190"/>
  <c r="N24" i="190"/>
  <c r="O24" i="190"/>
  <c r="K25" i="190"/>
  <c r="L25" i="190"/>
  <c r="M25" i="190"/>
  <c r="N25" i="190"/>
  <c r="O25" i="190"/>
  <c r="K26" i="190"/>
  <c r="L26" i="190"/>
  <c r="M26" i="190"/>
  <c r="N26" i="190"/>
  <c r="O26" i="190"/>
  <c r="K28" i="190"/>
  <c r="L28" i="190"/>
  <c r="M28" i="190"/>
  <c r="N28" i="190"/>
  <c r="O28" i="190"/>
  <c r="K29" i="190"/>
  <c r="L29" i="190"/>
  <c r="M29" i="190"/>
  <c r="N29" i="190"/>
  <c r="O29" i="190"/>
  <c r="K30" i="190"/>
  <c r="L30" i="190"/>
  <c r="M30" i="190"/>
  <c r="N30" i="190"/>
  <c r="O30" i="190"/>
  <c r="K31" i="190"/>
  <c r="L31" i="190"/>
  <c r="M31" i="190"/>
  <c r="N31" i="190"/>
  <c r="O31" i="190"/>
  <c r="K32" i="190"/>
  <c r="L32" i="190"/>
  <c r="M32" i="190"/>
  <c r="N32" i="190"/>
  <c r="O32" i="190"/>
  <c r="J18" i="190"/>
  <c r="J19" i="190"/>
  <c r="J20" i="190"/>
  <c r="J21" i="190"/>
  <c r="J23" i="190"/>
  <c r="J24" i="190"/>
  <c r="J25" i="190"/>
  <c r="J26" i="190"/>
  <c r="J28" i="190"/>
  <c r="J29" i="190"/>
  <c r="J30" i="190"/>
  <c r="J31" i="190"/>
  <c r="J32" i="190"/>
  <c r="J16" i="190"/>
  <c r="J17" i="190"/>
  <c r="O15" i="190"/>
  <c r="N15" i="190"/>
  <c r="M15" i="190"/>
  <c r="L15" i="190"/>
  <c r="K15" i="190"/>
  <c r="J15" i="190"/>
  <c r="O14" i="190"/>
  <c r="N14" i="190"/>
  <c r="M14" i="190"/>
  <c r="L14" i="190"/>
  <c r="K14" i="190"/>
  <c r="J14" i="190"/>
  <c r="E12" i="190" l="1"/>
  <c r="F12" i="190"/>
  <c r="G12" i="190"/>
  <c r="H12" i="190"/>
  <c r="I12" i="190"/>
  <c r="D40" i="190"/>
  <c r="D41" i="190"/>
  <c r="D39" i="190"/>
  <c r="D37" i="190"/>
  <c r="D32" i="190"/>
  <c r="D33" i="190"/>
  <c r="D34" i="190"/>
  <c r="D35" i="190"/>
  <c r="D36" i="190"/>
  <c r="D31" i="190"/>
  <c r="D30" i="190"/>
  <c r="D26" i="190"/>
  <c r="D28" i="190"/>
  <c r="D29" i="190"/>
  <c r="D25" i="190"/>
  <c r="D23" i="190"/>
  <c r="D21" i="190"/>
  <c r="D19" i="190"/>
  <c r="D18" i="190"/>
  <c r="D17" i="190"/>
  <c r="D15" i="190"/>
  <c r="D14" i="190"/>
  <c r="D12" i="190"/>
  <c r="K32" i="44" l="1"/>
  <c r="L32" i="44"/>
  <c r="M32" i="44"/>
  <c r="N32" i="44"/>
  <c r="O32" i="44"/>
  <c r="K33" i="44"/>
  <c r="L33" i="44"/>
  <c r="M33" i="44"/>
  <c r="N33" i="44"/>
  <c r="O33" i="44"/>
  <c r="K34" i="44"/>
  <c r="L34" i="44"/>
  <c r="M34" i="44"/>
  <c r="N34" i="44"/>
  <c r="O34" i="44"/>
  <c r="K35" i="44"/>
  <c r="L35" i="44"/>
  <c r="M35" i="44"/>
  <c r="N35" i="44"/>
  <c r="O35" i="44"/>
  <c r="K36" i="44"/>
  <c r="L36" i="44"/>
  <c r="M36" i="44"/>
  <c r="N36" i="44"/>
  <c r="O36" i="44"/>
  <c r="K37" i="44"/>
  <c r="L37" i="44"/>
  <c r="M37" i="44"/>
  <c r="N37" i="44"/>
  <c r="O37" i="44"/>
  <c r="K38" i="44"/>
  <c r="L38" i="44"/>
  <c r="M38" i="44"/>
  <c r="N38" i="44"/>
  <c r="O38" i="44"/>
  <c r="K39" i="44"/>
  <c r="L39" i="44"/>
  <c r="M39" i="44"/>
  <c r="N39" i="44"/>
  <c r="O39" i="44"/>
  <c r="K40" i="44"/>
  <c r="L40" i="44"/>
  <c r="M40" i="44"/>
  <c r="N40" i="44"/>
  <c r="O40" i="44"/>
  <c r="K41" i="44"/>
  <c r="L41" i="44"/>
  <c r="M41" i="44"/>
  <c r="N41" i="44"/>
  <c r="O41" i="44"/>
  <c r="K42" i="44"/>
  <c r="L42" i="44"/>
  <c r="M42" i="44"/>
  <c r="N42" i="44"/>
  <c r="O42" i="44"/>
  <c r="K43" i="44"/>
  <c r="L43" i="44"/>
  <c r="M43" i="44"/>
  <c r="N43" i="44"/>
  <c r="O43" i="44"/>
  <c r="K44" i="44"/>
  <c r="L44" i="44"/>
  <c r="M44" i="44"/>
  <c r="N44" i="44"/>
  <c r="O44" i="44"/>
  <c r="K45" i="44"/>
  <c r="L45" i="44"/>
  <c r="M45" i="44"/>
  <c r="N45" i="44"/>
  <c r="O45" i="44"/>
  <c r="K46" i="44"/>
  <c r="L46" i="44"/>
  <c r="M46" i="44"/>
  <c r="N46" i="44"/>
  <c r="O46" i="44"/>
  <c r="J33" i="44"/>
  <c r="J34" i="44"/>
  <c r="J35" i="44"/>
  <c r="J36" i="44"/>
  <c r="J37" i="44"/>
  <c r="J38" i="44"/>
  <c r="J39" i="44"/>
  <c r="J40" i="44"/>
  <c r="J41" i="44"/>
  <c r="J42" i="44"/>
  <c r="J43" i="44"/>
  <c r="J44" i="44"/>
  <c r="J45" i="44"/>
  <c r="J46" i="44"/>
  <c r="J32" i="44"/>
  <c r="O111" i="44"/>
  <c r="N111" i="44"/>
  <c r="M111" i="44"/>
  <c r="L111" i="44"/>
  <c r="K111" i="44"/>
  <c r="J111" i="44"/>
  <c r="O110" i="44"/>
  <c r="N110" i="44"/>
  <c r="M110" i="44"/>
  <c r="L110" i="44"/>
  <c r="K110" i="44"/>
  <c r="J110" i="44"/>
  <c r="O109" i="44"/>
  <c r="N109" i="44"/>
  <c r="M109" i="44"/>
  <c r="L109" i="44"/>
  <c r="K109" i="44"/>
  <c r="J109" i="44"/>
  <c r="O108" i="44"/>
  <c r="N108" i="44"/>
  <c r="M108" i="44"/>
  <c r="L108" i="44"/>
  <c r="K108" i="44"/>
  <c r="J108" i="44"/>
  <c r="O107" i="44"/>
  <c r="N107" i="44"/>
  <c r="M107" i="44"/>
  <c r="L107" i="44"/>
  <c r="K107" i="44"/>
  <c r="J107" i="44"/>
  <c r="O106" i="44"/>
  <c r="N106" i="44"/>
  <c r="M106" i="44"/>
  <c r="L106" i="44"/>
  <c r="K106" i="44"/>
  <c r="J106" i="44"/>
  <c r="O105" i="44"/>
  <c r="N105" i="44"/>
  <c r="M105" i="44"/>
  <c r="L105" i="44"/>
  <c r="K105" i="44"/>
  <c r="J105" i="44"/>
  <c r="O104" i="44"/>
  <c r="N104" i="44"/>
  <c r="M104" i="44"/>
  <c r="L104" i="44"/>
  <c r="K104" i="44"/>
  <c r="J104" i="44"/>
  <c r="O103" i="44"/>
  <c r="N103" i="44"/>
  <c r="M103" i="44"/>
  <c r="L103" i="44"/>
  <c r="K103" i="44"/>
  <c r="J103" i="44"/>
  <c r="O101" i="44"/>
  <c r="N101" i="44"/>
  <c r="M101" i="44"/>
  <c r="L101" i="44"/>
  <c r="K101" i="44"/>
  <c r="J101" i="44"/>
  <c r="O100" i="44"/>
  <c r="N100" i="44"/>
  <c r="M100" i="44"/>
  <c r="L100" i="44"/>
  <c r="K100" i="44"/>
  <c r="J100" i="44"/>
  <c r="O99" i="44"/>
  <c r="N99" i="44"/>
  <c r="M99" i="44"/>
  <c r="L99" i="44"/>
  <c r="K99" i="44"/>
  <c r="J99" i="44"/>
  <c r="O98" i="44"/>
  <c r="N98" i="44"/>
  <c r="M98" i="44"/>
  <c r="L98" i="44"/>
  <c r="K98" i="44"/>
  <c r="J98" i="44"/>
  <c r="O97" i="44"/>
  <c r="N97" i="44"/>
  <c r="M97" i="44"/>
  <c r="L97" i="44"/>
  <c r="K97" i="44"/>
  <c r="J97" i="44"/>
  <c r="O96" i="44"/>
  <c r="N96" i="44"/>
  <c r="M96" i="44"/>
  <c r="L96" i="44"/>
  <c r="K96" i="44"/>
  <c r="J96" i="44"/>
  <c r="O95" i="44"/>
  <c r="N95" i="44"/>
  <c r="M95" i="44"/>
  <c r="L95" i="44"/>
  <c r="K95" i="44"/>
  <c r="J95" i="44"/>
  <c r="O94" i="44"/>
  <c r="N94" i="44"/>
  <c r="M94" i="44"/>
  <c r="L94" i="44"/>
  <c r="K94" i="44"/>
  <c r="J94" i="44"/>
  <c r="O93" i="44"/>
  <c r="N93" i="44"/>
  <c r="M93" i="44"/>
  <c r="L93" i="44"/>
  <c r="K93" i="44"/>
  <c r="J93" i="44"/>
  <c r="O92" i="44"/>
  <c r="N92" i="44"/>
  <c r="M92" i="44"/>
  <c r="L92" i="44"/>
  <c r="K92" i="44"/>
  <c r="J92" i="44"/>
  <c r="O91" i="44"/>
  <c r="N91" i="44"/>
  <c r="M91" i="44"/>
  <c r="L91" i="44"/>
  <c r="K91" i="44"/>
  <c r="J91" i="44"/>
  <c r="O90" i="44"/>
  <c r="N90" i="44"/>
  <c r="M90" i="44"/>
  <c r="L90" i="44"/>
  <c r="K90" i="44"/>
  <c r="J90" i="44"/>
  <c r="O89" i="44"/>
  <c r="N89" i="44"/>
  <c r="M89" i="44"/>
  <c r="L89" i="44"/>
  <c r="K89" i="44"/>
  <c r="J89" i="44"/>
  <c r="O88" i="44"/>
  <c r="N88" i="44"/>
  <c r="M88" i="44"/>
  <c r="L88" i="44"/>
  <c r="K88" i="44"/>
  <c r="J88" i="44"/>
  <c r="O87" i="44"/>
  <c r="N87" i="44"/>
  <c r="M87" i="44"/>
  <c r="L87" i="44"/>
  <c r="K87" i="44"/>
  <c r="J87" i="44"/>
  <c r="O86" i="44"/>
  <c r="N86" i="44"/>
  <c r="M86" i="44"/>
  <c r="L86" i="44"/>
  <c r="K86" i="44"/>
  <c r="J86" i="44"/>
  <c r="O85" i="44"/>
  <c r="N85" i="44"/>
  <c r="M85" i="44"/>
  <c r="L85" i="44"/>
  <c r="K85" i="44"/>
  <c r="J85" i="44"/>
  <c r="O84" i="44"/>
  <c r="N84" i="44"/>
  <c r="M84" i="44"/>
  <c r="L84" i="44"/>
  <c r="K84" i="44"/>
  <c r="J84" i="44"/>
  <c r="O83" i="44"/>
  <c r="N83" i="44"/>
  <c r="M83" i="44"/>
  <c r="L83" i="44"/>
  <c r="K83" i="44"/>
  <c r="J83" i="44"/>
  <c r="O82" i="44"/>
  <c r="N82" i="44"/>
  <c r="M82" i="44"/>
  <c r="L82" i="44"/>
  <c r="K82" i="44"/>
  <c r="J82" i="44"/>
  <c r="O81" i="44"/>
  <c r="N81" i="44"/>
  <c r="M81" i="44"/>
  <c r="L81" i="44"/>
  <c r="K81" i="44"/>
  <c r="J81" i="44"/>
  <c r="O80" i="44"/>
  <c r="N80" i="44"/>
  <c r="M80" i="44"/>
  <c r="L80" i="44"/>
  <c r="K80" i="44"/>
  <c r="J80" i="44"/>
  <c r="O79" i="44"/>
  <c r="N79" i="44"/>
  <c r="M79" i="44"/>
  <c r="L79" i="44"/>
  <c r="K79" i="44"/>
  <c r="J79" i="44"/>
  <c r="O78" i="44"/>
  <c r="N78" i="44"/>
  <c r="M78" i="44"/>
  <c r="L78" i="44"/>
  <c r="K78" i="44"/>
  <c r="J78" i="44"/>
  <c r="O77" i="44"/>
  <c r="N77" i="44"/>
  <c r="M77" i="44"/>
  <c r="L77" i="44"/>
  <c r="K77" i="44"/>
  <c r="J77" i="44"/>
  <c r="O76" i="44"/>
  <c r="N76" i="44"/>
  <c r="M76" i="44"/>
  <c r="L76" i="44"/>
  <c r="K76" i="44"/>
  <c r="J76" i="44"/>
  <c r="O75" i="44"/>
  <c r="N75" i="44"/>
  <c r="M75" i="44"/>
  <c r="L75" i="44"/>
  <c r="K75" i="44"/>
  <c r="J75" i="44"/>
  <c r="O74" i="44"/>
  <c r="N74" i="44"/>
  <c r="M74" i="44"/>
  <c r="L74" i="44"/>
  <c r="K74" i="44"/>
  <c r="J74" i="44"/>
  <c r="O73" i="44"/>
  <c r="N73" i="44"/>
  <c r="M73" i="44"/>
  <c r="L73" i="44"/>
  <c r="K73" i="44"/>
  <c r="J73" i="44"/>
  <c r="O72" i="44"/>
  <c r="N72" i="44"/>
  <c r="M72" i="44"/>
  <c r="L72" i="44"/>
  <c r="K72" i="44"/>
  <c r="J72" i="44"/>
  <c r="O71" i="44"/>
  <c r="N71" i="44"/>
  <c r="M71" i="44"/>
  <c r="L71" i="44"/>
  <c r="K71" i="44"/>
  <c r="J71" i="44"/>
  <c r="O70" i="44"/>
  <c r="N70" i="44"/>
  <c r="M70" i="44"/>
  <c r="L70" i="44"/>
  <c r="K70" i="44"/>
  <c r="J70" i="44"/>
  <c r="O69" i="44"/>
  <c r="N69" i="44"/>
  <c r="M69" i="44"/>
  <c r="L69" i="44"/>
  <c r="K69" i="44"/>
  <c r="J69" i="44"/>
  <c r="O68" i="44"/>
  <c r="N68" i="44"/>
  <c r="M68" i="44"/>
  <c r="L68" i="44"/>
  <c r="K68" i="44"/>
  <c r="J68" i="44"/>
  <c r="O67" i="44"/>
  <c r="N67" i="44"/>
  <c r="M67" i="44"/>
  <c r="L67" i="44"/>
  <c r="K67" i="44"/>
  <c r="J67" i="44"/>
  <c r="O66" i="44"/>
  <c r="N66" i="44"/>
  <c r="M66" i="44"/>
  <c r="L66" i="44"/>
  <c r="K66" i="44"/>
  <c r="J66" i="44"/>
  <c r="O65" i="44"/>
  <c r="N65" i="44"/>
  <c r="M65" i="44"/>
  <c r="L65" i="44"/>
  <c r="K65" i="44"/>
  <c r="J65" i="44"/>
  <c r="O64" i="44"/>
  <c r="N64" i="44"/>
  <c r="M64" i="44"/>
  <c r="L64" i="44"/>
  <c r="K64" i="44"/>
  <c r="J64" i="44"/>
  <c r="O63" i="44"/>
  <c r="N63" i="44"/>
  <c r="M63" i="44"/>
  <c r="L63" i="44"/>
  <c r="K63" i="44"/>
  <c r="J63" i="44"/>
  <c r="O62" i="44"/>
  <c r="N62" i="44"/>
  <c r="M62" i="44"/>
  <c r="L62" i="44"/>
  <c r="K62" i="44"/>
  <c r="J62" i="44"/>
  <c r="O61" i="44"/>
  <c r="N61" i="44"/>
  <c r="M61" i="44"/>
  <c r="L61" i="44"/>
  <c r="K61" i="44"/>
  <c r="J61" i="44"/>
  <c r="O60" i="44"/>
  <c r="N60" i="44"/>
  <c r="M60" i="44"/>
  <c r="L60" i="44"/>
  <c r="K60" i="44"/>
  <c r="J60" i="44"/>
  <c r="O59" i="44"/>
  <c r="N59" i="44"/>
  <c r="M59" i="44"/>
  <c r="L59" i="44"/>
  <c r="K59" i="44"/>
  <c r="J59" i="44"/>
  <c r="O58" i="44"/>
  <c r="N58" i="44"/>
  <c r="M58" i="44"/>
  <c r="L58" i="44"/>
  <c r="K58" i="44"/>
  <c r="J58" i="44"/>
  <c r="O57" i="44"/>
  <c r="N57" i="44"/>
  <c r="M57" i="44"/>
  <c r="L57" i="44"/>
  <c r="K57" i="44"/>
  <c r="J57" i="44"/>
  <c r="O56" i="44"/>
  <c r="N56" i="44"/>
  <c r="M56" i="44"/>
  <c r="L56" i="44"/>
  <c r="K56" i="44"/>
  <c r="J56" i="44"/>
  <c r="O55" i="44"/>
  <c r="N55" i="44"/>
  <c r="M55" i="44"/>
  <c r="L55" i="44"/>
  <c r="K55" i="44"/>
  <c r="J55" i="44"/>
  <c r="O54" i="44"/>
  <c r="N54" i="44"/>
  <c r="M54" i="44"/>
  <c r="L54" i="44"/>
  <c r="K54" i="44"/>
  <c r="J54" i="44"/>
  <c r="O53" i="44"/>
  <c r="N53" i="44"/>
  <c r="M53" i="44"/>
  <c r="L53" i="44"/>
  <c r="K53" i="44"/>
  <c r="J53" i="44"/>
  <c r="O52" i="44"/>
  <c r="N52" i="44"/>
  <c r="M52" i="44"/>
  <c r="L52" i="44"/>
  <c r="K52" i="44"/>
  <c r="J52" i="44"/>
  <c r="O51" i="44"/>
  <c r="N51" i="44"/>
  <c r="M51" i="44"/>
  <c r="L51" i="44"/>
  <c r="K51" i="44"/>
  <c r="J51" i="44"/>
  <c r="O50" i="44"/>
  <c r="N50" i="44"/>
  <c r="M50" i="44"/>
  <c r="L50" i="44"/>
  <c r="K50" i="44"/>
  <c r="J50" i="44"/>
  <c r="O49" i="44"/>
  <c r="N49" i="44"/>
  <c r="M49" i="44"/>
  <c r="L49" i="44"/>
  <c r="K49" i="44"/>
  <c r="J49" i="44"/>
  <c r="O48" i="44"/>
  <c r="N48" i="44"/>
  <c r="M48" i="44"/>
  <c r="L48" i="44"/>
  <c r="K48" i="44"/>
  <c r="J48" i="44"/>
  <c r="K47" i="44"/>
  <c r="L47" i="44"/>
  <c r="M47" i="44"/>
  <c r="N47" i="44"/>
  <c r="O47" i="44"/>
  <c r="J47" i="44"/>
  <c r="J31" i="44"/>
  <c r="K31" i="44"/>
  <c r="L31" i="44"/>
  <c r="M31" i="44"/>
  <c r="N31" i="44"/>
  <c r="O31" i="44"/>
  <c r="K30" i="44"/>
  <c r="L30" i="44"/>
  <c r="M30" i="44"/>
  <c r="N30" i="44"/>
  <c r="O30" i="44"/>
  <c r="J30" i="44"/>
  <c r="J124" i="44"/>
  <c r="K124" i="44"/>
  <c r="L124" i="44"/>
  <c r="M124" i="44"/>
  <c r="N124" i="44"/>
  <c r="O124" i="44"/>
  <c r="E124" i="44"/>
  <c r="F124" i="44"/>
  <c r="G124" i="44"/>
  <c r="H124" i="44"/>
  <c r="I124" i="44"/>
  <c r="D124" i="44"/>
  <c r="I111" i="44" l="1"/>
  <c r="H111" i="44"/>
  <c r="G111" i="44"/>
  <c r="F111" i="44"/>
  <c r="E111" i="44"/>
  <c r="I110" i="44"/>
  <c r="H110" i="44"/>
  <c r="G110" i="44"/>
  <c r="F110" i="44"/>
  <c r="E110" i="44"/>
  <c r="I109" i="44"/>
  <c r="H109" i="44"/>
  <c r="G109" i="44"/>
  <c r="F109" i="44"/>
  <c r="E109" i="44"/>
  <c r="I108" i="44"/>
  <c r="H108" i="44"/>
  <c r="G108" i="44"/>
  <c r="F108" i="44"/>
  <c r="E108" i="44"/>
  <c r="I107" i="44"/>
  <c r="H107" i="44"/>
  <c r="G107" i="44"/>
  <c r="F107" i="44"/>
  <c r="E107" i="44"/>
  <c r="I106" i="44"/>
  <c r="H106" i="44"/>
  <c r="G106" i="44"/>
  <c r="F106" i="44"/>
  <c r="E106" i="44"/>
  <c r="I105" i="44"/>
  <c r="H105" i="44"/>
  <c r="G105" i="44"/>
  <c r="F105" i="44"/>
  <c r="E105" i="44"/>
  <c r="I104" i="44"/>
  <c r="H104" i="44"/>
  <c r="G104" i="44"/>
  <c r="F104" i="44"/>
  <c r="E104" i="44"/>
  <c r="I103" i="44"/>
  <c r="H103" i="44"/>
  <c r="G103" i="44"/>
  <c r="F103" i="44"/>
  <c r="E103" i="44"/>
  <c r="I102" i="44"/>
  <c r="H102" i="44"/>
  <c r="G102" i="44"/>
  <c r="F102" i="44"/>
  <c r="E102" i="44"/>
  <c r="I101" i="44"/>
  <c r="H101" i="44"/>
  <c r="G101" i="44"/>
  <c r="F101" i="44"/>
  <c r="E101" i="44"/>
  <c r="I100" i="44"/>
  <c r="H100" i="44"/>
  <c r="G100" i="44"/>
  <c r="F100" i="44"/>
  <c r="E100" i="44"/>
  <c r="I99" i="44"/>
  <c r="H99" i="44"/>
  <c r="G99" i="44"/>
  <c r="F99" i="44"/>
  <c r="E99" i="44"/>
  <c r="I98" i="44"/>
  <c r="H98" i="44"/>
  <c r="G98" i="44"/>
  <c r="F98" i="44"/>
  <c r="E98" i="44"/>
  <c r="I97" i="44"/>
  <c r="H97" i="44"/>
  <c r="G97" i="44"/>
  <c r="F97" i="44"/>
  <c r="E97" i="44"/>
  <c r="I96" i="44"/>
  <c r="H96" i="44"/>
  <c r="G96" i="44"/>
  <c r="F96" i="44"/>
  <c r="E96" i="44"/>
  <c r="I95" i="44"/>
  <c r="H95" i="44"/>
  <c r="G95" i="44"/>
  <c r="F95" i="44"/>
  <c r="E95" i="44"/>
  <c r="I94" i="44"/>
  <c r="H94" i="44"/>
  <c r="G94" i="44"/>
  <c r="F94" i="44"/>
  <c r="E94" i="44"/>
  <c r="I93" i="44"/>
  <c r="H93" i="44"/>
  <c r="G93" i="44"/>
  <c r="F93" i="44"/>
  <c r="E93" i="44"/>
  <c r="I92" i="44"/>
  <c r="H92" i="44"/>
  <c r="G92" i="44"/>
  <c r="F92" i="44"/>
  <c r="E92" i="44"/>
  <c r="I91" i="44"/>
  <c r="H91" i="44"/>
  <c r="G91" i="44"/>
  <c r="F91" i="44"/>
  <c r="E91" i="44"/>
  <c r="I90" i="44"/>
  <c r="H90" i="44"/>
  <c r="G90" i="44"/>
  <c r="F90" i="44"/>
  <c r="E90" i="44"/>
  <c r="I89" i="44"/>
  <c r="H89" i="44"/>
  <c r="G89" i="44"/>
  <c r="F89" i="44"/>
  <c r="E89" i="44"/>
  <c r="I88" i="44"/>
  <c r="H88" i="44"/>
  <c r="G88" i="44"/>
  <c r="F88" i="44"/>
  <c r="E88" i="44"/>
  <c r="I87" i="44"/>
  <c r="H87" i="44"/>
  <c r="G87" i="44"/>
  <c r="F87" i="44"/>
  <c r="E87" i="44"/>
  <c r="I86" i="44"/>
  <c r="H86" i="44"/>
  <c r="G86" i="44"/>
  <c r="F86" i="44"/>
  <c r="E86" i="44"/>
  <c r="I85" i="44"/>
  <c r="H85" i="44"/>
  <c r="G85" i="44"/>
  <c r="F85" i="44"/>
  <c r="E85" i="44"/>
  <c r="I84" i="44"/>
  <c r="H84" i="44"/>
  <c r="G84" i="44"/>
  <c r="F84" i="44"/>
  <c r="E84" i="44"/>
  <c r="I83" i="44"/>
  <c r="H83" i="44"/>
  <c r="G83" i="44"/>
  <c r="F83" i="44"/>
  <c r="E83" i="44"/>
  <c r="I82" i="44"/>
  <c r="H82" i="44"/>
  <c r="G82" i="44"/>
  <c r="F82" i="44"/>
  <c r="E82" i="44"/>
  <c r="I81" i="44"/>
  <c r="H81" i="44"/>
  <c r="G81" i="44"/>
  <c r="F81" i="44"/>
  <c r="E81" i="44"/>
  <c r="I80" i="44"/>
  <c r="H80" i="44"/>
  <c r="G80" i="44"/>
  <c r="F80" i="44"/>
  <c r="E80" i="44"/>
  <c r="I79" i="44"/>
  <c r="H79" i="44"/>
  <c r="G79" i="44"/>
  <c r="F79" i="44"/>
  <c r="E79" i="44"/>
  <c r="I78" i="44"/>
  <c r="H78" i="44"/>
  <c r="G78" i="44"/>
  <c r="F78" i="44"/>
  <c r="E78" i="44"/>
  <c r="I77" i="44"/>
  <c r="H77" i="44"/>
  <c r="G77" i="44"/>
  <c r="F77" i="44"/>
  <c r="E77" i="44"/>
  <c r="I76" i="44"/>
  <c r="H76" i="44"/>
  <c r="G76" i="44"/>
  <c r="F76" i="44"/>
  <c r="E76" i="44"/>
  <c r="I75" i="44"/>
  <c r="H75" i="44"/>
  <c r="G75" i="44"/>
  <c r="F75" i="44"/>
  <c r="E75" i="44"/>
  <c r="I74" i="44"/>
  <c r="H74" i="44"/>
  <c r="G74" i="44"/>
  <c r="F74" i="44"/>
  <c r="E74" i="44"/>
  <c r="I73" i="44"/>
  <c r="H73" i="44"/>
  <c r="G73" i="44"/>
  <c r="F73" i="44"/>
  <c r="E73" i="44"/>
  <c r="I72" i="44"/>
  <c r="H72" i="44"/>
  <c r="G72" i="44"/>
  <c r="F72" i="44"/>
  <c r="E72" i="44"/>
  <c r="I71" i="44"/>
  <c r="H71" i="44"/>
  <c r="G71" i="44"/>
  <c r="F71" i="44"/>
  <c r="E71" i="44"/>
  <c r="I70" i="44"/>
  <c r="H70" i="44"/>
  <c r="G70" i="44"/>
  <c r="F70" i="44"/>
  <c r="E70" i="44"/>
  <c r="I69" i="44"/>
  <c r="H69" i="44"/>
  <c r="G69" i="44"/>
  <c r="F69" i="44"/>
  <c r="E69" i="44"/>
  <c r="I68" i="44"/>
  <c r="H68" i="44"/>
  <c r="G68" i="44"/>
  <c r="F68" i="44"/>
  <c r="E68" i="44"/>
  <c r="I67" i="44"/>
  <c r="H67" i="44"/>
  <c r="G67" i="44"/>
  <c r="F67" i="44"/>
  <c r="E67" i="44"/>
  <c r="I66" i="44"/>
  <c r="H66" i="44"/>
  <c r="G66" i="44"/>
  <c r="F66" i="44"/>
  <c r="E66" i="44"/>
  <c r="I65" i="44"/>
  <c r="H65" i="44"/>
  <c r="G65" i="44"/>
  <c r="F65" i="44"/>
  <c r="E65" i="44"/>
  <c r="I64" i="44"/>
  <c r="H64" i="44"/>
  <c r="G64" i="44"/>
  <c r="F64" i="44"/>
  <c r="E64" i="44"/>
  <c r="I63" i="44"/>
  <c r="H63" i="44"/>
  <c r="G63" i="44"/>
  <c r="F63" i="44"/>
  <c r="E63" i="44"/>
  <c r="I62" i="44"/>
  <c r="H62" i="44"/>
  <c r="G62" i="44"/>
  <c r="F62" i="44"/>
  <c r="E62" i="44"/>
  <c r="I61" i="44"/>
  <c r="H61" i="44"/>
  <c r="G61" i="44"/>
  <c r="F61" i="44"/>
  <c r="E61" i="44"/>
  <c r="I60" i="44"/>
  <c r="H60" i="44"/>
  <c r="G60" i="44"/>
  <c r="F60" i="44"/>
  <c r="E60" i="44"/>
  <c r="I59" i="44"/>
  <c r="H59" i="44"/>
  <c r="G59" i="44"/>
  <c r="F59" i="44"/>
  <c r="E59" i="44"/>
  <c r="I58" i="44"/>
  <c r="H58" i="44"/>
  <c r="G58" i="44"/>
  <c r="F58" i="44"/>
  <c r="E58" i="44"/>
  <c r="I57" i="44"/>
  <c r="H57" i="44"/>
  <c r="G57" i="44"/>
  <c r="F57" i="44"/>
  <c r="E57" i="44"/>
  <c r="I56" i="44"/>
  <c r="H56" i="44"/>
  <c r="G56" i="44"/>
  <c r="F56" i="44"/>
  <c r="E56" i="44"/>
  <c r="I55" i="44"/>
  <c r="H55" i="44"/>
  <c r="G55" i="44"/>
  <c r="F55" i="44"/>
  <c r="E55" i="44"/>
  <c r="I54" i="44"/>
  <c r="H54" i="44"/>
  <c r="G54" i="44"/>
  <c r="F54" i="44"/>
  <c r="E54" i="44"/>
  <c r="I53" i="44"/>
  <c r="H53" i="44"/>
  <c r="G53" i="44"/>
  <c r="F53" i="44"/>
  <c r="E53" i="44"/>
  <c r="I52" i="44"/>
  <c r="H52" i="44"/>
  <c r="G52" i="44"/>
  <c r="F52" i="44"/>
  <c r="E52" i="44"/>
  <c r="I51" i="44"/>
  <c r="H51" i="44"/>
  <c r="G51" i="44"/>
  <c r="F51" i="44"/>
  <c r="E51" i="44"/>
  <c r="I50" i="44"/>
  <c r="H50" i="44"/>
  <c r="G50" i="44"/>
  <c r="F50" i="44"/>
  <c r="E50" i="44"/>
  <c r="I49" i="44"/>
  <c r="H49" i="44"/>
  <c r="G49" i="44"/>
  <c r="F49" i="44"/>
  <c r="E49" i="44"/>
  <c r="I48" i="44"/>
  <c r="H48" i="44"/>
  <c r="G48" i="44"/>
  <c r="F48" i="44"/>
  <c r="E48" i="44"/>
  <c r="I47" i="44"/>
  <c r="H47" i="44"/>
  <c r="G47" i="44"/>
  <c r="F47" i="44"/>
  <c r="E47" i="44"/>
  <c r="I45" i="44"/>
  <c r="H45" i="44"/>
  <c r="G45" i="44"/>
  <c r="F45" i="44"/>
  <c r="E45" i="44"/>
  <c r="I44" i="44"/>
  <c r="H44" i="44"/>
  <c r="G44" i="44"/>
  <c r="F44" i="44"/>
  <c r="E44" i="44"/>
  <c r="I43" i="44"/>
  <c r="H43" i="44"/>
  <c r="G43" i="44"/>
  <c r="F43" i="44"/>
  <c r="E43" i="44"/>
  <c r="I42" i="44"/>
  <c r="H42" i="44"/>
  <c r="G42" i="44"/>
  <c r="F42" i="44"/>
  <c r="E42" i="44"/>
  <c r="I41" i="44"/>
  <c r="H41" i="44"/>
  <c r="G41" i="44"/>
  <c r="F41" i="44"/>
  <c r="E41" i="44"/>
  <c r="I40" i="44"/>
  <c r="H40" i="44"/>
  <c r="G40" i="44"/>
  <c r="F40" i="44"/>
  <c r="E40" i="44"/>
  <c r="I39" i="44"/>
  <c r="H39" i="44"/>
  <c r="G39" i="44"/>
  <c r="F39" i="44"/>
  <c r="E39" i="44"/>
  <c r="I38" i="44"/>
  <c r="H38" i="44"/>
  <c r="G38" i="44"/>
  <c r="F38" i="44"/>
  <c r="E38" i="44"/>
  <c r="I37" i="44"/>
  <c r="H37" i="44"/>
  <c r="G37" i="44"/>
  <c r="F37" i="44"/>
  <c r="E37" i="44"/>
  <c r="I36" i="44"/>
  <c r="H36" i="44"/>
  <c r="G36" i="44"/>
  <c r="F36" i="44"/>
  <c r="E36" i="44"/>
  <c r="I35" i="44"/>
  <c r="H35" i="44"/>
  <c r="G35" i="44"/>
  <c r="F35" i="44"/>
  <c r="E35" i="44"/>
  <c r="I34" i="44"/>
  <c r="H34" i="44"/>
  <c r="G34" i="44"/>
  <c r="F34" i="44"/>
  <c r="E34" i="44"/>
  <c r="I33" i="44"/>
  <c r="H33" i="44"/>
  <c r="G33" i="44"/>
  <c r="F33" i="44"/>
  <c r="E33" i="44"/>
  <c r="I32" i="44"/>
  <c r="H32" i="44"/>
  <c r="G32" i="44"/>
  <c r="F32" i="44"/>
  <c r="E32" i="44"/>
  <c r="I31" i="44"/>
  <c r="H31" i="44"/>
  <c r="G31" i="44"/>
  <c r="F31" i="44"/>
  <c r="E31" i="44"/>
  <c r="I30" i="44"/>
  <c r="H30" i="44"/>
  <c r="G30" i="44"/>
  <c r="F30" i="44"/>
  <c r="E30" i="44"/>
  <c r="I29" i="44"/>
  <c r="H29" i="44"/>
  <c r="G29" i="44"/>
  <c r="F29" i="44"/>
  <c r="E29" i="44"/>
  <c r="I28" i="44"/>
  <c r="H28" i="44"/>
  <c r="G28" i="44"/>
  <c r="F28" i="44"/>
  <c r="E28" i="44"/>
  <c r="I27" i="44"/>
  <c r="H27" i="44"/>
  <c r="G27" i="44"/>
  <c r="F27" i="44"/>
  <c r="E27" i="44"/>
  <c r="I26" i="44"/>
  <c r="H26" i="44"/>
  <c r="G26" i="44"/>
  <c r="F26" i="44"/>
  <c r="E26" i="44"/>
  <c r="I25" i="44"/>
  <c r="H25" i="44"/>
  <c r="G25" i="44"/>
  <c r="F25" i="44"/>
  <c r="E25" i="44"/>
  <c r="I24" i="44"/>
  <c r="H24" i="44"/>
  <c r="G24" i="44"/>
  <c r="F24" i="44"/>
  <c r="E24" i="44"/>
  <c r="I23" i="44"/>
  <c r="H23" i="44"/>
  <c r="G23" i="44"/>
  <c r="F23" i="44"/>
  <c r="E23" i="44"/>
  <c r="I22" i="44"/>
  <c r="H22" i="44"/>
  <c r="G22" i="44"/>
  <c r="F22" i="44"/>
  <c r="E22" i="44"/>
  <c r="I21" i="44"/>
  <c r="H21" i="44"/>
  <c r="G21" i="44"/>
  <c r="F21" i="44"/>
  <c r="E21" i="44"/>
  <c r="I20" i="44"/>
  <c r="H20" i="44"/>
  <c r="G20" i="44"/>
  <c r="F20" i="44"/>
  <c r="E20" i="44"/>
  <c r="I19" i="44"/>
  <c r="H19" i="44"/>
  <c r="G19" i="44"/>
  <c r="F19" i="44"/>
  <c r="E19" i="44"/>
  <c r="I18" i="44"/>
  <c r="H18" i="44"/>
  <c r="G18" i="44"/>
  <c r="F18" i="44"/>
  <c r="E18" i="44"/>
  <c r="I17" i="44"/>
  <c r="H17" i="44"/>
  <c r="G17" i="44"/>
  <c r="F17" i="44"/>
  <c r="E17" i="44"/>
  <c r="I16" i="44"/>
  <c r="H16" i="44"/>
  <c r="G16" i="44"/>
  <c r="F16" i="44"/>
  <c r="E16" i="44"/>
  <c r="I15" i="44"/>
  <c r="J15" i="44" s="1"/>
  <c r="H15" i="44"/>
  <c r="G15" i="44"/>
  <c r="F15" i="44"/>
  <c r="E15" i="44"/>
  <c r="I14" i="44"/>
  <c r="H14" i="44"/>
  <c r="G14" i="44"/>
  <c r="F14" i="44"/>
  <c r="E14" i="44"/>
  <c r="G12" i="44"/>
  <c r="H12" i="44"/>
  <c r="I12" i="44"/>
  <c r="E12" i="44"/>
  <c r="F12" i="44"/>
  <c r="D12" i="44"/>
  <c r="D111" i="44"/>
  <c r="D110" i="44"/>
  <c r="D93" i="44"/>
  <c r="D94" i="44"/>
  <c r="D95" i="44"/>
  <c r="D96" i="44"/>
  <c r="D97" i="44"/>
  <c r="D98" i="44"/>
  <c r="D99" i="44"/>
  <c r="D100" i="44"/>
  <c r="D101" i="44"/>
  <c r="D102" i="44"/>
  <c r="D103" i="44"/>
  <c r="D104" i="44"/>
  <c r="D105" i="44"/>
  <c r="D106" i="44"/>
  <c r="D107" i="44"/>
  <c r="D108" i="44"/>
  <c r="D109" i="44"/>
  <c r="D92" i="44"/>
  <c r="D88" i="44"/>
  <c r="D89" i="44"/>
  <c r="D90" i="44"/>
  <c r="D87" i="44"/>
  <c r="D86" i="44"/>
  <c r="D84" i="44"/>
  <c r="D85" i="44"/>
  <c r="D75" i="44"/>
  <c r="D76" i="44"/>
  <c r="D77" i="44"/>
  <c r="D78" i="44"/>
  <c r="D79" i="44"/>
  <c r="D80" i="44"/>
  <c r="D81" i="44"/>
  <c r="D82" i="44"/>
  <c r="D83" i="44"/>
  <c r="D74" i="44"/>
  <c r="D71" i="44"/>
  <c r="D72" i="44"/>
  <c r="D70" i="44"/>
  <c r="D67" i="44"/>
  <c r="D65" i="44"/>
  <c r="D66" i="44"/>
  <c r="D64" i="44"/>
  <c r="D62" i="44"/>
  <c r="D61" i="44"/>
  <c r="D48" i="44"/>
  <c r="D49" i="44"/>
  <c r="D50" i="44"/>
  <c r="D51" i="44"/>
  <c r="D52" i="44"/>
  <c r="D53" i="44"/>
  <c r="D54" i="44"/>
  <c r="D55" i="44"/>
  <c r="D56" i="44"/>
  <c r="D57" i="44"/>
  <c r="D47" i="44"/>
  <c r="D36" i="44"/>
  <c r="D37" i="44"/>
  <c r="D38" i="44"/>
  <c r="D39" i="44"/>
  <c r="D40" i="44"/>
  <c r="D41" i="44"/>
  <c r="D42" i="44"/>
  <c r="D43" i="44"/>
  <c r="D44" i="44"/>
  <c r="D45" i="44"/>
  <c r="D34" i="44"/>
  <c r="D35" i="44"/>
  <c r="D33" i="44"/>
  <c r="D29" i="44"/>
  <c r="D23" i="44"/>
  <c r="D24" i="44"/>
  <c r="D25" i="44"/>
  <c r="D26" i="44"/>
  <c r="D27" i="44"/>
  <c r="D21" i="44"/>
  <c r="D22" i="44"/>
  <c r="D20" i="44"/>
  <c r="D19" i="44"/>
  <c r="D18" i="44" l="1"/>
  <c r="D17" i="44"/>
  <c r="D16" i="44"/>
  <c r="D15" i="44"/>
  <c r="D14" i="44"/>
  <c r="E16" i="242" l="1"/>
  <c r="F16" i="242"/>
  <c r="G16" i="242"/>
  <c r="H16" i="242"/>
  <c r="I16" i="242"/>
  <c r="J16" i="242"/>
  <c r="K16" i="242"/>
  <c r="L16" i="242"/>
  <c r="M16" i="242"/>
  <c r="N16" i="242"/>
  <c r="O16" i="242"/>
  <c r="P16" i="242"/>
  <c r="E19" i="242"/>
  <c r="F19" i="242"/>
  <c r="G19" i="242"/>
  <c r="H19" i="242"/>
  <c r="I19" i="242"/>
  <c r="J19" i="242"/>
  <c r="K19" i="242"/>
  <c r="L19" i="242"/>
  <c r="M19" i="242"/>
  <c r="N19" i="242"/>
  <c r="O19" i="242"/>
  <c r="P19" i="242"/>
  <c r="E22" i="242"/>
  <c r="F22" i="242"/>
  <c r="G22" i="242"/>
  <c r="H22" i="242"/>
  <c r="I22" i="242"/>
  <c r="J22" i="242"/>
  <c r="K22" i="242"/>
  <c r="L22" i="242"/>
  <c r="M22" i="242"/>
  <c r="N22" i="242"/>
  <c r="O22" i="242"/>
  <c r="P22" i="242"/>
  <c r="D22" i="242"/>
  <c r="D19" i="242"/>
  <c r="D16" i="242"/>
  <c r="E16" i="241"/>
  <c r="F16" i="241"/>
  <c r="G16" i="241"/>
  <c r="H16" i="241"/>
  <c r="I16" i="241"/>
  <c r="J16" i="241"/>
  <c r="K16" i="241"/>
  <c r="L16" i="241"/>
  <c r="M16" i="241"/>
  <c r="N16" i="241"/>
  <c r="O16" i="241"/>
  <c r="P16" i="241"/>
  <c r="E19" i="241"/>
  <c r="F19" i="241"/>
  <c r="G19" i="241"/>
  <c r="H19" i="241"/>
  <c r="I19" i="241"/>
  <c r="J19" i="241"/>
  <c r="K19" i="241"/>
  <c r="L19" i="241"/>
  <c r="M19" i="241"/>
  <c r="N19" i="241"/>
  <c r="O19" i="241"/>
  <c r="P19" i="241"/>
  <c r="E22" i="241"/>
  <c r="F22" i="241"/>
  <c r="G22" i="241"/>
  <c r="H22" i="241"/>
  <c r="I22" i="241"/>
  <c r="J22" i="241"/>
  <c r="K22" i="241"/>
  <c r="L22" i="241"/>
  <c r="M22" i="241"/>
  <c r="N22" i="241"/>
  <c r="O22" i="241"/>
  <c r="P22" i="241"/>
  <c r="D22" i="241"/>
  <c r="D19" i="241"/>
  <c r="D16" i="241"/>
  <c r="D28" i="216" l="1"/>
  <c r="E28" i="216"/>
  <c r="F28" i="216"/>
  <c r="G28" i="216"/>
  <c r="H28" i="216"/>
  <c r="I28" i="216"/>
  <c r="J28" i="216"/>
  <c r="K28" i="216"/>
  <c r="L28" i="216"/>
  <c r="M28" i="216"/>
  <c r="N28" i="216"/>
  <c r="O28" i="216"/>
  <c r="D29" i="216"/>
  <c r="E29" i="216"/>
  <c r="F29" i="216"/>
  <c r="G29" i="216"/>
  <c r="H29" i="216"/>
  <c r="I29" i="216"/>
  <c r="J29" i="216"/>
  <c r="K29" i="216"/>
  <c r="L29" i="216"/>
  <c r="M29" i="216"/>
  <c r="N29" i="216"/>
  <c r="O29" i="216"/>
  <c r="D23" i="216"/>
  <c r="E23" i="216"/>
  <c r="F23" i="216"/>
  <c r="G23" i="216"/>
  <c r="H23" i="216"/>
  <c r="I23" i="216"/>
  <c r="J23" i="216"/>
  <c r="K23" i="216"/>
  <c r="L23" i="216"/>
  <c r="M23" i="216"/>
  <c r="N23" i="216"/>
  <c r="O23" i="216"/>
  <c r="D24" i="216"/>
  <c r="E24" i="216"/>
  <c r="F24" i="216"/>
  <c r="G24" i="216"/>
  <c r="H24" i="216"/>
  <c r="I24" i="216"/>
  <c r="J24" i="216"/>
  <c r="K24" i="216"/>
  <c r="L24" i="216"/>
  <c r="M24" i="216"/>
  <c r="N24" i="216"/>
  <c r="O24" i="216"/>
  <c r="C29" i="216"/>
  <c r="C28" i="216"/>
  <c r="C24" i="216"/>
  <c r="C23" i="216"/>
  <c r="D18" i="216"/>
  <c r="E18" i="216"/>
  <c r="F18" i="216"/>
  <c r="G18" i="216"/>
  <c r="H18" i="216"/>
  <c r="I18" i="216"/>
  <c r="J18" i="216"/>
  <c r="K18" i="216"/>
  <c r="L18" i="216"/>
  <c r="M18" i="216"/>
  <c r="N18" i="216"/>
  <c r="O18" i="216"/>
  <c r="D19" i="216"/>
  <c r="E19" i="216"/>
  <c r="F19" i="216"/>
  <c r="G19" i="216"/>
  <c r="H19" i="216"/>
  <c r="I19" i="216"/>
  <c r="J19" i="216"/>
  <c r="K19" i="216"/>
  <c r="L19" i="216"/>
  <c r="M19" i="216"/>
  <c r="N19" i="216"/>
  <c r="O19" i="216"/>
  <c r="C19" i="216"/>
  <c r="C18" i="216"/>
  <c r="D13" i="216"/>
  <c r="E13" i="216"/>
  <c r="F13" i="216"/>
  <c r="G13" i="216"/>
  <c r="H13" i="216"/>
  <c r="I13" i="216"/>
  <c r="J13" i="216"/>
  <c r="K13" i="216"/>
  <c r="L13" i="216"/>
  <c r="M13" i="216"/>
  <c r="N13" i="216"/>
  <c r="O13" i="216"/>
  <c r="D14" i="216"/>
  <c r="E14" i="216"/>
  <c r="F14" i="216"/>
  <c r="G14" i="216"/>
  <c r="H14" i="216"/>
  <c r="I14" i="216"/>
  <c r="J14" i="216"/>
  <c r="K14" i="216"/>
  <c r="L14" i="216"/>
  <c r="M14" i="216"/>
  <c r="N14" i="216"/>
  <c r="O14" i="216"/>
  <c r="C14" i="216"/>
  <c r="C13" i="216"/>
  <c r="E34" i="214" l="1"/>
  <c r="F34" i="214"/>
  <c r="G34" i="214"/>
  <c r="H34" i="214"/>
  <c r="I34" i="214"/>
  <c r="D34" i="214"/>
  <c r="E28" i="214"/>
  <c r="F28" i="214"/>
  <c r="G28" i="214"/>
  <c r="H28" i="214"/>
  <c r="I28" i="214"/>
  <c r="J28" i="214"/>
  <c r="K28" i="214"/>
  <c r="L28" i="214"/>
  <c r="M28" i="214"/>
  <c r="N28" i="214"/>
  <c r="O28" i="214"/>
  <c r="D29" i="214"/>
  <c r="E29" i="214"/>
  <c r="F29" i="214"/>
  <c r="G29" i="214"/>
  <c r="H29" i="214"/>
  <c r="I29" i="214"/>
  <c r="J29" i="214"/>
  <c r="K29" i="214"/>
  <c r="L29" i="214"/>
  <c r="M29" i="214"/>
  <c r="N29" i="214"/>
  <c r="O29" i="214"/>
  <c r="C29" i="214"/>
  <c r="C28" i="214"/>
  <c r="D23" i="214"/>
  <c r="E23" i="214"/>
  <c r="F23" i="214"/>
  <c r="G23" i="214"/>
  <c r="H23" i="214"/>
  <c r="I23" i="214"/>
  <c r="J23" i="214"/>
  <c r="K23" i="214"/>
  <c r="L23" i="214"/>
  <c r="M23" i="214"/>
  <c r="N23" i="214"/>
  <c r="O23" i="214"/>
  <c r="D24" i="214"/>
  <c r="E24" i="214"/>
  <c r="F24" i="214"/>
  <c r="G24" i="214"/>
  <c r="H24" i="214"/>
  <c r="I24" i="214"/>
  <c r="J24" i="214"/>
  <c r="K24" i="214"/>
  <c r="L24" i="214"/>
  <c r="M24" i="214"/>
  <c r="N24" i="214"/>
  <c r="O24" i="214"/>
  <c r="C24" i="214"/>
  <c r="C23" i="214"/>
  <c r="D18" i="214"/>
  <c r="E18" i="214"/>
  <c r="F18" i="214"/>
  <c r="G18" i="214"/>
  <c r="H18" i="214"/>
  <c r="I18" i="214"/>
  <c r="J18" i="214"/>
  <c r="K18" i="214"/>
  <c r="L18" i="214"/>
  <c r="M18" i="214"/>
  <c r="N18" i="214"/>
  <c r="O18" i="214"/>
  <c r="D19" i="214"/>
  <c r="E19" i="214"/>
  <c r="F19" i="214"/>
  <c r="G19" i="214"/>
  <c r="H19" i="214"/>
  <c r="I19" i="214"/>
  <c r="J19" i="214"/>
  <c r="K19" i="214"/>
  <c r="L19" i="214"/>
  <c r="M19" i="214"/>
  <c r="N19" i="214"/>
  <c r="O19" i="214"/>
  <c r="C19" i="214"/>
  <c r="C18" i="214"/>
  <c r="D14" i="214"/>
  <c r="E14" i="214"/>
  <c r="F14" i="214"/>
  <c r="G14" i="214"/>
  <c r="H14" i="214"/>
  <c r="I14" i="214"/>
  <c r="J14" i="214"/>
  <c r="K14" i="214"/>
  <c r="L14" i="214"/>
  <c r="M14" i="214"/>
  <c r="N14" i="214"/>
  <c r="O14" i="214"/>
  <c r="C14" i="214"/>
  <c r="D13" i="214"/>
  <c r="E13" i="214"/>
  <c r="F13" i="214"/>
  <c r="G13" i="214"/>
  <c r="H13" i="214"/>
  <c r="I13" i="214"/>
  <c r="J13" i="214"/>
  <c r="K13" i="214"/>
  <c r="L13" i="214"/>
  <c r="M13" i="214"/>
  <c r="N13" i="214"/>
  <c r="O13" i="214"/>
  <c r="C13" i="214"/>
  <c r="E21" i="37" l="1"/>
  <c r="D21" i="37"/>
  <c r="E27" i="99" l="1"/>
  <c r="E28" i="99"/>
  <c r="G27" i="99"/>
  <c r="I31" i="8"/>
  <c r="E33" i="8" l="1"/>
  <c r="E32" i="8"/>
  <c r="G28" i="8"/>
  <c r="G26" i="8"/>
  <c r="G25" i="8"/>
  <c r="G24" i="8"/>
  <c r="G23" i="8"/>
  <c r="G22" i="8"/>
  <c r="G21" i="8"/>
  <c r="G20" i="8"/>
  <c r="G19" i="8"/>
  <c r="G18" i="8"/>
  <c r="G17" i="8"/>
  <c r="G16" i="8"/>
  <c r="E28" i="8" l="1"/>
  <c r="E27" i="8" l="1"/>
  <c r="G27" i="8" l="1"/>
  <c r="E25" i="8" l="1"/>
  <c r="E26" i="8"/>
  <c r="E16" i="8"/>
  <c r="E24" i="8" l="1"/>
  <c r="E20" i="8" l="1"/>
  <c r="E23" i="8" l="1"/>
  <c r="E22" i="8" l="1"/>
  <c r="E21" i="8"/>
  <c r="E19" i="8"/>
  <c r="E18" i="8"/>
  <c r="E17" i="8" l="1"/>
  <c r="J18" i="5" l="1"/>
  <c r="H16" i="5"/>
  <c r="F16" i="5"/>
  <c r="E22" i="212" l="1"/>
  <c r="H17" i="212"/>
  <c r="H15" i="212"/>
  <c r="H14" i="212"/>
  <c r="D17" i="212"/>
  <c r="D15" i="212"/>
  <c r="D14" i="212"/>
  <c r="G15" i="212"/>
  <c r="I15" i="212" s="1"/>
  <c r="G14" i="212"/>
  <c r="C15" i="212"/>
  <c r="C14" i="212"/>
  <c r="E21" i="212"/>
  <c r="E20" i="212"/>
  <c r="E23" i="212"/>
  <c r="M37" i="171" l="1"/>
  <c r="N37" i="171"/>
  <c r="M36" i="171"/>
  <c r="N36" i="171"/>
  <c r="M50" i="171"/>
  <c r="N50" i="171"/>
  <c r="M49" i="171"/>
  <c r="N49" i="171"/>
  <c r="M65" i="171"/>
  <c r="N65" i="171"/>
  <c r="J15" i="216"/>
  <c r="K15" i="216"/>
  <c r="D15" i="216"/>
  <c r="F15" i="216"/>
  <c r="G15" i="216"/>
  <c r="L15" i="216"/>
  <c r="N15" i="216"/>
  <c r="O15" i="216"/>
  <c r="H20" i="216"/>
  <c r="I20" i="216"/>
  <c r="J20" i="216"/>
  <c r="D20" i="216"/>
  <c r="E20" i="216"/>
  <c r="L20" i="216"/>
  <c r="M20" i="216"/>
  <c r="D25" i="216"/>
  <c r="O25" i="216"/>
  <c r="J25" i="216"/>
  <c r="E15" i="214"/>
  <c r="H15" i="214"/>
  <c r="D15" i="214"/>
  <c r="D20" i="214"/>
  <c r="J20" i="214"/>
  <c r="L20" i="214"/>
  <c r="H20" i="214"/>
  <c r="L25" i="214"/>
  <c r="M25" i="214"/>
  <c r="H25" i="214"/>
  <c r="D25" i="214"/>
  <c r="K25" i="214"/>
  <c r="I30" i="214"/>
  <c r="L30" i="214"/>
  <c r="E30" i="214"/>
  <c r="F30" i="214"/>
  <c r="M30" i="214"/>
  <c r="N30" i="214"/>
  <c r="K30" i="214"/>
  <c r="G15" i="214" l="1"/>
  <c r="I15" i="216"/>
  <c r="M15" i="216"/>
  <c r="N15" i="214"/>
  <c r="H25" i="216"/>
  <c r="G25" i="216"/>
  <c r="O15" i="214"/>
  <c r="K15" i="214"/>
  <c r="E15" i="216"/>
  <c r="F15" i="214"/>
  <c r="G20" i="216"/>
  <c r="N25" i="216"/>
  <c r="F25" i="216"/>
  <c r="L25" i="216"/>
  <c r="N20" i="216"/>
  <c r="F20" i="216"/>
  <c r="O30" i="214"/>
  <c r="K25" i="216"/>
  <c r="F25" i="214"/>
  <c r="O20" i="214"/>
  <c r="G20" i="214"/>
  <c r="J15" i="214"/>
  <c r="E25" i="214"/>
  <c r="M25" i="216"/>
  <c r="E25" i="216"/>
  <c r="O20" i="216"/>
  <c r="L15" i="214"/>
  <c r="G30" i="214"/>
  <c r="I25" i="214"/>
  <c r="E20" i="214"/>
  <c r="M20" i="214"/>
  <c r="I20" i="214"/>
  <c r="O25" i="214"/>
  <c r="G25" i="214"/>
  <c r="K20" i="214"/>
  <c r="I15" i="214"/>
  <c r="M15" i="214"/>
  <c r="I25" i="216"/>
  <c r="J30" i="214"/>
  <c r="D30" i="214"/>
  <c r="J25" i="214"/>
  <c r="N25" i="214"/>
  <c r="N20" i="214"/>
  <c r="F20" i="214"/>
  <c r="K20" i="216"/>
  <c r="H15" i="216"/>
  <c r="C30" i="214"/>
  <c r="C25" i="214"/>
  <c r="C20" i="214"/>
  <c r="C15" i="214"/>
  <c r="C45" i="238" l="1"/>
  <c r="D45" i="238" s="1"/>
  <c r="E45" i="238" s="1"/>
  <c r="F45" i="238" s="1"/>
  <c r="G45" i="238" s="1"/>
  <c r="H45" i="238" s="1"/>
  <c r="I45" i="238" s="1"/>
  <c r="J45" i="238" s="1"/>
  <c r="K45" i="238" s="1"/>
  <c r="L45" i="238" s="1"/>
  <c r="M45" i="238" s="1"/>
  <c r="N45" i="238" s="1"/>
  <c r="C30" i="238" l="1"/>
  <c r="D30" i="238" s="1"/>
  <c r="E30" i="238" s="1"/>
  <c r="F30" i="238" s="1"/>
  <c r="G30" i="238" s="1"/>
  <c r="H30" i="238" s="1"/>
  <c r="I30" i="238" s="1"/>
  <c r="J30" i="238" s="1"/>
  <c r="K30" i="238" s="1"/>
  <c r="L30" i="238" s="1"/>
  <c r="M30" i="238" s="1"/>
  <c r="N30" i="238" s="1"/>
  <c r="C124" i="106" l="1"/>
  <c r="B80" i="106" l="1"/>
  <c r="B81" i="106" s="1"/>
  <c r="B82" i="106" s="1"/>
  <c r="B83" i="106" s="1"/>
  <c r="B84" i="106" s="1"/>
  <c r="B85" i="106" s="1"/>
  <c r="B86" i="106" s="1"/>
  <c r="B87" i="106" s="1"/>
  <c r="B88" i="106" s="1"/>
  <c r="B89" i="106" s="1"/>
  <c r="B90" i="106" s="1"/>
  <c r="B91" i="106" s="1"/>
  <c r="B96" i="106" s="1"/>
  <c r="B97" i="106" s="1"/>
  <c r="B98" i="106" s="1"/>
  <c r="B99" i="106" s="1"/>
  <c r="B100" i="106" s="1"/>
  <c r="B101" i="106" s="1"/>
  <c r="B102" i="106" s="1"/>
  <c r="B103" i="106" s="1"/>
  <c r="B104" i="106" s="1"/>
  <c r="B105" i="106" s="1"/>
  <c r="B106" i="106" s="1"/>
  <c r="B107" i="106" s="1"/>
  <c r="B108" i="106" s="1"/>
  <c r="B109" i="106" s="1"/>
  <c r="B110" i="106" s="1"/>
  <c r="B111" i="106" s="1"/>
  <c r="B112" i="106" s="1"/>
  <c r="B113" i="106" s="1"/>
  <c r="B114" i="106" s="1"/>
  <c r="B115" i="106" s="1"/>
  <c r="B116" i="106" s="1"/>
  <c r="B117" i="106" s="1"/>
  <c r="B118" i="106" s="1"/>
  <c r="B119" i="106" s="1"/>
  <c r="D47" i="106" l="1"/>
  <c r="D136" i="106" s="1"/>
  <c r="D46" i="106"/>
  <c r="D135" i="106" s="1"/>
  <c r="D45" i="106"/>
  <c r="D134" i="106" s="1"/>
  <c r="D44" i="106"/>
  <c r="D133" i="106" s="1"/>
  <c r="D43" i="106"/>
  <c r="D132" i="106" s="1"/>
  <c r="D42" i="106"/>
  <c r="D131" i="106" s="1"/>
  <c r="D41" i="106"/>
  <c r="D130" i="106" s="1"/>
  <c r="D40" i="106"/>
  <c r="D129" i="106" s="1"/>
  <c r="D39" i="106"/>
  <c r="D128" i="106" s="1"/>
  <c r="D38" i="106"/>
  <c r="D127" i="106" s="1"/>
  <c r="D37" i="106"/>
  <c r="D126" i="106" s="1"/>
  <c r="D36" i="106"/>
  <c r="D125" i="106" s="1"/>
  <c r="D35" i="106"/>
  <c r="D124" i="106" s="1"/>
  <c r="B36" i="106"/>
  <c r="B37" i="106" s="1"/>
  <c r="B38" i="106" s="1"/>
  <c r="B39" i="106" s="1"/>
  <c r="B40" i="106" s="1"/>
  <c r="B41" i="106" s="1"/>
  <c r="B42" i="106" s="1"/>
  <c r="B43" i="106" s="1"/>
  <c r="B44" i="106" s="1"/>
  <c r="B45" i="106" s="1"/>
  <c r="B46" i="106" s="1"/>
  <c r="B47" i="106" s="1"/>
  <c r="B52" i="106" s="1"/>
  <c r="B53" i="106" s="1"/>
  <c r="B54" i="106" s="1"/>
  <c r="B55" i="106" s="1"/>
  <c r="B56" i="106" s="1"/>
  <c r="B57" i="106" s="1"/>
  <c r="B58" i="106" s="1"/>
  <c r="B59" i="106" s="1"/>
  <c r="B60" i="106" s="1"/>
  <c r="B61" i="106" s="1"/>
  <c r="B62" i="106" s="1"/>
  <c r="B63" i="106" s="1"/>
  <c r="B64" i="106" s="1"/>
  <c r="B65" i="106" s="1"/>
  <c r="B66" i="106" s="1"/>
  <c r="B67" i="106" s="1"/>
  <c r="B68" i="106" s="1"/>
  <c r="B69" i="106" s="1"/>
  <c r="B70" i="106" s="1"/>
  <c r="B71" i="106" s="1"/>
  <c r="B72" i="106" s="1"/>
  <c r="B73" i="106" s="1"/>
  <c r="B74" i="106" s="1"/>
  <c r="B75" i="106" s="1"/>
  <c r="C36" i="106" l="1"/>
  <c r="B125" i="106"/>
  <c r="B126" i="106" s="1"/>
  <c r="B127" i="106" s="1"/>
  <c r="B128" i="106" s="1"/>
  <c r="B129" i="106" s="1"/>
  <c r="B130" i="106" s="1"/>
  <c r="B131" i="106" s="1"/>
  <c r="B132" i="106" s="1"/>
  <c r="B133" i="106" s="1"/>
  <c r="B134" i="106" s="1"/>
  <c r="B135" i="106" s="1"/>
  <c r="B136" i="106" s="1"/>
  <c r="B137" i="106" s="1"/>
  <c r="B138" i="106" s="1"/>
  <c r="B139" i="106" s="1"/>
  <c r="B140" i="106" s="1"/>
  <c r="B141" i="106" s="1"/>
  <c r="B142" i="106" s="1"/>
  <c r="B143" i="106" s="1"/>
  <c r="B144" i="106" s="1"/>
  <c r="B145" i="106" s="1"/>
  <c r="B146" i="106" s="1"/>
  <c r="B147" i="106" s="1"/>
  <c r="B148" i="106" s="1"/>
  <c r="B149" i="106" s="1"/>
  <c r="B150" i="106" s="1"/>
  <c r="B151" i="106" s="1"/>
  <c r="B155" i="106" s="1"/>
  <c r="B156" i="106" s="1"/>
  <c r="B157" i="106" s="1"/>
  <c r="B158" i="106" s="1"/>
  <c r="B159" i="106" s="1"/>
  <c r="B160" i="106" s="1"/>
  <c r="B161" i="106" s="1"/>
  <c r="B162" i="106" s="1"/>
  <c r="B163" i="106" s="1"/>
  <c r="B164" i="106" s="1"/>
  <c r="B165" i="106" s="1"/>
  <c r="B166" i="106" s="1"/>
  <c r="B167" i="106" s="1"/>
  <c r="B168" i="106" s="1"/>
  <c r="B169" i="106" s="1"/>
  <c r="B170" i="106" s="1"/>
  <c r="B171" i="106" s="1"/>
  <c r="B172" i="106" s="1"/>
  <c r="B173" i="106" s="1"/>
  <c r="B174" i="106" s="1"/>
  <c r="B175" i="106" s="1"/>
  <c r="B176" i="106" s="1"/>
  <c r="B177" i="106" s="1"/>
  <c r="B178" i="106" s="1"/>
  <c r="C37" i="106" l="1"/>
  <c r="C125" i="106"/>
  <c r="D53" i="106"/>
  <c r="D138" i="106" s="1"/>
  <c r="D54" i="106"/>
  <c r="D55" i="106"/>
  <c r="D56" i="106"/>
  <c r="D52" i="106"/>
  <c r="D137" i="106" s="1"/>
  <c r="C38" i="106" l="1"/>
  <c r="C126" i="106"/>
  <c r="C39" i="106" l="1"/>
  <c r="C127" i="106"/>
  <c r="C40" i="106" l="1"/>
  <c r="C128" i="106"/>
  <c r="A20" i="99"/>
  <c r="A21" i="99" s="1"/>
  <c r="A22" i="99" s="1"/>
  <c r="A23" i="99" s="1"/>
  <c r="A24" i="99" s="1"/>
  <c r="A25" i="99" s="1"/>
  <c r="A26" i="99" s="1"/>
  <c r="C41" i="106" l="1"/>
  <c r="C129" i="106"/>
  <c r="C42" i="106" l="1"/>
  <c r="C130" i="106"/>
  <c r="C43" i="106" l="1"/>
  <c r="C131" i="106"/>
  <c r="E10" i="222"/>
  <c r="F10" i="222" s="1"/>
  <c r="G10" i="222" s="1"/>
  <c r="H10" i="222" s="1"/>
  <c r="I10" i="222" s="1"/>
  <c r="J10" i="222" s="1"/>
  <c r="K10" i="222" s="1"/>
  <c r="L10" i="222" s="1"/>
  <c r="M10" i="222" s="1"/>
  <c r="N10" i="222" s="1"/>
  <c r="O10" i="222" s="1"/>
  <c r="E10" i="44"/>
  <c r="F10" i="44" s="1"/>
  <c r="G10" i="44" s="1"/>
  <c r="H10" i="44" s="1"/>
  <c r="I10" i="44" s="1"/>
  <c r="J10" i="44" s="1"/>
  <c r="K10" i="44" s="1"/>
  <c r="L10" i="44" s="1"/>
  <c r="M10" i="44" s="1"/>
  <c r="N10" i="44" s="1"/>
  <c r="O10" i="44" s="1"/>
  <c r="A4" i="3"/>
  <c r="A4" i="137"/>
  <c r="L25" i="202"/>
  <c r="C28" i="99"/>
  <c r="C27" i="99"/>
  <c r="C26" i="99"/>
  <c r="C25" i="99"/>
  <c r="C24" i="99"/>
  <c r="C23" i="99"/>
  <c r="C22" i="99"/>
  <c r="C21" i="99"/>
  <c r="C20" i="99"/>
  <c r="C19" i="99"/>
  <c r="C18" i="99"/>
  <c r="C17" i="99"/>
  <c r="G28" i="99"/>
  <c r="G26" i="99"/>
  <c r="G25" i="99"/>
  <c r="G24" i="99"/>
  <c r="G23" i="99"/>
  <c r="G22" i="99"/>
  <c r="G19" i="99"/>
  <c r="G18" i="99"/>
  <c r="G17" i="99"/>
  <c r="E26" i="99"/>
  <c r="E25" i="99"/>
  <c r="E24" i="99"/>
  <c r="E23" i="99"/>
  <c r="E22" i="99"/>
  <c r="E21" i="99"/>
  <c r="E20" i="99"/>
  <c r="E19" i="99"/>
  <c r="E18" i="99"/>
  <c r="E17" i="99"/>
  <c r="C44" i="106" l="1"/>
  <c r="C132" i="106"/>
  <c r="I24" i="99"/>
  <c r="I22" i="8"/>
  <c r="I22" i="99"/>
  <c r="I20" i="8"/>
  <c r="I23" i="99"/>
  <c r="I21" i="8"/>
  <c r="G21" i="99"/>
  <c r="I21" i="99" s="1"/>
  <c r="G20" i="99"/>
  <c r="I20" i="99" s="1"/>
  <c r="I23" i="8"/>
  <c r="A20" i="8"/>
  <c r="A21" i="8" s="1"/>
  <c r="A22" i="8" s="1"/>
  <c r="A23" i="8" s="1"/>
  <c r="A24" i="8" s="1"/>
  <c r="A25" i="8" s="1"/>
  <c r="A4" i="98"/>
  <c r="A4" i="99"/>
  <c r="C45" i="106" l="1"/>
  <c r="C133" i="106"/>
  <c r="C46" i="106" l="1"/>
  <c r="C134" i="106"/>
  <c r="C47" i="106" l="1"/>
  <c r="C135" i="106"/>
  <c r="C136" i="106" l="1"/>
  <c r="C52" i="106"/>
  <c r="K38" i="42"/>
  <c r="D24" i="3" l="1"/>
  <c r="F24" i="3"/>
  <c r="C53" i="106"/>
  <c r="C137" i="106"/>
  <c r="C138" i="106" l="1"/>
  <c r="C54" i="106"/>
  <c r="C55" i="106" l="1"/>
  <c r="C56" i="106" s="1"/>
  <c r="C57" i="106" s="1"/>
  <c r="C58" i="106" l="1"/>
  <c r="C59" i="106" s="1"/>
  <c r="C60" i="106" s="1"/>
  <c r="C61" i="106" s="1"/>
  <c r="C62" i="106" s="1"/>
  <c r="C63" i="106" s="1"/>
  <c r="C64" i="106" s="1"/>
  <c r="C65" i="106" s="1"/>
  <c r="C66" i="106" s="1"/>
  <c r="C67" i="106" s="1"/>
  <c r="C68" i="106" s="1"/>
  <c r="C69" i="106" l="1"/>
  <c r="C70" i="106" l="1"/>
  <c r="F16" i="252"/>
  <c r="C71" i="106" l="1"/>
  <c r="C72" i="106" l="1"/>
  <c r="C73" i="106" l="1"/>
  <c r="C74" i="106" l="1"/>
  <c r="C75" i="106" s="1"/>
  <c r="H223" i="209"/>
  <c r="H224" i="209"/>
  <c r="H225" i="209"/>
  <c r="E193" i="209"/>
  <c r="E194" i="209"/>
  <c r="E195" i="209"/>
  <c r="E196" i="209"/>
  <c r="E197" i="209"/>
  <c r="E198" i="209"/>
  <c r="E199" i="209"/>
  <c r="E200" i="209"/>
  <c r="E201" i="209"/>
  <c r="E202" i="209"/>
  <c r="E203" i="209"/>
  <c r="E204" i="209"/>
  <c r="E205" i="209"/>
  <c r="E206" i="209"/>
  <c r="E192" i="209"/>
  <c r="L8" i="232" l="1"/>
  <c r="H9" i="24"/>
  <c r="H9" i="69" s="1"/>
  <c r="K9" i="30"/>
  <c r="K9" i="215" s="1"/>
  <c r="E8" i="67"/>
  <c r="H8" i="237"/>
  <c r="N8" i="209"/>
  <c r="N8" i="236"/>
  <c r="N8" i="213"/>
  <c r="N31" i="238" l="1"/>
  <c r="C31" i="238" l="1"/>
  <c r="L31" i="238"/>
  <c r="E31" i="238"/>
  <c r="I31" i="238"/>
  <c r="M31" i="238"/>
  <c r="G31" i="238"/>
  <c r="K31" i="238"/>
  <c r="F31" i="238"/>
  <c r="H31" i="238"/>
  <c r="D31" i="238"/>
  <c r="J31" i="238"/>
  <c r="G34" i="1" l="1"/>
  <c r="C79" i="106" l="1"/>
  <c r="C139" i="106" s="1"/>
  <c r="F8" i="252" l="1"/>
  <c r="A2" i="252"/>
  <c r="A1" i="252"/>
  <c r="D79" i="106" l="1"/>
  <c r="D139" i="106" s="1"/>
  <c r="D50" i="216" l="1"/>
  <c r="E50" i="216"/>
  <c r="F50" i="216"/>
  <c r="G50" i="216"/>
  <c r="H50" i="216"/>
  <c r="I50" i="216"/>
  <c r="J50" i="216"/>
  <c r="K50" i="216"/>
  <c r="L50" i="216"/>
  <c r="M50" i="216"/>
  <c r="N50" i="216"/>
  <c r="O50" i="216"/>
  <c r="C50" i="216"/>
  <c r="D48" i="216"/>
  <c r="E48" i="216"/>
  <c r="F48" i="216"/>
  <c r="G48" i="216"/>
  <c r="H48" i="216"/>
  <c r="I48" i="216"/>
  <c r="J48" i="216"/>
  <c r="K48" i="216"/>
  <c r="L48" i="216"/>
  <c r="M48" i="216"/>
  <c r="N48" i="216"/>
  <c r="O48" i="216"/>
  <c r="C48" i="216"/>
  <c r="D46" i="216"/>
  <c r="E46" i="216"/>
  <c r="F46" i="216"/>
  <c r="G46" i="216"/>
  <c r="H46" i="216"/>
  <c r="I46" i="216"/>
  <c r="J46" i="216"/>
  <c r="K46" i="216"/>
  <c r="L46" i="216"/>
  <c r="M46" i="216"/>
  <c r="N46" i="216"/>
  <c r="O46" i="216"/>
  <c r="C46" i="216"/>
  <c r="D44" i="216"/>
  <c r="E44" i="216"/>
  <c r="F44" i="216"/>
  <c r="G44" i="216"/>
  <c r="H44" i="216"/>
  <c r="I44" i="216"/>
  <c r="J44" i="216"/>
  <c r="K44" i="216"/>
  <c r="L44" i="216"/>
  <c r="M44" i="216"/>
  <c r="N44" i="216"/>
  <c r="O44" i="216"/>
  <c r="C44" i="216"/>
  <c r="D50" i="214"/>
  <c r="E50" i="214"/>
  <c r="F50" i="214"/>
  <c r="G50" i="214"/>
  <c r="H50" i="214"/>
  <c r="I50" i="214"/>
  <c r="J50" i="214"/>
  <c r="K50" i="214"/>
  <c r="L50" i="214"/>
  <c r="M50" i="214"/>
  <c r="N50" i="214"/>
  <c r="O50" i="214"/>
  <c r="C50" i="214"/>
  <c r="D48" i="214"/>
  <c r="E48" i="214"/>
  <c r="F48" i="214"/>
  <c r="G48" i="214"/>
  <c r="H48" i="214"/>
  <c r="I48" i="214"/>
  <c r="J48" i="214"/>
  <c r="K48" i="214"/>
  <c r="L48" i="214"/>
  <c r="M48" i="214"/>
  <c r="N48" i="214"/>
  <c r="O48" i="214"/>
  <c r="C48" i="214"/>
  <c r="D46" i="214"/>
  <c r="E46" i="214"/>
  <c r="F46" i="214"/>
  <c r="G46" i="214"/>
  <c r="H46" i="214"/>
  <c r="I46" i="214"/>
  <c r="J46" i="214"/>
  <c r="K46" i="214"/>
  <c r="L46" i="214"/>
  <c r="M46" i="214"/>
  <c r="N46" i="214"/>
  <c r="O46" i="214"/>
  <c r="C46" i="214"/>
  <c r="D44" i="214"/>
  <c r="E44" i="214"/>
  <c r="F44" i="214"/>
  <c r="G44" i="214"/>
  <c r="H44" i="214"/>
  <c r="I44" i="214"/>
  <c r="J44" i="214"/>
  <c r="K44" i="214"/>
  <c r="L44" i="214"/>
  <c r="M44" i="214"/>
  <c r="N44" i="214"/>
  <c r="O44" i="214"/>
  <c r="C44" i="214"/>
  <c r="D94" i="222" l="1"/>
  <c r="P29" i="222" l="1"/>
  <c r="L56" i="209" l="1"/>
  <c r="M56" i="209"/>
  <c r="N56" i="209"/>
  <c r="G56" i="209"/>
  <c r="H56" i="209"/>
  <c r="F56" i="209"/>
  <c r="I56" i="209" s="1"/>
  <c r="F74" i="237"/>
  <c r="G74" i="237"/>
  <c r="F75" i="237"/>
  <c r="G75" i="237"/>
  <c r="L74" i="209" l="1"/>
  <c r="M74" i="209"/>
  <c r="L75" i="209"/>
  <c r="M75" i="209"/>
  <c r="G74" i="209"/>
  <c r="H74" i="209"/>
  <c r="G75" i="209"/>
  <c r="H75" i="209"/>
  <c r="F74" i="209"/>
  <c r="I74" i="209" s="1"/>
  <c r="F75" i="209"/>
  <c r="L74" i="213"/>
  <c r="M74" i="213"/>
  <c r="L75" i="213"/>
  <c r="M75" i="213"/>
  <c r="G74" i="213"/>
  <c r="H74" i="213"/>
  <c r="G75" i="213"/>
  <c r="H75" i="213"/>
  <c r="F74" i="213"/>
  <c r="I74" i="213" s="1"/>
  <c r="F75" i="213"/>
  <c r="L56" i="213"/>
  <c r="M56" i="213"/>
  <c r="G56" i="213"/>
  <c r="H56" i="213"/>
  <c r="F56" i="213"/>
  <c r="I56" i="213" s="1"/>
  <c r="L74" i="236"/>
  <c r="M74" i="236"/>
  <c r="L75" i="236"/>
  <c r="M75" i="236"/>
  <c r="G74" i="236"/>
  <c r="H74" i="236"/>
  <c r="G75" i="236"/>
  <c r="H75" i="236"/>
  <c r="F74" i="236"/>
  <c r="F75" i="236"/>
  <c r="L56" i="236"/>
  <c r="M56" i="236"/>
  <c r="G56" i="236"/>
  <c r="H56" i="236"/>
  <c r="F56" i="236"/>
  <c r="I56" i="236" s="1"/>
  <c r="L74" i="207"/>
  <c r="M74" i="207"/>
  <c r="L75" i="207"/>
  <c r="M75" i="207"/>
  <c r="G74" i="207"/>
  <c r="H74" i="207"/>
  <c r="G75" i="207"/>
  <c r="H75" i="207"/>
  <c r="F74" i="207"/>
  <c r="I74" i="207" s="1"/>
  <c r="F75" i="207"/>
  <c r="I75" i="207" s="1"/>
  <c r="N56" i="207"/>
  <c r="L56" i="207"/>
  <c r="M56" i="207"/>
  <c r="F56" i="207"/>
  <c r="G56" i="207"/>
  <c r="H56" i="207"/>
  <c r="I56" i="207" l="1"/>
  <c r="N74" i="207"/>
  <c r="N56" i="236"/>
  <c r="I75" i="236"/>
  <c r="N75" i="236"/>
  <c r="N74" i="213"/>
  <c r="N74" i="209"/>
  <c r="I74" i="236"/>
  <c r="N74" i="236"/>
  <c r="N75" i="207"/>
  <c r="N56" i="213"/>
  <c r="I75" i="213"/>
  <c r="N75" i="213"/>
  <c r="I75" i="209"/>
  <c r="N75" i="209"/>
  <c r="A16" i="107" l="1"/>
  <c r="F16" i="107"/>
  <c r="F16" i="248" l="1"/>
  <c r="D18" i="193" l="1"/>
  <c r="E72" i="192"/>
  <c r="F72" i="192"/>
  <c r="G72" i="192"/>
  <c r="H72" i="192"/>
  <c r="D91" i="44"/>
  <c r="D69" i="44"/>
  <c r="D38" i="190"/>
  <c r="D24" i="190"/>
  <c r="D20" i="190"/>
  <c r="D16" i="190"/>
  <c r="I72" i="192" l="1"/>
  <c r="I63" i="192"/>
  <c r="D72" i="192"/>
  <c r="D42" i="190"/>
  <c r="G123" i="44"/>
  <c r="F123" i="44"/>
  <c r="P29" i="44"/>
  <c r="D30" i="45" s="1"/>
  <c r="I123" i="44"/>
  <c r="E123" i="44"/>
  <c r="H123" i="44"/>
  <c r="J43" i="35" l="1"/>
  <c r="J42" i="35"/>
  <c r="H43" i="35"/>
  <c r="H42" i="35"/>
  <c r="F43" i="35"/>
  <c r="F42" i="35"/>
  <c r="J36" i="35"/>
  <c r="J35" i="35"/>
  <c r="H36" i="35"/>
  <c r="H35" i="35"/>
  <c r="J25" i="35"/>
  <c r="J24" i="35"/>
  <c r="H25" i="35"/>
  <c r="H24" i="35"/>
  <c r="J17" i="35"/>
  <c r="H17" i="35"/>
  <c r="F17" i="35"/>
  <c r="J18" i="35"/>
  <c r="H18" i="35"/>
  <c r="F18" i="35"/>
  <c r="D50" i="35" l="1"/>
  <c r="H50" i="35"/>
  <c r="F50" i="35"/>
  <c r="H49" i="35"/>
  <c r="F49" i="35"/>
  <c r="D49" i="35"/>
  <c r="I46" i="35"/>
  <c r="G46" i="35"/>
  <c r="E46" i="35"/>
  <c r="C46" i="35"/>
  <c r="D43" i="35"/>
  <c r="D42" i="35"/>
  <c r="I39" i="35"/>
  <c r="G39" i="35"/>
  <c r="E39" i="35"/>
  <c r="C39" i="35"/>
  <c r="F36" i="35"/>
  <c r="D36" i="35"/>
  <c r="F35" i="35"/>
  <c r="D35" i="35"/>
  <c r="F30" i="35"/>
  <c r="D30" i="35"/>
  <c r="I28" i="35"/>
  <c r="G28" i="35"/>
  <c r="E28" i="35"/>
  <c r="C28" i="35"/>
  <c r="I26" i="35"/>
  <c r="G26" i="35"/>
  <c r="E26" i="35"/>
  <c r="E32" i="35" s="1"/>
  <c r="C26" i="35"/>
  <c r="C32" i="35" s="1"/>
  <c r="F25" i="35"/>
  <c r="D25" i="35"/>
  <c r="F24" i="35"/>
  <c r="D24" i="35"/>
  <c r="I21" i="35"/>
  <c r="G21" i="35"/>
  <c r="E21" i="35"/>
  <c r="C21" i="35"/>
  <c r="I19" i="35"/>
  <c r="G19" i="35"/>
  <c r="E19" i="35"/>
  <c r="C19" i="35"/>
  <c r="D18" i="35"/>
  <c r="D17" i="35"/>
  <c r="F19" i="35" l="1"/>
  <c r="F26" i="35"/>
  <c r="D19" i="35"/>
  <c r="I32" i="35"/>
  <c r="H26" i="35"/>
  <c r="D26" i="35"/>
  <c r="G32" i="35"/>
  <c r="E33" i="99" l="1"/>
  <c r="E32" i="99"/>
  <c r="C46" i="238" l="1"/>
  <c r="J49" i="171" l="1"/>
  <c r="K49" i="171"/>
  <c r="I49" i="171"/>
  <c r="I65" i="171"/>
  <c r="J65" i="171"/>
  <c r="K65" i="171"/>
  <c r="I37" i="171"/>
  <c r="J37" i="171"/>
  <c r="K37" i="171"/>
  <c r="K50" i="171"/>
  <c r="J50" i="171"/>
  <c r="I50" i="171"/>
  <c r="I36" i="171"/>
  <c r="K36" i="171"/>
  <c r="J36" i="171"/>
  <c r="H197" i="209"/>
  <c r="H204" i="209"/>
  <c r="H217" i="209"/>
  <c r="H219" i="209"/>
  <c r="H201" i="209"/>
  <c r="H206" i="209"/>
  <c r="H218" i="209"/>
  <c r="H221" i="209"/>
  <c r="H222" i="209"/>
  <c r="A4" i="251"/>
  <c r="A3" i="251"/>
  <c r="A2" i="251"/>
  <c r="A1" i="251"/>
  <c r="J16" i="5" l="1"/>
  <c r="L24" i="34" l="1"/>
  <c r="J24" i="34" s="1"/>
  <c r="A16" i="34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H25" i="34"/>
  <c r="H23" i="34" l="1"/>
  <c r="A16" i="248" l="1"/>
  <c r="A17" i="248" s="1"/>
  <c r="A18" i="248" s="1"/>
  <c r="A19" i="248" s="1"/>
  <c r="A20" i="248" s="1"/>
  <c r="A21" i="248" s="1"/>
  <c r="A22" i="248" s="1"/>
  <c r="A23" i="248" s="1"/>
  <c r="A24" i="248" s="1"/>
  <c r="A25" i="248" s="1"/>
  <c r="A26" i="248" s="1"/>
  <c r="A27" i="248" s="1"/>
  <c r="A28" i="248" s="1"/>
  <c r="A29" i="248" s="1"/>
  <c r="A30" i="248" s="1"/>
  <c r="A31" i="248" s="1"/>
  <c r="A32" i="248" s="1"/>
  <c r="A33" i="248" s="1"/>
  <c r="A34" i="248" s="1"/>
  <c r="A35" i="248" s="1"/>
  <c r="A36" i="248" s="1"/>
  <c r="A37" i="248" s="1"/>
  <c r="A38" i="248" s="1"/>
  <c r="A39" i="248" s="1"/>
  <c r="A40" i="248" s="1"/>
  <c r="A41" i="248" s="1"/>
  <c r="A42" i="248" s="1"/>
  <c r="A43" i="248" s="1"/>
  <c r="A44" i="248" s="1"/>
  <c r="A45" i="248" s="1"/>
  <c r="A46" i="248" s="1"/>
  <c r="A47" i="248" s="1"/>
  <c r="A48" i="248" s="1"/>
  <c r="A49" i="248" s="1"/>
  <c r="A50" i="248" s="1"/>
  <c r="D73" i="44" l="1"/>
  <c r="D68" i="44"/>
  <c r="D63" i="44"/>
  <c r="D60" i="44"/>
  <c r="D59" i="44"/>
  <c r="D58" i="44"/>
  <c r="D123" i="44"/>
  <c r="D32" i="44"/>
  <c r="D31" i="44"/>
  <c r="D30" i="44"/>
  <c r="D28" i="44"/>
  <c r="D59" i="192"/>
  <c r="D21" i="192"/>
  <c r="D16" i="193"/>
  <c r="D30" i="193" s="1"/>
  <c r="D113" i="44" l="1"/>
  <c r="J36" i="42"/>
  <c r="L36" i="42" s="1"/>
  <c r="N36" i="42" s="1"/>
  <c r="P36" i="42" l="1"/>
  <c r="O36" i="42"/>
  <c r="H86" i="10" l="1"/>
  <c r="H85" i="10"/>
  <c r="J35" i="42" l="1"/>
  <c r="D38" i="42"/>
  <c r="F38" i="42" l="1"/>
  <c r="E38" i="42"/>
  <c r="G38" i="42"/>
  <c r="H38" i="42"/>
  <c r="J34" i="42"/>
  <c r="I28" i="99"/>
  <c r="I28" i="8"/>
  <c r="L34" i="42" l="1"/>
  <c r="N34" i="42" l="1"/>
  <c r="I27" i="99"/>
  <c r="E29" i="8"/>
  <c r="I27" i="8"/>
  <c r="O34" i="42" l="1"/>
  <c r="P34" i="42"/>
  <c r="E37" i="8"/>
  <c r="G21" i="4" s="1"/>
  <c r="H41" i="10" s="1"/>
  <c r="K46" i="35" l="1"/>
  <c r="K39" i="35"/>
  <c r="K28" i="35"/>
  <c r="K26" i="35"/>
  <c r="K21" i="35"/>
  <c r="K19" i="35"/>
  <c r="K32" i="35" l="1"/>
  <c r="J26" i="35"/>
  <c r="G222" i="237" l="1"/>
  <c r="G223" i="237"/>
  <c r="G221" i="237"/>
  <c r="H222" i="236"/>
  <c r="H223" i="236"/>
  <c r="H221" i="236"/>
  <c r="H222" i="207"/>
  <c r="H223" i="207"/>
  <c r="H221" i="207"/>
  <c r="H222" i="213"/>
  <c r="H223" i="213"/>
  <c r="H221" i="213"/>
  <c r="H189" i="207" l="1"/>
  <c r="H190" i="207" s="1"/>
  <c r="G202" i="237" l="1"/>
  <c r="H190" i="236"/>
  <c r="H192" i="209"/>
  <c r="M192" i="209" s="1"/>
  <c r="M221" i="209"/>
  <c r="G216" i="237"/>
  <c r="H195" i="207"/>
  <c r="M217" i="209"/>
  <c r="M197" i="209"/>
  <c r="M225" i="209"/>
  <c r="I22" i="212"/>
  <c r="G220" i="237"/>
  <c r="G215" i="237"/>
  <c r="G195" i="237"/>
  <c r="M204" i="209"/>
  <c r="H191" i="209"/>
  <c r="M191" i="209" s="1"/>
  <c r="H189" i="236"/>
  <c r="H189" i="213"/>
  <c r="G219" i="237"/>
  <c r="G204" i="237"/>
  <c r="G190" i="237"/>
  <c r="M223" i="209"/>
  <c r="M218" i="209"/>
  <c r="M201" i="209"/>
  <c r="G217" i="237"/>
  <c r="G189" i="237"/>
  <c r="M222" i="209"/>
  <c r="M206" i="209"/>
  <c r="G199" i="237"/>
  <c r="F163" i="237"/>
  <c r="F164" i="237"/>
  <c r="F165" i="237"/>
  <c r="F166" i="237"/>
  <c r="F167" i="237"/>
  <c r="F168" i="237"/>
  <c r="L234" i="209"/>
  <c r="L237" i="209"/>
  <c r="L242" i="209"/>
  <c r="L243" i="209"/>
  <c r="L244" i="209"/>
  <c r="L245" i="209"/>
  <c r="L247" i="209"/>
  <c r="L249" i="209"/>
  <c r="L257" i="209"/>
  <c r="L258" i="209"/>
  <c r="L259" i="209"/>
  <c r="L260" i="209"/>
  <c r="L189" i="209"/>
  <c r="L191" i="209"/>
  <c r="L192" i="209"/>
  <c r="L196" i="209"/>
  <c r="L197" i="209"/>
  <c r="L201" i="209"/>
  <c r="L204" i="209"/>
  <c r="L206" i="209"/>
  <c r="L217" i="209"/>
  <c r="L218" i="209"/>
  <c r="L219" i="209"/>
  <c r="M219" i="209"/>
  <c r="L221" i="209"/>
  <c r="L222" i="209"/>
  <c r="L223" i="209"/>
  <c r="L224" i="209"/>
  <c r="M224" i="209"/>
  <c r="L225" i="209"/>
  <c r="G163" i="209"/>
  <c r="L163" i="209" s="1"/>
  <c r="G164" i="209"/>
  <c r="L164" i="209" s="1"/>
  <c r="G165" i="209"/>
  <c r="L165" i="209" s="1"/>
  <c r="G166" i="209"/>
  <c r="L166" i="209" s="1"/>
  <c r="G167" i="209"/>
  <c r="L167" i="209" s="1"/>
  <c r="G168" i="209"/>
  <c r="L168" i="209" s="1"/>
  <c r="L235" i="236"/>
  <c r="L240" i="236"/>
  <c r="L241" i="236"/>
  <c r="L242" i="236"/>
  <c r="L243" i="236"/>
  <c r="L245" i="236"/>
  <c r="L247" i="236"/>
  <c r="L255" i="236"/>
  <c r="L256" i="236"/>
  <c r="L257" i="236"/>
  <c r="L258" i="236"/>
  <c r="G194" i="236"/>
  <c r="M189" i="213" l="1"/>
  <c r="H190" i="213"/>
  <c r="H216" i="236"/>
  <c r="M216" i="236" s="1"/>
  <c r="H215" i="236"/>
  <c r="M215" i="236" s="1"/>
  <c r="H217" i="236"/>
  <c r="M217" i="236" s="1"/>
  <c r="H216" i="207"/>
  <c r="M216" i="207" s="1"/>
  <c r="H202" i="207"/>
  <c r="M202" i="207" s="1"/>
  <c r="H217" i="207"/>
  <c r="H199" i="207"/>
  <c r="M199" i="207" s="1"/>
  <c r="M195" i="207"/>
  <c r="H215" i="207"/>
  <c r="M215" i="207" s="1"/>
  <c r="H204" i="207"/>
  <c r="M204" i="207" s="1"/>
  <c r="H202" i="236"/>
  <c r="H204" i="236" s="1"/>
  <c r="M204" i="236" s="1"/>
  <c r="H199" i="236"/>
  <c r="M199" i="236" s="1"/>
  <c r="H195" i="236"/>
  <c r="M195" i="236" s="1"/>
  <c r="L187" i="236"/>
  <c r="L189" i="236"/>
  <c r="M189" i="236"/>
  <c r="L190" i="236"/>
  <c r="M190" i="236"/>
  <c r="L194" i="236"/>
  <c r="L195" i="236"/>
  <c r="L199" i="236"/>
  <c r="L202" i="236"/>
  <c r="L204" i="236"/>
  <c r="L206" i="236"/>
  <c r="L215" i="236"/>
  <c r="L216" i="236"/>
  <c r="L217" i="236"/>
  <c r="L219" i="236"/>
  <c r="L220" i="236"/>
  <c r="L221" i="236"/>
  <c r="L222" i="236"/>
  <c r="L223" i="236"/>
  <c r="L248" i="213"/>
  <c r="L244" i="213"/>
  <c r="L243" i="213"/>
  <c r="L242" i="213"/>
  <c r="L241" i="213"/>
  <c r="L259" i="213"/>
  <c r="L244" i="207"/>
  <c r="L243" i="207"/>
  <c r="L242" i="207"/>
  <c r="L241" i="207"/>
  <c r="L248" i="207"/>
  <c r="L259" i="207"/>
  <c r="G189" i="207"/>
  <c r="L189" i="207" s="1"/>
  <c r="M202" i="236" l="1"/>
  <c r="M221" i="236"/>
  <c r="H220" i="236"/>
  <c r="M220" i="236" s="1"/>
  <c r="M222" i="236"/>
  <c r="H219" i="236"/>
  <c r="M219" i="236" s="1"/>
  <c r="M223" i="236"/>
  <c r="M190" i="213"/>
  <c r="H195" i="213"/>
  <c r="M221" i="207"/>
  <c r="M217" i="207"/>
  <c r="M222" i="207"/>
  <c r="H219" i="207"/>
  <c r="M219" i="207" s="1"/>
  <c r="H220" i="207"/>
  <c r="M220" i="207" s="1"/>
  <c r="M223" i="207"/>
  <c r="M195" i="213" l="1"/>
  <c r="H199" i="213"/>
  <c r="H196" i="209"/>
  <c r="M196" i="209" s="1"/>
  <c r="H187" i="236"/>
  <c r="G258" i="237"/>
  <c r="G242" i="237"/>
  <c r="H258" i="209"/>
  <c r="M258" i="209" s="1"/>
  <c r="H245" i="209"/>
  <c r="M245" i="209" s="1"/>
  <c r="H237" i="209"/>
  <c r="M237" i="209" s="1"/>
  <c r="G235" i="237"/>
  <c r="H247" i="209"/>
  <c r="M247" i="209" s="1"/>
  <c r="G255" i="237"/>
  <c r="G247" i="237"/>
  <c r="G241" i="237"/>
  <c r="H257" i="209"/>
  <c r="M257" i="209" s="1"/>
  <c r="H244" i="209"/>
  <c r="M244" i="209" s="1"/>
  <c r="G243" i="237"/>
  <c r="H242" i="209"/>
  <c r="M242" i="209" s="1"/>
  <c r="G256" i="237"/>
  <c r="G245" i="237"/>
  <c r="G240" i="237"/>
  <c r="H260" i="209"/>
  <c r="M260" i="209" s="1"/>
  <c r="H249" i="209"/>
  <c r="M249" i="209" s="1"/>
  <c r="H243" i="209"/>
  <c r="M243" i="209" s="1"/>
  <c r="G257" i="237"/>
  <c r="H259" i="209"/>
  <c r="M259" i="209" s="1"/>
  <c r="H259" i="213"/>
  <c r="M259" i="213" s="1"/>
  <c r="H242" i="213"/>
  <c r="M242" i="213" s="1"/>
  <c r="H248" i="213"/>
  <c r="M248" i="213" s="1"/>
  <c r="H241" i="213"/>
  <c r="M241" i="213" s="1"/>
  <c r="H243" i="213"/>
  <c r="M243" i="213" s="1"/>
  <c r="H244" i="213"/>
  <c r="M244" i="213" s="1"/>
  <c r="L65" i="171"/>
  <c r="L37" i="171"/>
  <c r="L36" i="171"/>
  <c r="L50" i="171"/>
  <c r="L49" i="171"/>
  <c r="H202" i="213" l="1"/>
  <c r="M199" i="213"/>
  <c r="H256" i="209"/>
  <c r="M256" i="209" s="1"/>
  <c r="H254" i="209"/>
  <c r="M254" i="209" s="1"/>
  <c r="H252" i="209"/>
  <c r="M252" i="209" s="1"/>
  <c r="H250" i="209"/>
  <c r="M250" i="209" s="1"/>
  <c r="H246" i="209"/>
  <c r="M246" i="209" s="1"/>
  <c r="H240" i="209"/>
  <c r="M240" i="209" s="1"/>
  <c r="H238" i="209"/>
  <c r="M238" i="209" s="1"/>
  <c r="H235" i="209"/>
  <c r="M235" i="209" s="1"/>
  <c r="H251" i="209"/>
  <c r="M251" i="209" s="1"/>
  <c r="H239" i="209"/>
  <c r="M239" i="209" s="1"/>
  <c r="G259" i="237"/>
  <c r="G253" i="237"/>
  <c r="G251" i="237"/>
  <c r="G249" i="237"/>
  <c r="G246" i="237"/>
  <c r="G239" i="237"/>
  <c r="G237" i="237"/>
  <c r="G234" i="237"/>
  <c r="H248" i="209"/>
  <c r="M248" i="209" s="1"/>
  <c r="H255" i="209"/>
  <c r="M255" i="209" s="1"/>
  <c r="G254" i="237"/>
  <c r="G252" i="237"/>
  <c r="G250" i="237"/>
  <c r="G248" i="237"/>
  <c r="G244" i="237"/>
  <c r="G238" i="237"/>
  <c r="G236" i="237"/>
  <c r="G233" i="237"/>
  <c r="H261" i="209"/>
  <c r="M261" i="209" s="1"/>
  <c r="H253" i="209"/>
  <c r="M253" i="209" s="1"/>
  <c r="H241" i="209"/>
  <c r="M241" i="209" s="1"/>
  <c r="H236" i="209"/>
  <c r="M236" i="209" s="1"/>
  <c r="M239" i="213"/>
  <c r="H260" i="213"/>
  <c r="H238" i="213"/>
  <c r="M260" i="213"/>
  <c r="M238" i="213"/>
  <c r="H239" i="213"/>
  <c r="F254" i="237"/>
  <c r="F252" i="237"/>
  <c r="F250" i="237"/>
  <c r="F248" i="237"/>
  <c r="F244" i="237"/>
  <c r="F238" i="237"/>
  <c r="F236" i="237"/>
  <c r="F233" i="237"/>
  <c r="G256" i="209"/>
  <c r="L256" i="209" s="1"/>
  <c r="G254" i="209"/>
  <c r="L254" i="209" s="1"/>
  <c r="G252" i="209"/>
  <c r="L252" i="209" s="1"/>
  <c r="G250" i="209"/>
  <c r="L250" i="209" s="1"/>
  <c r="G246" i="209"/>
  <c r="L246" i="209" s="1"/>
  <c r="G240" i="209"/>
  <c r="L240" i="209" s="1"/>
  <c r="G238" i="209"/>
  <c r="L238" i="209" s="1"/>
  <c r="G235" i="209"/>
  <c r="L235" i="209" s="1"/>
  <c r="F259" i="237"/>
  <c r="F253" i="237"/>
  <c r="F251" i="237"/>
  <c r="F249" i="237"/>
  <c r="F246" i="237"/>
  <c r="F239" i="237"/>
  <c r="F237" i="237"/>
  <c r="F234" i="237"/>
  <c r="G261" i="209"/>
  <c r="L261" i="209" s="1"/>
  <c r="G255" i="209"/>
  <c r="L255" i="209" s="1"/>
  <c r="G253" i="209"/>
  <c r="L253" i="209" s="1"/>
  <c r="G251" i="209"/>
  <c r="L251" i="209" s="1"/>
  <c r="G248" i="209"/>
  <c r="L248" i="209" s="1"/>
  <c r="G241" i="209"/>
  <c r="L241" i="209" s="1"/>
  <c r="G239" i="209"/>
  <c r="L239" i="209" s="1"/>
  <c r="G236" i="209"/>
  <c r="L236" i="209" s="1"/>
  <c r="L260" i="213"/>
  <c r="L239" i="213"/>
  <c r="G260" i="213"/>
  <c r="G238" i="213"/>
  <c r="L238" i="213"/>
  <c r="G239" i="213"/>
  <c r="M187" i="236"/>
  <c r="H194" i="236"/>
  <c r="M194" i="236" s="1"/>
  <c r="M202" i="213" l="1"/>
  <c r="H204" i="213"/>
  <c r="F94" i="237"/>
  <c r="G94" i="237"/>
  <c r="F95" i="237"/>
  <c r="G95" i="237"/>
  <c r="F96" i="237"/>
  <c r="G96" i="237"/>
  <c r="F97" i="237"/>
  <c r="G97" i="237"/>
  <c r="F98" i="237"/>
  <c r="G98" i="237"/>
  <c r="E264" i="209"/>
  <c r="L96" i="209"/>
  <c r="M96" i="209"/>
  <c r="L97" i="209"/>
  <c r="M97" i="209"/>
  <c r="L98" i="209"/>
  <c r="M98" i="209"/>
  <c r="L99" i="209"/>
  <c r="M99" i="209"/>
  <c r="L100" i="209"/>
  <c r="M100" i="209"/>
  <c r="L101" i="209"/>
  <c r="M101" i="209"/>
  <c r="L102" i="209"/>
  <c r="M102" i="209"/>
  <c r="G96" i="209"/>
  <c r="H96" i="209"/>
  <c r="G97" i="209"/>
  <c r="H97" i="209"/>
  <c r="G98" i="209"/>
  <c r="H98" i="209"/>
  <c r="G99" i="209"/>
  <c r="H99" i="209"/>
  <c r="G100" i="209"/>
  <c r="H100" i="209"/>
  <c r="G188" i="236"/>
  <c r="H188" i="236"/>
  <c r="M188" i="236" s="1"/>
  <c r="G191" i="236"/>
  <c r="L191" i="236" s="1"/>
  <c r="H191" i="236"/>
  <c r="M191" i="236" s="1"/>
  <c r="G192" i="236"/>
  <c r="L192" i="236" s="1"/>
  <c r="H192" i="236"/>
  <c r="G193" i="236"/>
  <c r="L193" i="236" s="1"/>
  <c r="H193" i="236"/>
  <c r="M193" i="236" s="1"/>
  <c r="G196" i="236"/>
  <c r="L196" i="236" s="1"/>
  <c r="H196" i="236"/>
  <c r="M196" i="236" s="1"/>
  <c r="G197" i="236"/>
  <c r="L197" i="236" s="1"/>
  <c r="H197" i="236"/>
  <c r="M197" i="236" s="1"/>
  <c r="G198" i="236"/>
  <c r="L198" i="236" s="1"/>
  <c r="H198" i="236"/>
  <c r="M198" i="236" s="1"/>
  <c r="G200" i="236"/>
  <c r="L200" i="236" s="1"/>
  <c r="H200" i="236"/>
  <c r="M200" i="236" s="1"/>
  <c r="G201" i="236"/>
  <c r="L201" i="236" s="1"/>
  <c r="H201" i="236"/>
  <c r="M201" i="236" s="1"/>
  <c r="G159" i="236"/>
  <c r="L159" i="236" s="1"/>
  <c r="G160" i="236"/>
  <c r="L160" i="236" s="1"/>
  <c r="G161" i="236"/>
  <c r="L161" i="236" s="1"/>
  <c r="G162" i="236"/>
  <c r="L162" i="236" s="1"/>
  <c r="G163" i="236"/>
  <c r="L163" i="236" s="1"/>
  <c r="L106" i="236"/>
  <c r="M106" i="236"/>
  <c r="L107" i="236"/>
  <c r="M107" i="236"/>
  <c r="L108" i="236"/>
  <c r="M108" i="236"/>
  <c r="L109" i="236"/>
  <c r="M109" i="236"/>
  <c r="L110" i="236"/>
  <c r="M110" i="236"/>
  <c r="L111" i="236"/>
  <c r="M111" i="236"/>
  <c r="G106" i="236"/>
  <c r="H106" i="236"/>
  <c r="G107" i="236"/>
  <c r="H107" i="236"/>
  <c r="G108" i="236"/>
  <c r="H108" i="236"/>
  <c r="G109" i="236"/>
  <c r="H109" i="236"/>
  <c r="G110" i="236"/>
  <c r="H110" i="236"/>
  <c r="M221" i="213" l="1"/>
  <c r="H217" i="213"/>
  <c r="M217" i="213" s="1"/>
  <c r="H220" i="213"/>
  <c r="M220" i="213" s="1"/>
  <c r="H215" i="213"/>
  <c r="M215" i="213" s="1"/>
  <c r="H216" i="213"/>
  <c r="M216" i="213" s="1"/>
  <c r="M223" i="213"/>
  <c r="H219" i="213"/>
  <c r="M219" i="213" s="1"/>
  <c r="M222" i="213"/>
  <c r="M204" i="213"/>
  <c r="M192" i="236"/>
  <c r="L188" i="236"/>
  <c r="N96" i="209"/>
  <c r="E262" i="213"/>
  <c r="E225" i="213"/>
  <c r="E225" i="207" l="1"/>
  <c r="G159" i="213"/>
  <c r="L159" i="213" s="1"/>
  <c r="G160" i="213"/>
  <c r="L160" i="213" s="1"/>
  <c r="G161" i="213"/>
  <c r="L161" i="213" s="1"/>
  <c r="G162" i="213"/>
  <c r="L162" i="213" s="1"/>
  <c r="G163" i="213"/>
  <c r="L163" i="213" s="1"/>
  <c r="G164" i="213"/>
  <c r="L164" i="213" s="1"/>
  <c r="G165" i="213"/>
  <c r="L165" i="213" s="1"/>
  <c r="G166" i="213"/>
  <c r="L166" i="213" s="1"/>
  <c r="G167" i="213"/>
  <c r="L167" i="213" s="1"/>
  <c r="G168" i="213"/>
  <c r="L168" i="213" s="1"/>
  <c r="G169" i="213"/>
  <c r="L169" i="213" s="1"/>
  <c r="L96" i="213"/>
  <c r="M96" i="213"/>
  <c r="L97" i="213"/>
  <c r="M97" i="213"/>
  <c r="L98" i="213"/>
  <c r="M98" i="213"/>
  <c r="L99" i="213"/>
  <c r="M99" i="213"/>
  <c r="L100" i="213"/>
  <c r="M100" i="213"/>
  <c r="L101" i="213"/>
  <c r="M101" i="213"/>
  <c r="L102" i="213"/>
  <c r="M102" i="213"/>
  <c r="L103" i="213"/>
  <c r="M103" i="213"/>
  <c r="L104" i="213"/>
  <c r="M104" i="213"/>
  <c r="L105" i="213"/>
  <c r="M105" i="213"/>
  <c r="L106" i="213"/>
  <c r="M106" i="213"/>
  <c r="L107" i="213"/>
  <c r="M107" i="213"/>
  <c r="L108" i="213"/>
  <c r="M108" i="213"/>
  <c r="L109" i="213"/>
  <c r="M109" i="213"/>
  <c r="L110" i="213"/>
  <c r="M110" i="213"/>
  <c r="L111" i="213"/>
  <c r="M111" i="213"/>
  <c r="L112" i="213"/>
  <c r="M112" i="213"/>
  <c r="G96" i="213"/>
  <c r="H96" i="213"/>
  <c r="G97" i="213"/>
  <c r="H97" i="213"/>
  <c r="G98" i="213"/>
  <c r="H98" i="213"/>
  <c r="G99" i="213"/>
  <c r="H99" i="213"/>
  <c r="G100" i="213"/>
  <c r="H100" i="213"/>
  <c r="G101" i="213"/>
  <c r="H101" i="213"/>
  <c r="G102" i="213"/>
  <c r="H102" i="213"/>
  <c r="G103" i="213"/>
  <c r="H103" i="213"/>
  <c r="G104" i="213"/>
  <c r="H104" i="213"/>
  <c r="G105" i="213"/>
  <c r="H105" i="213"/>
  <c r="G106" i="213"/>
  <c r="H106" i="213"/>
  <c r="G107" i="213"/>
  <c r="H107" i="213"/>
  <c r="G108" i="213"/>
  <c r="H108" i="213"/>
  <c r="G109" i="213"/>
  <c r="H109" i="213"/>
  <c r="E262" i="207"/>
  <c r="G159" i="207"/>
  <c r="G160" i="207"/>
  <c r="L160" i="207" s="1"/>
  <c r="G161" i="207"/>
  <c r="L161" i="207" s="1"/>
  <c r="G162" i="207"/>
  <c r="L162" i="207" s="1"/>
  <c r="G163" i="207"/>
  <c r="L163" i="207" s="1"/>
  <c r="G164" i="207"/>
  <c r="L164" i="207" s="1"/>
  <c r="G165" i="207"/>
  <c r="L165" i="207" s="1"/>
  <c r="G166" i="207"/>
  <c r="L166" i="207" s="1"/>
  <c r="G167" i="207"/>
  <c r="L167" i="207" s="1"/>
  <c r="G168" i="207"/>
  <c r="G169" i="207"/>
  <c r="L169" i="207" s="1"/>
  <c r="G170" i="207"/>
  <c r="L170" i="207" s="1"/>
  <c r="G171" i="207"/>
  <c r="L171" i="207" s="1"/>
  <c r="G172" i="207"/>
  <c r="G173" i="207"/>
  <c r="G174" i="207"/>
  <c r="G175" i="207"/>
  <c r="L95" i="207"/>
  <c r="M95" i="207"/>
  <c r="L96" i="207"/>
  <c r="M96" i="207"/>
  <c r="L97" i="207"/>
  <c r="M97" i="207"/>
  <c r="L98" i="207"/>
  <c r="M98" i="207"/>
  <c r="L99" i="207"/>
  <c r="M99" i="207"/>
  <c r="L100" i="207"/>
  <c r="M100" i="207"/>
  <c r="L101" i="207"/>
  <c r="M101" i="207"/>
  <c r="L102" i="207"/>
  <c r="M102" i="207"/>
  <c r="L103" i="207"/>
  <c r="M103" i="207"/>
  <c r="L104" i="207"/>
  <c r="M104" i="207"/>
  <c r="L105" i="207"/>
  <c r="M105" i="207"/>
  <c r="L106" i="207"/>
  <c r="M106" i="207"/>
  <c r="L107" i="207"/>
  <c r="M107" i="207"/>
  <c r="L108" i="207"/>
  <c r="M108" i="207"/>
  <c r="L109" i="207"/>
  <c r="M109" i="207"/>
  <c r="L110" i="207"/>
  <c r="M110" i="207"/>
  <c r="L111" i="207"/>
  <c r="M111" i="207"/>
  <c r="L112" i="207"/>
  <c r="M112" i="207"/>
  <c r="L113" i="207"/>
  <c r="M113" i="207"/>
  <c r="H95" i="207"/>
  <c r="H96" i="207"/>
  <c r="H97" i="207"/>
  <c r="H98" i="207"/>
  <c r="H99" i="207"/>
  <c r="H100" i="207"/>
  <c r="H101" i="207"/>
  <c r="H102" i="207"/>
  <c r="H103" i="207"/>
  <c r="H104" i="207"/>
  <c r="H105" i="207"/>
  <c r="H106" i="207"/>
  <c r="H107" i="207"/>
  <c r="H108" i="207"/>
  <c r="H109" i="207"/>
  <c r="H110" i="207"/>
  <c r="H111" i="207"/>
  <c r="G96" i="207"/>
  <c r="G97" i="207"/>
  <c r="G98" i="207"/>
  <c r="G99" i="207"/>
  <c r="G100" i="207"/>
  <c r="G101" i="207"/>
  <c r="G102" i="207"/>
  <c r="G103" i="207"/>
  <c r="G104" i="207"/>
  <c r="G105" i="207"/>
  <c r="G106" i="207"/>
  <c r="G107" i="207"/>
  <c r="G108" i="207"/>
  <c r="G109" i="207"/>
  <c r="G110" i="207"/>
  <c r="G111" i="207"/>
  <c r="G112" i="207"/>
  <c r="L168" i="207" l="1"/>
  <c r="L159" i="207"/>
  <c r="K26" i="95" l="1"/>
  <c r="I82" i="232" l="1"/>
  <c r="L51" i="232"/>
  <c r="G23" i="4" l="1"/>
  <c r="K23" i="4" l="1"/>
  <c r="G25" i="4" l="1"/>
  <c r="H43" i="10" s="1"/>
  <c r="O31" i="238" l="1"/>
  <c r="L19" i="34" l="1"/>
  <c r="L18" i="34"/>
  <c r="L23" i="34" l="1"/>
  <c r="L25" i="34"/>
  <c r="L94" i="222"/>
  <c r="H94" i="222"/>
  <c r="O94" i="222"/>
  <c r="K94" i="222"/>
  <c r="G94" i="222"/>
  <c r="N94" i="222"/>
  <c r="J94" i="222"/>
  <c r="F94" i="222"/>
  <c r="M94" i="222"/>
  <c r="I94" i="222"/>
  <c r="E94" i="222"/>
  <c r="S26" i="39" l="1"/>
  <c r="S27" i="39"/>
  <c r="S28" i="39"/>
  <c r="S25" i="39"/>
  <c r="L115" i="209" l="1"/>
  <c r="M115" i="209"/>
  <c r="L116" i="209"/>
  <c r="M116" i="209"/>
  <c r="G115" i="209"/>
  <c r="H115" i="209"/>
  <c r="L115" i="236"/>
  <c r="M115" i="236"/>
  <c r="H115" i="236"/>
  <c r="G115" i="236"/>
  <c r="P123" i="222" l="1"/>
  <c r="G16" i="238"/>
  <c r="H16" i="238"/>
  <c r="I16" i="238"/>
  <c r="J16" i="238"/>
  <c r="K16" i="238"/>
  <c r="F16" i="238"/>
  <c r="C59" i="238" l="1"/>
  <c r="D59" i="238" s="1"/>
  <c r="E59" i="238" s="1"/>
  <c r="F59" i="238" s="1"/>
  <c r="G59" i="238" s="1"/>
  <c r="H59" i="238" s="1"/>
  <c r="I59" i="238" s="1"/>
  <c r="J59" i="238" s="1"/>
  <c r="K59" i="238" s="1"/>
  <c r="L59" i="238" s="1"/>
  <c r="M59" i="238" s="1"/>
  <c r="N59" i="238" s="1"/>
  <c r="L16" i="238"/>
  <c r="C16" i="238"/>
  <c r="D16" i="238"/>
  <c r="E16" i="238"/>
  <c r="P13" i="192" l="1"/>
  <c r="P13" i="190"/>
  <c r="P12" i="192" l="1"/>
  <c r="P12" i="190"/>
  <c r="P28" i="44" l="1"/>
  <c r="A13" i="228" l="1"/>
  <c r="A14" i="228" s="1"/>
  <c r="A15" i="228" s="1"/>
  <c r="A16" i="228" s="1"/>
  <c r="A17" i="228" s="1"/>
  <c r="A18" i="228" s="1"/>
  <c r="A19" i="228" s="1"/>
  <c r="A20" i="228" s="1"/>
  <c r="A21" i="228" s="1"/>
  <c r="A22" i="228" s="1"/>
  <c r="A23" i="228" s="1"/>
  <c r="A28" i="228" s="1"/>
  <c r="A29" i="228" s="1"/>
  <c r="A30" i="228" s="1"/>
  <c r="A31" i="228" s="1"/>
  <c r="A32" i="228" s="1"/>
  <c r="A33" i="228" s="1"/>
  <c r="A34" i="228" s="1"/>
  <c r="A35" i="228" s="1"/>
  <c r="A36" i="228" s="1"/>
  <c r="A37" i="228" s="1"/>
  <c r="A38" i="228" s="1"/>
  <c r="A39" i="228" s="1"/>
  <c r="A40" i="228" s="1"/>
  <c r="A41" i="228" s="1"/>
  <c r="A42" i="228" s="1"/>
  <c r="A43" i="228" s="1"/>
  <c r="A44" i="228" s="1"/>
  <c r="A45" i="228" s="1"/>
  <c r="A46" i="228" s="1"/>
  <c r="A47" i="228" s="1"/>
  <c r="A48" i="228" s="1"/>
  <c r="A49" i="228" s="1"/>
  <c r="A50" i="228" s="1"/>
  <c r="A51" i="228" s="1"/>
  <c r="A52" i="228" s="1"/>
  <c r="A53" i="228" s="1"/>
  <c r="A54" i="228" s="1"/>
  <c r="A55" i="228" s="1"/>
  <c r="A56" i="228" s="1"/>
  <c r="A57" i="228" s="1"/>
  <c r="A58" i="228" s="1"/>
  <c r="A59" i="228" s="1"/>
  <c r="A60" i="228" s="1"/>
  <c r="A61" i="228" s="1"/>
  <c r="A62" i="228" s="1"/>
  <c r="A63" i="228" s="1"/>
  <c r="D29" i="45" l="1"/>
  <c r="K25" i="39"/>
  <c r="K26" i="39"/>
  <c r="K27" i="39"/>
  <c r="K28" i="39"/>
  <c r="J37" i="42"/>
  <c r="O12" i="41"/>
  <c r="M12" i="41"/>
  <c r="L37" i="42" l="1"/>
  <c r="J38" i="42"/>
  <c r="K15" i="44"/>
  <c r="L15" i="44" s="1"/>
  <c r="M15" i="44" s="1"/>
  <c r="N15" i="44" s="1"/>
  <c r="O15" i="44" s="1"/>
  <c r="A15" i="192"/>
  <c r="A16" i="192" s="1"/>
  <c r="A17" i="192" s="1"/>
  <c r="A18" i="192" s="1"/>
  <c r="A19" i="192" s="1"/>
  <c r="A20" i="192" s="1"/>
  <c r="A21" i="192" s="1"/>
  <c r="A22" i="192" s="1"/>
  <c r="A23" i="192" s="1"/>
  <c r="A24" i="192" s="1"/>
  <c r="A25" i="192" s="1"/>
  <c r="A26" i="192" s="1"/>
  <c r="A27" i="192" s="1"/>
  <c r="A28" i="192" s="1"/>
  <c r="D44" i="190"/>
  <c r="D60" i="190" s="1"/>
  <c r="E44" i="190"/>
  <c r="E60" i="190" s="1"/>
  <c r="F44" i="190"/>
  <c r="F60" i="190" s="1"/>
  <c r="G44" i="190"/>
  <c r="G60" i="190" s="1"/>
  <c r="H44" i="190"/>
  <c r="H60" i="190" s="1"/>
  <c r="I44" i="190"/>
  <c r="I60" i="190" s="1"/>
  <c r="E32" i="193"/>
  <c r="F32" i="193"/>
  <c r="G32" i="193"/>
  <c r="H32" i="193"/>
  <c r="I32" i="193"/>
  <c r="D32" i="193"/>
  <c r="A29" i="192" l="1"/>
  <c r="A30" i="192" s="1"/>
  <c r="A31" i="192" s="1"/>
  <c r="A32" i="192" s="1"/>
  <c r="A33" i="192" s="1"/>
  <c r="N37" i="42"/>
  <c r="N38" i="42" s="1"/>
  <c r="L38" i="42"/>
  <c r="P15" i="192"/>
  <c r="A34" i="192" l="1"/>
  <c r="A35" i="192" s="1"/>
  <c r="A36" i="192" s="1"/>
  <c r="O37" i="42"/>
  <c r="P14" i="192"/>
  <c r="A37" i="192" l="1"/>
  <c r="A38" i="192" s="1"/>
  <c r="A39" i="192" s="1"/>
  <c r="P37" i="42"/>
  <c r="P38" i="42" s="1"/>
  <c r="O38" i="42"/>
  <c r="P18" i="42"/>
  <c r="O18" i="42"/>
  <c r="A40" i="192" l="1"/>
  <c r="A41" i="192" s="1"/>
  <c r="A42" i="192" s="1"/>
  <c r="A43" i="192" s="1"/>
  <c r="A44" i="192" s="1"/>
  <c r="A45" i="192" s="1"/>
  <c r="A46" i="192" s="1"/>
  <c r="P28" i="222"/>
  <c r="D25" i="79" s="1"/>
  <c r="A47" i="192" l="1"/>
  <c r="A48" i="192" s="1"/>
  <c r="A49" i="192" s="1"/>
  <c r="A50" i="192" s="1"/>
  <c r="A51" i="192" s="1"/>
  <c r="A52" i="192" s="1"/>
  <c r="A53" i="192" s="1"/>
  <c r="A54" i="192" s="1"/>
  <c r="A55" i="192" s="1"/>
  <c r="A56" i="192" s="1"/>
  <c r="A57" i="192" s="1"/>
  <c r="A58" i="192" s="1"/>
  <c r="A59" i="192" s="1"/>
  <c r="A60" i="192" s="1"/>
  <c r="A61" i="192" s="1"/>
  <c r="A62" i="192" s="1"/>
  <c r="A63" i="192" s="1"/>
  <c r="A64" i="192" s="1"/>
  <c r="A65" i="192" s="1"/>
  <c r="A17" i="250"/>
  <c r="A19" i="250" s="1"/>
  <c r="A21" i="250" s="1"/>
  <c r="A23" i="250" s="1"/>
  <c r="A27" i="250" s="1"/>
  <c r="A28" i="250" s="1"/>
  <c r="A30" i="250" s="1"/>
  <c r="A31" i="250" s="1"/>
  <c r="A33" i="250" s="1"/>
  <c r="A34" i="250" s="1"/>
  <c r="A36" i="250" s="1"/>
  <c r="A37" i="250" s="1"/>
  <c r="A39" i="250" s="1"/>
  <c r="F21" i="250"/>
  <c r="F8" i="250"/>
  <c r="A2" i="250"/>
  <c r="A1" i="250"/>
  <c r="A17" i="99" l="1"/>
  <c r="A18" i="99" s="1"/>
  <c r="A19" i="99" s="1"/>
  <c r="A27" i="99" s="1"/>
  <c r="A28" i="99" s="1"/>
  <c r="A29" i="99" s="1"/>
  <c r="A30" i="99" s="1"/>
  <c r="A31" i="99" s="1"/>
  <c r="A32" i="99" s="1"/>
  <c r="A33" i="99" s="1"/>
  <c r="A34" i="99" s="1"/>
  <c r="A35" i="99" s="1"/>
  <c r="A36" i="99" s="1"/>
  <c r="A37" i="99" s="1"/>
  <c r="I31" i="99"/>
  <c r="G16" i="99"/>
  <c r="E16" i="99"/>
  <c r="C16" i="99"/>
  <c r="A17" i="8"/>
  <c r="J18" i="98"/>
  <c r="E29" i="99" l="1"/>
  <c r="E37" i="99" s="1"/>
  <c r="P19" i="202" s="1"/>
  <c r="A18" i="8"/>
  <c r="A19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C33" i="238" l="1"/>
  <c r="D33" i="238" s="1"/>
  <c r="E33" i="238" s="1"/>
  <c r="F33" i="238" s="1"/>
  <c r="G33" i="238" s="1"/>
  <c r="H33" i="238" s="1"/>
  <c r="I33" i="238" s="1"/>
  <c r="J33" i="238" s="1"/>
  <c r="K33" i="238" s="1"/>
  <c r="L33" i="238" s="1"/>
  <c r="M33" i="238" s="1"/>
  <c r="N33" i="238" s="1"/>
  <c r="C32" i="238"/>
  <c r="D32" i="238" s="1"/>
  <c r="E32" i="238" s="1"/>
  <c r="F32" i="238" s="1"/>
  <c r="G32" i="238" s="1"/>
  <c r="H32" i="238" s="1"/>
  <c r="I32" i="238" s="1"/>
  <c r="J32" i="238" s="1"/>
  <c r="K32" i="238" s="1"/>
  <c r="L32" i="238" s="1"/>
  <c r="M32" i="238" s="1"/>
  <c r="N32" i="238" s="1"/>
  <c r="G39" i="103" l="1"/>
  <c r="G32" i="103"/>
  <c r="G25" i="103"/>
  <c r="G18" i="103"/>
  <c r="A16" i="10" l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I128" i="10"/>
  <c r="I124" i="10"/>
  <c r="I98" i="10"/>
  <c r="I55" i="10"/>
  <c r="I58" i="10" s="1"/>
  <c r="I60" i="10" s="1"/>
  <c r="I62" i="10" s="1"/>
  <c r="I45" i="10"/>
  <c r="I31" i="10"/>
  <c r="I25" i="10"/>
  <c r="I27" i="10" s="1"/>
  <c r="K33" i="39"/>
  <c r="K34" i="39"/>
  <c r="K35" i="39"/>
  <c r="K36" i="39"/>
  <c r="S30" i="39"/>
  <c r="S33" i="39"/>
  <c r="S34" i="39"/>
  <c r="S35" i="39"/>
  <c r="S36" i="39"/>
  <c r="S22" i="39"/>
  <c r="S9" i="39"/>
  <c r="K30" i="39"/>
  <c r="K22" i="39"/>
  <c r="K12" i="39"/>
  <c r="R12" i="41"/>
  <c r="S12" i="41"/>
  <c r="S12" i="39" s="1"/>
  <c r="S30" i="41"/>
  <c r="S33" i="41"/>
  <c r="S34" i="41"/>
  <c r="S35" i="41"/>
  <c r="S36" i="41"/>
  <c r="S22" i="41"/>
  <c r="K33" i="41"/>
  <c r="K34" i="41"/>
  <c r="K35" i="41"/>
  <c r="K36" i="41"/>
  <c r="K30" i="41"/>
  <c r="K22" i="41"/>
  <c r="G12" i="41"/>
  <c r="I12" i="41"/>
  <c r="J12" i="41"/>
  <c r="K12" i="41"/>
  <c r="H12" i="41"/>
  <c r="H29" i="42"/>
  <c r="H19" i="42"/>
  <c r="H22" i="42" s="1"/>
  <c r="I33" i="10" l="1"/>
  <c r="I66" i="10"/>
  <c r="I64" i="10"/>
  <c r="O22" i="42"/>
  <c r="H31" i="42"/>
  <c r="H42" i="42" l="1"/>
  <c r="H45" i="42" s="1"/>
  <c r="L9" i="5"/>
  <c r="D45" i="233" l="1"/>
  <c r="E45" i="233" l="1"/>
  <c r="C25" i="216" l="1"/>
  <c r="C20" i="216"/>
  <c r="C15" i="216"/>
  <c r="E19" i="250" l="1"/>
  <c r="E33" i="250" l="1"/>
  <c r="E34" i="250" s="1"/>
  <c r="F34" i="250" s="1"/>
  <c r="P22" i="44" l="1"/>
  <c r="D20" i="45" l="1"/>
  <c r="F42" i="190" l="1"/>
  <c r="A15" i="190" l="1"/>
  <c r="A16" i="190" s="1"/>
  <c r="A17" i="190" s="1"/>
  <c r="A18" i="190" s="1"/>
  <c r="A19" i="190" s="1"/>
  <c r="A20" i="190" s="1"/>
  <c r="A21" i="190" s="1"/>
  <c r="A25" i="190" s="1"/>
  <c r="A26" i="190" s="1"/>
  <c r="A27" i="190" l="1"/>
  <c r="A28" i="190" s="1"/>
  <c r="A29" i="190" s="1"/>
  <c r="A30" i="190" s="1"/>
  <c r="A31" i="190" s="1"/>
  <c r="A32" i="190" s="1"/>
  <c r="A33" i="190" s="1"/>
  <c r="A34" i="190" s="1"/>
  <c r="A35" i="190" s="1"/>
  <c r="A36" i="190" s="1"/>
  <c r="A37" i="190" s="1"/>
  <c r="A38" i="190" s="1"/>
  <c r="A39" i="190" s="1"/>
  <c r="A40" i="190" s="1"/>
  <c r="A41" i="190" s="1"/>
  <c r="A42" i="190" s="1"/>
  <c r="A43" i="190" s="1"/>
  <c r="A44" i="190" s="1"/>
  <c r="A45" i="190" s="1"/>
  <c r="A46" i="190" s="1"/>
  <c r="Q22" i="241"/>
  <c r="G116" i="236" l="1"/>
  <c r="H116" i="236"/>
  <c r="L116" i="236"/>
  <c r="M116" i="236"/>
  <c r="P24" i="44" l="1"/>
  <c r="P21" i="44"/>
  <c r="P18" i="44"/>
  <c r="D19" i="45" l="1"/>
  <c r="D16" i="45"/>
  <c r="D22" i="45"/>
  <c r="L9" i="98"/>
  <c r="V10" i="202"/>
  <c r="S8" i="9"/>
  <c r="Q12" i="41" l="1"/>
  <c r="A2" i="84" l="1"/>
  <c r="A16" i="5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A36" i="51" s="1"/>
  <c r="A37" i="51" s="1"/>
  <c r="A38" i="51" s="1"/>
  <c r="A39" i="51" s="1"/>
  <c r="A40" i="51" s="1"/>
  <c r="A41" i="51" s="1"/>
  <c r="A42" i="51" s="1"/>
  <c r="A48" i="51" s="1"/>
  <c r="A49" i="51" s="1"/>
  <c r="A50" i="51" s="1"/>
  <c r="A51" i="51" s="1"/>
  <c r="A13" i="50" l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47" i="50" s="1"/>
  <c r="A48" i="50" s="1"/>
  <c r="A49" i="50" s="1"/>
  <c r="A50" i="50" s="1"/>
  <c r="A51" i="50" s="1"/>
  <c r="A52" i="50" s="1"/>
  <c r="A53" i="50" s="1"/>
  <c r="A54" i="50" s="1"/>
  <c r="A55" i="50" s="1"/>
  <c r="A56" i="50" s="1"/>
  <c r="A57" i="50" s="1"/>
  <c r="A58" i="50" s="1"/>
  <c r="A59" i="50" s="1"/>
  <c r="A60" i="50" s="1"/>
  <c r="A61" i="50" s="1"/>
  <c r="A62" i="50" s="1"/>
  <c r="A63" i="50" s="1"/>
  <c r="A64" i="50" s="1"/>
  <c r="A65" i="50" s="1"/>
  <c r="A66" i="50" s="1"/>
  <c r="A67" i="50" s="1"/>
  <c r="A68" i="50" s="1"/>
  <c r="A69" i="50" s="1"/>
  <c r="A70" i="50" s="1"/>
  <c r="A71" i="50" s="1"/>
  <c r="A72" i="50" s="1"/>
  <c r="M9" i="95" l="1"/>
  <c r="N18" i="42" l="1"/>
  <c r="F19" i="243" l="1"/>
  <c r="F30" i="231"/>
  <c r="E20" i="30"/>
  <c r="F39" i="231"/>
  <c r="P39" i="231" s="1"/>
  <c r="E18" i="30"/>
  <c r="F22" i="243"/>
  <c r="E16" i="243"/>
  <c r="E22" i="231"/>
  <c r="F22" i="231"/>
  <c r="F16" i="243"/>
  <c r="E19" i="30"/>
  <c r="E19" i="243"/>
  <c r="E30" i="231"/>
  <c r="E14" i="212"/>
  <c r="E15" i="249" s="1"/>
  <c r="F15" i="249" s="1"/>
  <c r="E15" i="212"/>
  <c r="E17" i="212"/>
  <c r="E17" i="249" s="1"/>
  <c r="F17" i="249" s="1"/>
  <c r="F19" i="249" l="1"/>
  <c r="E13" i="252"/>
  <c r="F13" i="252" s="1"/>
  <c r="P30" i="231"/>
  <c r="P22" i="231"/>
  <c r="G116" i="209"/>
  <c r="H116" i="209"/>
  <c r="F9" i="249" l="1"/>
  <c r="A2" i="249"/>
  <c r="A1" i="249"/>
  <c r="F114" i="237" l="1"/>
  <c r="G114" i="237"/>
  <c r="A15" i="106" l="1"/>
  <c r="A16" i="106" s="1"/>
  <c r="A17" i="106" s="1"/>
  <c r="A18" i="106" s="1"/>
  <c r="A19" i="106" s="1"/>
  <c r="A20" i="106" s="1"/>
  <c r="A21" i="106" s="1"/>
  <c r="A22" i="106" s="1"/>
  <c r="A23" i="106" s="1"/>
  <c r="A24" i="106" s="1"/>
  <c r="A25" i="106" s="1"/>
  <c r="A26" i="106" s="1"/>
  <c r="A27" i="106" s="1"/>
  <c r="A28" i="106" s="1"/>
  <c r="A29" i="106" s="1"/>
  <c r="A30" i="106" s="1"/>
  <c r="A31" i="106" s="1"/>
  <c r="F34" i="107"/>
  <c r="F22" i="107"/>
  <c r="D18" i="102" l="1"/>
  <c r="I9" i="171" l="1"/>
  <c r="O45" i="10" l="1"/>
  <c r="R12" i="39" l="1"/>
  <c r="Q12" i="39"/>
  <c r="G12" i="39"/>
  <c r="H12" i="39"/>
  <c r="I12" i="39"/>
  <c r="J12" i="39"/>
  <c r="G25" i="39" l="1"/>
  <c r="H25" i="39"/>
  <c r="I25" i="39"/>
  <c r="G26" i="39"/>
  <c r="H26" i="39"/>
  <c r="I26" i="39"/>
  <c r="G27" i="39"/>
  <c r="H27" i="39"/>
  <c r="I27" i="39"/>
  <c r="G28" i="39"/>
  <c r="H28" i="39"/>
  <c r="I28" i="39"/>
  <c r="J28" i="39"/>
  <c r="J27" i="39"/>
  <c r="J26" i="39"/>
  <c r="J25" i="39"/>
  <c r="H17" i="102" l="1"/>
  <c r="A16" i="102"/>
  <c r="A17" i="102" s="1"/>
  <c r="A18" i="102" s="1"/>
  <c r="A19" i="102" s="1"/>
  <c r="A20" i="102" s="1"/>
  <c r="A21" i="102" s="1"/>
  <c r="A22" i="102" l="1"/>
  <c r="A23" i="102" l="1"/>
  <c r="A24" i="102" s="1"/>
  <c r="A25" i="102" s="1"/>
  <c r="A26" i="102" s="1"/>
  <c r="A27" i="102" s="1"/>
  <c r="A28" i="102" l="1"/>
  <c r="A29" i="102" s="1"/>
  <c r="A30" i="102" s="1"/>
  <c r="A31" i="102" s="1"/>
  <c r="A32" i="102" s="1"/>
  <c r="A33" i="102" s="1"/>
  <c r="A34" i="102" s="1"/>
  <c r="E10" i="192" l="1"/>
  <c r="D10" i="227" l="1"/>
  <c r="A52" i="51" l="1"/>
  <c r="A53" i="51" s="1"/>
  <c r="A54" i="51" s="1"/>
  <c r="A55" i="51" s="1"/>
  <c r="A56" i="51" s="1"/>
  <c r="A57" i="51" s="1"/>
  <c r="A58" i="51" s="1"/>
  <c r="A59" i="51" s="1"/>
  <c r="A60" i="51" s="1"/>
  <c r="A61" i="51" s="1"/>
  <c r="A62" i="51" s="1"/>
  <c r="A63" i="51" s="1"/>
  <c r="A64" i="51" l="1"/>
  <c r="A65" i="51" s="1"/>
  <c r="A66" i="51" s="1"/>
  <c r="A67" i="51" s="1"/>
  <c r="A68" i="51" s="1"/>
  <c r="A13" i="227"/>
  <c r="A14" i="227" s="1"/>
  <c r="A15" i="227" s="1"/>
  <c r="A16" i="227" s="1"/>
  <c r="A17" i="227" s="1"/>
  <c r="A18" i="227" s="1"/>
  <c r="A19" i="227" s="1"/>
  <c r="A20" i="227" s="1"/>
  <c r="A21" i="227" s="1"/>
  <c r="A22" i="227" s="1"/>
  <c r="A23" i="227" s="1"/>
  <c r="A24" i="227" s="1"/>
  <c r="A25" i="227" s="1"/>
  <c r="A26" i="227" s="1"/>
  <c r="A27" i="227" s="1"/>
  <c r="A28" i="227" s="1"/>
  <c r="A29" i="227" s="1"/>
  <c r="A30" i="227" s="1"/>
  <c r="A31" i="227" s="1"/>
  <c r="A32" i="227" s="1"/>
  <c r="A33" i="227" s="1"/>
  <c r="A34" i="227" s="1"/>
  <c r="A13" i="226"/>
  <c r="A14" i="226" s="1"/>
  <c r="A15" i="226" s="1"/>
  <c r="A16" i="226" s="1"/>
  <c r="A17" i="226" s="1"/>
  <c r="A18" i="226" s="1"/>
  <c r="A19" i="226" s="1"/>
  <c r="A20" i="226" s="1"/>
  <c r="A21" i="226" s="1"/>
  <c r="A22" i="226" s="1"/>
  <c r="A23" i="226" s="1"/>
  <c r="A24" i="226" s="1"/>
  <c r="A28" i="226" l="1"/>
  <c r="A29" i="226" s="1"/>
  <c r="A30" i="226" s="1"/>
  <c r="A31" i="226" s="1"/>
  <c r="A32" i="226" s="1"/>
  <c r="A33" i="226" s="1"/>
  <c r="A34" i="226" s="1"/>
  <c r="A35" i="226" s="1"/>
  <c r="A36" i="226" s="1"/>
  <c r="A37" i="226" s="1"/>
  <c r="A38" i="226" s="1"/>
  <c r="A39" i="226" s="1"/>
  <c r="A40" i="226" s="1"/>
  <c r="A41" i="226" s="1"/>
  <c r="A42" i="226" s="1"/>
  <c r="A43" i="226" s="1"/>
  <c r="A44" i="226" s="1"/>
  <c r="A69" i="51"/>
  <c r="A13" i="193"/>
  <c r="A14" i="193" s="1"/>
  <c r="A15" i="193" s="1"/>
  <c r="A16" i="193" s="1"/>
  <c r="A17" i="193" s="1"/>
  <c r="A18" i="193" s="1"/>
  <c r="A19" i="193" s="1"/>
  <c r="A20" i="193" s="1"/>
  <c r="A21" i="193" s="1"/>
  <c r="A22" i="193" s="1"/>
  <c r="A23" i="193" s="1"/>
  <c r="A24" i="193" s="1"/>
  <c r="A25" i="193" s="1"/>
  <c r="A26" i="193" s="1"/>
  <c r="A27" i="193" s="1"/>
  <c r="A28" i="193" s="1"/>
  <c r="A29" i="193" s="1"/>
  <c r="A30" i="193" s="1"/>
  <c r="A31" i="193" s="1"/>
  <c r="A32" i="193" s="1"/>
  <c r="A33" i="193" s="1"/>
  <c r="A34" i="193" s="1"/>
  <c r="A35" i="193" s="1"/>
  <c r="A70" i="51" l="1"/>
  <c r="A71" i="51" s="1"/>
  <c r="A72" i="51" s="1"/>
  <c r="A73" i="51" s="1"/>
  <c r="A74" i="51" s="1"/>
  <c r="A75" i="51" s="1"/>
  <c r="A76" i="51" s="1"/>
  <c r="A77" i="51" s="1"/>
  <c r="A78" i="51" s="1"/>
  <c r="A79" i="51" s="1"/>
  <c r="A80" i="51" s="1"/>
  <c r="A81" i="51" s="1"/>
  <c r="A82" i="51" s="1"/>
  <c r="A83" i="51" s="1"/>
  <c r="A84" i="51" s="1"/>
  <c r="A85" i="51" s="1"/>
  <c r="A86" i="51" s="1"/>
  <c r="A87" i="51" s="1"/>
  <c r="A88" i="51" s="1"/>
  <c r="A89" i="51" s="1"/>
  <c r="A90" i="51" s="1"/>
  <c r="A91" i="51" s="1"/>
  <c r="A92" i="51" s="1"/>
  <c r="A93" i="51" s="1"/>
  <c r="A99" i="51" s="1"/>
  <c r="A100" i="51" s="1"/>
  <c r="A101" i="51" s="1"/>
  <c r="A102" i="51" s="1"/>
  <c r="A103" i="51" s="1"/>
  <c r="A104" i="51" s="1"/>
  <c r="A105" i="51" s="1"/>
  <c r="A106" i="51" s="1"/>
  <c r="A107" i="51" s="1"/>
  <c r="A108" i="51" s="1"/>
  <c r="A109" i="51" s="1"/>
  <c r="A110" i="51" s="1"/>
  <c r="A111" i="51" s="1"/>
  <c r="A112" i="51" s="1"/>
  <c r="A113" i="51" s="1"/>
  <c r="A114" i="51" s="1"/>
  <c r="A115" i="51" s="1"/>
  <c r="A116" i="51" s="1"/>
  <c r="A117" i="51" s="1"/>
  <c r="A118" i="51" s="1"/>
  <c r="A119" i="51" s="1"/>
  <c r="A120" i="51" s="1"/>
  <c r="A121" i="51" s="1"/>
  <c r="A122" i="51" s="1"/>
  <c r="A123" i="51" s="1"/>
  <c r="A124" i="51" s="1"/>
  <c r="A125" i="51" s="1"/>
  <c r="A126" i="51" s="1"/>
  <c r="A127" i="51" s="1"/>
  <c r="A128" i="51" s="1"/>
  <c r="A129" i="51" s="1"/>
  <c r="A130" i="51" s="1"/>
  <c r="A131" i="51" s="1"/>
  <c r="A132" i="51" s="1"/>
  <c r="A134" i="51" s="1"/>
  <c r="J9" i="171" l="1"/>
  <c r="A13" i="171"/>
  <c r="A14" i="171" s="1"/>
  <c r="A15" i="171" s="1"/>
  <c r="A16" i="171" s="1"/>
  <c r="A14" i="238"/>
  <c r="A15" i="238" s="1"/>
  <c r="A16" i="238" s="1"/>
  <c r="A17" i="238" s="1"/>
  <c r="A18" i="238" s="1"/>
  <c r="A19" i="238" s="1"/>
  <c r="A20" i="238" s="1"/>
  <c r="A17" i="171" l="1"/>
  <c r="A18" i="171" s="1"/>
  <c r="A19" i="171" s="1"/>
  <c r="A20" i="171" s="1"/>
  <c r="A21" i="171" s="1"/>
  <c r="A22" i="171" s="1"/>
  <c r="A23" i="171" s="1"/>
  <c r="A24" i="171" s="1"/>
  <c r="A25" i="171" s="1"/>
  <c r="A26" i="171" s="1"/>
  <c r="A27" i="171" s="1"/>
  <c r="A28" i="171" s="1"/>
  <c r="A29" i="171" s="1"/>
  <c r="A30" i="171" s="1"/>
  <c r="A31" i="171" s="1"/>
  <c r="A32" i="171" s="1"/>
  <c r="A33" i="171" s="1"/>
  <c r="A34" i="171" s="1"/>
  <c r="A35" i="171" s="1"/>
  <c r="A36" i="171" s="1"/>
  <c r="A37" i="171" s="1"/>
  <c r="A38" i="171" s="1"/>
  <c r="A39" i="171" s="1"/>
  <c r="A40" i="171" s="1"/>
  <c r="A41" i="171" s="1"/>
  <c r="A42" i="171" s="1"/>
  <c r="A43" i="171" s="1"/>
  <c r="A44" i="171" s="1"/>
  <c r="A21" i="238"/>
  <c r="A22" i="238" s="1"/>
  <c r="A23" i="238" s="1"/>
  <c r="A24" i="238" s="1"/>
  <c r="A25" i="238" s="1"/>
  <c r="A26" i="238" s="1"/>
  <c r="A27" i="238" s="1"/>
  <c r="A28" i="238" s="1"/>
  <c r="A29" i="238" s="1"/>
  <c r="A30" i="238" s="1"/>
  <c r="A31" i="238" s="1"/>
  <c r="A32" i="238" s="1"/>
  <c r="A33" i="238" s="1"/>
  <c r="A34" i="238" l="1"/>
  <c r="A35" i="238" s="1"/>
  <c r="A36" i="238" s="1"/>
  <c r="A37" i="238" s="1"/>
  <c r="A38" i="238" s="1"/>
  <c r="A39" i="238" s="1"/>
  <c r="A40" i="238" s="1"/>
  <c r="A41" i="238" s="1"/>
  <c r="A42" i="238" s="1"/>
  <c r="A43" i="238" s="1"/>
  <c r="A44" i="238" s="1"/>
  <c r="A45" i="238" s="1"/>
  <c r="A46" i="238" s="1"/>
  <c r="A47" i="238" s="1"/>
  <c r="A48" i="238" s="1"/>
  <c r="A49" i="238" s="1"/>
  <c r="A50" i="238" s="1"/>
  <c r="A51" i="238" s="1"/>
  <c r="A52" i="238" s="1"/>
  <c r="A53" i="238" s="1"/>
  <c r="A54" i="238" s="1"/>
  <c r="A55" i="238" s="1"/>
  <c r="A56" i="238" s="1"/>
  <c r="A57" i="238" s="1"/>
  <c r="A58" i="238" s="1"/>
  <c r="A59" i="238" s="1"/>
  <c r="A60" i="238" s="1"/>
  <c r="A61" i="238" s="1"/>
  <c r="A62" i="238" s="1"/>
  <c r="A45" i="171"/>
  <c r="A46" i="171" s="1"/>
  <c r="A47" i="171" s="1"/>
  <c r="A48" i="171" s="1"/>
  <c r="A49" i="171" s="1"/>
  <c r="A50" i="171" s="1"/>
  <c r="A51" i="171" s="1"/>
  <c r="A52" i="171" s="1"/>
  <c r="A53" i="171" s="1"/>
  <c r="A54" i="171" s="1"/>
  <c r="A55" i="171" s="1"/>
  <c r="A56" i="171" s="1"/>
  <c r="A57" i="171" s="1"/>
  <c r="A58" i="171" s="1"/>
  <c r="A59" i="171" s="1"/>
  <c r="A60" i="171" s="1"/>
  <c r="A61" i="171" s="1"/>
  <c r="A62" i="171" s="1"/>
  <c r="A63" i="171" s="1"/>
  <c r="A64" i="171" s="1"/>
  <c r="A65" i="171" s="1"/>
  <c r="A66" i="171" s="1"/>
  <c r="A67" i="171" s="1"/>
  <c r="A63" i="238" l="1"/>
  <c r="A64" i="238" s="1"/>
  <c r="A65" i="238" s="1"/>
  <c r="A66" i="238" s="1"/>
  <c r="A67" i="238" s="1"/>
  <c r="A68" i="238" s="1"/>
  <c r="A14" i="233"/>
  <c r="A15" i="233" s="1"/>
  <c r="A16" i="233" s="1"/>
  <c r="A17" i="233" s="1"/>
  <c r="A18" i="233" s="1"/>
  <c r="A19" i="233" s="1"/>
  <c r="A20" i="233" s="1"/>
  <c r="A21" i="233" s="1"/>
  <c r="A22" i="233" s="1"/>
  <c r="A23" i="233" s="1"/>
  <c r="A24" i="233" s="1"/>
  <c r="A25" i="233" s="1"/>
  <c r="A26" i="233" s="1"/>
  <c r="A27" i="233" s="1"/>
  <c r="A28" i="233" s="1"/>
  <c r="A29" i="233" s="1"/>
  <c r="A30" i="233" s="1"/>
  <c r="A31" i="233" s="1"/>
  <c r="A32" i="233" s="1"/>
  <c r="A33" i="233" s="1"/>
  <c r="A34" i="233" s="1"/>
  <c r="A35" i="233" s="1"/>
  <c r="A36" i="233" s="1"/>
  <c r="A37" i="233" s="1"/>
  <c r="A38" i="233" s="1"/>
  <c r="A39" i="233" s="1"/>
  <c r="A40" i="233" s="1"/>
  <c r="A41" i="233" s="1"/>
  <c r="A42" i="233" s="1"/>
  <c r="A43" i="233" s="1"/>
  <c r="A44" i="233" s="1"/>
  <c r="A45" i="233" s="1"/>
  <c r="A46" i="233" s="1"/>
  <c r="A47" i="233" s="1"/>
  <c r="A48" i="233" s="1"/>
  <c r="A49" i="233" s="1"/>
  <c r="A14" i="230"/>
  <c r="A15" i="230" s="1"/>
  <c r="A16" i="230" s="1"/>
  <c r="A17" i="230" s="1"/>
  <c r="A18" i="230" s="1"/>
  <c r="A19" i="230" s="1"/>
  <c r="A20" i="230" s="1"/>
  <c r="A21" i="230" s="1"/>
  <c r="A22" i="230" s="1"/>
  <c r="A23" i="230" s="1"/>
  <c r="A24" i="230" s="1"/>
  <c r="A25" i="230" s="1"/>
  <c r="A26" i="230" s="1"/>
  <c r="A27" i="230" s="1"/>
  <c r="A28" i="230" s="1"/>
  <c r="A29" i="230" s="1"/>
  <c r="A30" i="230" s="1"/>
  <c r="A31" i="230" s="1"/>
  <c r="A32" i="230" s="1"/>
  <c r="A33" i="230" s="1"/>
  <c r="A34" i="230" s="1"/>
  <c r="A35" i="230" s="1"/>
  <c r="A36" i="230" s="1"/>
  <c r="A37" i="230" s="1"/>
  <c r="A38" i="230" s="1"/>
  <c r="A39" i="230" s="1"/>
  <c r="A40" i="230" s="1"/>
  <c r="A41" i="230" s="1"/>
  <c r="A42" i="230" s="1"/>
  <c r="A43" i="230" s="1"/>
  <c r="A44" i="230" s="1"/>
  <c r="A45" i="230" s="1"/>
  <c r="A46" i="230" s="1"/>
  <c r="A47" i="230" s="1"/>
  <c r="A48" i="230" s="1"/>
  <c r="A49" i="230" s="1"/>
  <c r="A14" i="244" l="1"/>
  <c r="A15" i="244" s="1"/>
  <c r="A16" i="244" s="1"/>
  <c r="A17" i="244" s="1"/>
  <c r="A18" i="244" s="1"/>
  <c r="A19" i="244" s="1"/>
  <c r="A20" i="244" s="1"/>
  <c r="A21" i="244" s="1"/>
  <c r="A22" i="244" s="1"/>
  <c r="A23" i="244" s="1"/>
  <c r="A24" i="244" s="1"/>
  <c r="A14" i="243"/>
  <c r="A15" i="243" s="1"/>
  <c r="A16" i="243" s="1"/>
  <c r="A17" i="243" s="1"/>
  <c r="A18" i="243" s="1"/>
  <c r="A19" i="243" s="1"/>
  <c r="A20" i="243" s="1"/>
  <c r="A21" i="243" s="1"/>
  <c r="A22" i="243" s="1"/>
  <c r="A23" i="243" s="1"/>
  <c r="A24" i="243" s="1"/>
  <c r="Q19" i="242"/>
  <c r="Q16" i="242"/>
  <c r="Q22" i="242" l="1"/>
  <c r="Q13" i="242"/>
  <c r="Q13" i="241"/>
  <c r="E10" i="228" l="1"/>
  <c r="E10" i="227"/>
  <c r="E10" i="226"/>
  <c r="E9" i="192"/>
  <c r="E10" i="193"/>
  <c r="E9" i="193"/>
  <c r="E10" i="190"/>
  <c r="E9" i="190"/>
  <c r="G47" i="230" l="1"/>
  <c r="F47" i="230"/>
  <c r="E47" i="230"/>
  <c r="D47" i="230"/>
  <c r="H47" i="230"/>
  <c r="I30" i="193" l="1"/>
  <c r="I33" i="193" l="1"/>
  <c r="E8" i="216"/>
  <c r="F8" i="216"/>
  <c r="G8" i="216"/>
  <c r="H8" i="216"/>
  <c r="I8" i="216"/>
  <c r="J8" i="216"/>
  <c r="K8" i="216"/>
  <c r="L8" i="216"/>
  <c r="M8" i="216"/>
  <c r="N8" i="216"/>
  <c r="O8" i="216"/>
  <c r="C8" i="216" s="1"/>
  <c r="D8" i="216"/>
  <c r="E8" i="214"/>
  <c r="F11" i="230" s="1"/>
  <c r="F8" i="214"/>
  <c r="G11" i="230" s="1"/>
  <c r="G8" i="214"/>
  <c r="H11" i="230" s="1"/>
  <c r="H8" i="214"/>
  <c r="I11" i="230" s="1"/>
  <c r="I8" i="214"/>
  <c r="J11" i="230" s="1"/>
  <c r="J8" i="214"/>
  <c r="K11" i="230" s="1"/>
  <c r="K8" i="214"/>
  <c r="L11" i="230" s="1"/>
  <c r="L8" i="214"/>
  <c r="M11" i="230" s="1"/>
  <c r="M8" i="214"/>
  <c r="N11" i="230" s="1"/>
  <c r="N8" i="214"/>
  <c r="O11" i="230" s="1"/>
  <c r="O8" i="214"/>
  <c r="C8" i="214" s="1"/>
  <c r="D8" i="214"/>
  <c r="E11" i="230" s="1"/>
  <c r="D11" i="230" l="1"/>
  <c r="P11" i="230"/>
  <c r="A14" i="212" l="1"/>
  <c r="A15" i="212" s="1"/>
  <c r="A16" i="212" s="1"/>
  <c r="A17" i="212" s="1"/>
  <c r="A18" i="212" s="1"/>
  <c r="A19" i="212" s="1"/>
  <c r="A20" i="212" l="1"/>
  <c r="A21" i="212" s="1"/>
  <c r="A22" i="212" s="1"/>
  <c r="A23" i="212" s="1"/>
  <c r="A24" i="212" s="1"/>
  <c r="A25" i="212" s="1"/>
  <c r="A26" i="212" s="1"/>
  <c r="A27" i="212" s="1"/>
  <c r="A28" i="212" s="1"/>
  <c r="A29" i="212" s="1"/>
  <c r="A30" i="212" s="1"/>
  <c r="A31" i="212" s="1"/>
  <c r="I20" i="212"/>
  <c r="G194" i="237" s="1"/>
  <c r="H189" i="209"/>
  <c r="M189" i="209" s="1"/>
  <c r="H187" i="213"/>
  <c r="M187" i="213" s="1"/>
  <c r="I21" i="212"/>
  <c r="H234" i="209"/>
  <c r="M234" i="209" s="1"/>
  <c r="G232" i="237"/>
  <c r="H233" i="213"/>
  <c r="H247" i="236" l="1"/>
  <c r="M247" i="236" s="1"/>
  <c r="H240" i="236"/>
  <c r="H243" i="236"/>
  <c r="H245" i="236"/>
  <c r="H235" i="236"/>
  <c r="H242" i="236"/>
  <c r="H241" i="236"/>
  <c r="H194" i="213"/>
  <c r="H124" i="207"/>
  <c r="H125" i="236"/>
  <c r="G186" i="207"/>
  <c r="G186" i="236"/>
  <c r="L186" i="236" s="1"/>
  <c r="G232" i="207"/>
  <c r="G231" i="236"/>
  <c r="H232" i="207"/>
  <c r="H231" i="236"/>
  <c r="F231" i="237"/>
  <c r="G233" i="209"/>
  <c r="G232" i="213"/>
  <c r="H232" i="213"/>
  <c r="H240" i="213" s="1"/>
  <c r="M240" i="213" s="1"/>
  <c r="G231" i="237"/>
  <c r="H233" i="209"/>
  <c r="M233" i="209" s="1"/>
  <c r="G186" i="237"/>
  <c r="G206" i="237" s="1"/>
  <c r="H186" i="213"/>
  <c r="H203" i="213" s="1"/>
  <c r="M203" i="213" s="1"/>
  <c r="H188" i="209"/>
  <c r="G188" i="209"/>
  <c r="G186" i="213"/>
  <c r="F186" i="237"/>
  <c r="F206" i="237" s="1"/>
  <c r="G125" i="237"/>
  <c r="H127" i="209"/>
  <c r="H124" i="213"/>
  <c r="H186" i="236"/>
  <c r="H203" i="236" s="1"/>
  <c r="H186" i="207"/>
  <c r="H232" i="236"/>
  <c r="H233" i="207"/>
  <c r="H246" i="213"/>
  <c r="H257" i="213"/>
  <c r="H258" i="213"/>
  <c r="H236" i="213"/>
  <c r="H256" i="213"/>
  <c r="G187" i="237"/>
  <c r="H187" i="207"/>
  <c r="I17" i="212"/>
  <c r="E17" i="252" s="1"/>
  <c r="F17" i="252" s="1"/>
  <c r="I14" i="212"/>
  <c r="E14" i="252" s="1"/>
  <c r="F14" i="252" s="1"/>
  <c r="E15" i="252"/>
  <c r="F15" i="252" s="1"/>
  <c r="F19" i="252" l="1"/>
  <c r="G202" i="209"/>
  <c r="G207" i="209"/>
  <c r="G209" i="209"/>
  <c r="L209" i="209" s="1"/>
  <c r="G211" i="209"/>
  <c r="L211" i="209" s="1"/>
  <c r="G213" i="209"/>
  <c r="G215" i="209"/>
  <c r="G203" i="209"/>
  <c r="L203" i="209" s="1"/>
  <c r="G210" i="209"/>
  <c r="L210" i="209" s="1"/>
  <c r="G214" i="209"/>
  <c r="G226" i="209"/>
  <c r="G198" i="209"/>
  <c r="L198" i="209" s="1"/>
  <c r="G200" i="209"/>
  <c r="L200" i="209" s="1"/>
  <c r="G205" i="209"/>
  <c r="L205" i="209" s="1"/>
  <c r="G208" i="209"/>
  <c r="L208" i="209" s="1"/>
  <c r="G212" i="209"/>
  <c r="G216" i="209"/>
  <c r="G199" i="209"/>
  <c r="L199" i="209" s="1"/>
  <c r="G220" i="209"/>
  <c r="H199" i="209"/>
  <c r="M199" i="209" s="1"/>
  <c r="H220" i="209"/>
  <c r="H198" i="209"/>
  <c r="M198" i="209" s="1"/>
  <c r="H205" i="209"/>
  <c r="M205" i="209" s="1"/>
  <c r="H210" i="209"/>
  <c r="M210" i="209" s="1"/>
  <c r="H216" i="209"/>
  <c r="H226" i="209"/>
  <c r="H202" i="209"/>
  <c r="M202" i="209" s="1"/>
  <c r="H207" i="209"/>
  <c r="M207" i="209" s="1"/>
  <c r="H209" i="209"/>
  <c r="M209" i="209" s="1"/>
  <c r="H211" i="209"/>
  <c r="M211" i="209" s="1"/>
  <c r="H213" i="209"/>
  <c r="H215" i="209"/>
  <c r="H200" i="209"/>
  <c r="M200" i="209" s="1"/>
  <c r="H203" i="209"/>
  <c r="M203" i="209" s="1"/>
  <c r="H208" i="209"/>
  <c r="M208" i="209" s="1"/>
  <c r="H212" i="209"/>
  <c r="H214" i="209"/>
  <c r="M189" i="207"/>
  <c r="M187" i="207"/>
  <c r="M194" i="213"/>
  <c r="G163" i="237"/>
  <c r="G165" i="237"/>
  <c r="G167" i="237"/>
  <c r="G164" i="237"/>
  <c r="G166" i="237"/>
  <c r="G168" i="237"/>
  <c r="H244" i="236"/>
  <c r="M244" i="236" s="1"/>
  <c r="H236" i="236"/>
  <c r="M236" i="236" s="1"/>
  <c r="H259" i="236"/>
  <c r="M259" i="236" s="1"/>
  <c r="H239" i="236"/>
  <c r="H237" i="236"/>
  <c r="M237" i="236" s="1"/>
  <c r="H238" i="236"/>
  <c r="M238" i="236" s="1"/>
  <c r="H248" i="236"/>
  <c r="M248" i="236" s="1"/>
  <c r="H239" i="207"/>
  <c r="M239" i="207" s="1"/>
  <c r="H238" i="207"/>
  <c r="M238" i="207" s="1"/>
  <c r="H260" i="207"/>
  <c r="M260" i="207" s="1"/>
  <c r="H163" i="209"/>
  <c r="M163" i="209" s="1"/>
  <c r="H165" i="209"/>
  <c r="M165" i="209" s="1"/>
  <c r="H167" i="209"/>
  <c r="M167" i="209" s="1"/>
  <c r="H164" i="209"/>
  <c r="M164" i="209" s="1"/>
  <c r="H166" i="209"/>
  <c r="M166" i="209" s="1"/>
  <c r="H168" i="209"/>
  <c r="M168" i="209" s="1"/>
  <c r="L188" i="209"/>
  <c r="G195" i="209"/>
  <c r="L195" i="209" s="1"/>
  <c r="L202" i="209"/>
  <c r="L207" i="209"/>
  <c r="G244" i="236"/>
  <c r="G238" i="236"/>
  <c r="G236" i="236"/>
  <c r="G248" i="236"/>
  <c r="L248" i="236" s="1"/>
  <c r="G239" i="236"/>
  <c r="L239" i="236" s="1"/>
  <c r="G237" i="236"/>
  <c r="G259" i="236"/>
  <c r="L259" i="236" s="1"/>
  <c r="H195" i="209"/>
  <c r="M195" i="209" s="1"/>
  <c r="G239" i="207"/>
  <c r="G260" i="207"/>
  <c r="G238" i="207"/>
  <c r="M243" i="236"/>
  <c r="H248" i="207"/>
  <c r="H241" i="207"/>
  <c r="H242" i="207"/>
  <c r="H259" i="207"/>
  <c r="H244" i="207"/>
  <c r="H243" i="207"/>
  <c r="H256" i="236"/>
  <c r="M256" i="236" s="1"/>
  <c r="H257" i="236"/>
  <c r="M257" i="236" s="1"/>
  <c r="H255" i="236"/>
  <c r="M255" i="236" s="1"/>
  <c r="M242" i="236"/>
  <c r="M240" i="236"/>
  <c r="M245" i="236"/>
  <c r="M241" i="236"/>
  <c r="M235" i="236"/>
  <c r="G191" i="237"/>
  <c r="G188" i="237"/>
  <c r="G192" i="237"/>
  <c r="G196" i="237"/>
  <c r="G198" i="237"/>
  <c r="G200" i="237"/>
  <c r="G193" i="237"/>
  <c r="G197" i="237"/>
  <c r="G201" i="237"/>
  <c r="F188" i="237"/>
  <c r="F192" i="237"/>
  <c r="F196" i="237"/>
  <c r="F198" i="237"/>
  <c r="F200" i="237"/>
  <c r="F191" i="237"/>
  <c r="F193" i="237"/>
  <c r="F197" i="237"/>
  <c r="F201" i="237"/>
  <c r="H160" i="236"/>
  <c r="H162" i="236"/>
  <c r="H159" i="236"/>
  <c r="H161" i="236"/>
  <c r="H163" i="236"/>
  <c r="H240" i="207"/>
  <c r="M240" i="207" s="1"/>
  <c r="H264" i="207"/>
  <c r="H160" i="213"/>
  <c r="H159" i="213"/>
  <c r="H161" i="213"/>
  <c r="H163" i="213"/>
  <c r="H165" i="213"/>
  <c r="H167" i="213"/>
  <c r="H169" i="213"/>
  <c r="H162" i="213"/>
  <c r="H168" i="213"/>
  <c r="H164" i="213"/>
  <c r="H166" i="213"/>
  <c r="H159" i="207"/>
  <c r="H161" i="207"/>
  <c r="H168" i="207"/>
  <c r="M168" i="207" s="1"/>
  <c r="H170" i="207"/>
  <c r="M170" i="207" s="1"/>
  <c r="H175" i="207"/>
  <c r="H166" i="207"/>
  <c r="H171" i="207"/>
  <c r="M171" i="207" s="1"/>
  <c r="H163" i="207"/>
  <c r="M163" i="207" s="1"/>
  <c r="H165" i="207"/>
  <c r="H172" i="207"/>
  <c r="H174" i="207"/>
  <c r="H160" i="207"/>
  <c r="H162" i="207"/>
  <c r="H167" i="207"/>
  <c r="H169" i="207"/>
  <c r="H164" i="207"/>
  <c r="M164" i="207" s="1"/>
  <c r="H173" i="207"/>
  <c r="K64" i="192"/>
  <c r="J64" i="192"/>
  <c r="E17" i="250"/>
  <c r="E30" i="250" s="1"/>
  <c r="J33" i="193"/>
  <c r="K33" i="193"/>
  <c r="M45" i="190"/>
  <c r="J45" i="190"/>
  <c r="N45" i="190"/>
  <c r="K45" i="190"/>
  <c r="O45" i="190"/>
  <c r="L45" i="190"/>
  <c r="E15" i="250"/>
  <c r="E27" i="250" s="1"/>
  <c r="H214" i="213"/>
  <c r="M214" i="213" s="1"/>
  <c r="H218" i="213"/>
  <c r="M218" i="213" s="1"/>
  <c r="G218" i="213"/>
  <c r="G214" i="213"/>
  <c r="G240" i="207"/>
  <c r="H194" i="207"/>
  <c r="G240" i="213"/>
  <c r="H246" i="236"/>
  <c r="M246" i="236" s="1"/>
  <c r="G246" i="236"/>
  <c r="D27" i="102"/>
  <c r="D28" i="102" s="1"/>
  <c r="H206" i="236"/>
  <c r="M206" i="236" s="1"/>
  <c r="M33" i="193"/>
  <c r="N33" i="193"/>
  <c r="O33" i="193"/>
  <c r="L33" i="193"/>
  <c r="N64" i="192"/>
  <c r="M64" i="192"/>
  <c r="L64" i="192"/>
  <c r="O64" i="192"/>
  <c r="F21" i="247"/>
  <c r="D23" i="103"/>
  <c r="E25" i="100"/>
  <c r="D18" i="239"/>
  <c r="E21" i="105"/>
  <c r="D22" i="102"/>
  <c r="M203" i="236"/>
  <c r="H218" i="236"/>
  <c r="M218" i="236" s="1"/>
  <c r="H211" i="236"/>
  <c r="M211" i="236" s="1"/>
  <c r="H224" i="236"/>
  <c r="H213" i="236"/>
  <c r="M213" i="236" s="1"/>
  <c r="H214" i="236"/>
  <c r="M214" i="236" s="1"/>
  <c r="H207" i="236"/>
  <c r="M207" i="236" s="1"/>
  <c r="H209" i="236"/>
  <c r="M209" i="236" s="1"/>
  <c r="H210" i="236"/>
  <c r="M210" i="236" s="1"/>
  <c r="H212" i="236"/>
  <c r="M212" i="236" s="1"/>
  <c r="H205" i="236"/>
  <c r="M205" i="236" s="1"/>
  <c r="H208" i="236"/>
  <c r="M208" i="236" s="1"/>
  <c r="H258" i="236"/>
  <c r="M258" i="236" s="1"/>
  <c r="E39" i="100"/>
  <c r="D22" i="239"/>
  <c r="D37" i="103"/>
  <c r="D32" i="102"/>
  <c r="F27" i="247"/>
  <c r="E31" i="105"/>
  <c r="E26" i="105"/>
  <c r="D20" i="239"/>
  <c r="E32" i="100"/>
  <c r="D30" i="103"/>
  <c r="F24" i="247"/>
  <c r="H257" i="207"/>
  <c r="H256" i="207"/>
  <c r="H236" i="207"/>
  <c r="H246" i="207"/>
  <c r="H258" i="207"/>
  <c r="M194" i="207" l="1"/>
  <c r="L260" i="207"/>
  <c r="L239" i="207"/>
  <c r="L244" i="236"/>
  <c r="L236" i="236"/>
  <c r="M239" i="236"/>
  <c r="L246" i="236"/>
  <c r="L238" i="207"/>
  <c r="L237" i="236"/>
  <c r="L238" i="236"/>
  <c r="M259" i="207"/>
  <c r="M242" i="207"/>
  <c r="M243" i="207"/>
  <c r="M241" i="207"/>
  <c r="M244" i="207"/>
  <c r="M248" i="207"/>
  <c r="M161" i="236"/>
  <c r="M159" i="236"/>
  <c r="M162" i="236"/>
  <c r="M163" i="236"/>
  <c r="M160" i="236"/>
  <c r="M163" i="213"/>
  <c r="M166" i="213"/>
  <c r="M169" i="213"/>
  <c r="M161" i="213"/>
  <c r="M162" i="213"/>
  <c r="M164" i="213"/>
  <c r="M167" i="213"/>
  <c r="M159" i="213"/>
  <c r="M168" i="213"/>
  <c r="M165" i="213"/>
  <c r="M160" i="213"/>
  <c r="M169" i="207"/>
  <c r="M167" i="207"/>
  <c r="M161" i="207"/>
  <c r="M160" i="207"/>
  <c r="M166" i="207"/>
  <c r="M162" i="207"/>
  <c r="M165" i="207"/>
  <c r="M159" i="207"/>
  <c r="L214" i="213"/>
  <c r="L218" i="213"/>
  <c r="L240" i="207"/>
  <c r="L240" i="213"/>
  <c r="E28" i="250"/>
  <c r="E31" i="250"/>
  <c r="A13" i="222" l="1"/>
  <c r="A14" i="222" s="1"/>
  <c r="A15" i="222" s="1"/>
  <c r="A16" i="222" s="1"/>
  <c r="A17" i="222" s="1"/>
  <c r="A18" i="222" s="1"/>
  <c r="A19" i="222" s="1"/>
  <c r="A20" i="222" s="1"/>
  <c r="A21" i="222" s="1"/>
  <c r="A22" i="222" s="1"/>
  <c r="A23" i="222" s="1"/>
  <c r="A24" i="222" s="1"/>
  <c r="A25" i="222" s="1"/>
  <c r="A26" i="222" s="1"/>
  <c r="A27" i="222" s="1"/>
  <c r="A28" i="222" s="1"/>
  <c r="A29" i="222" s="1"/>
  <c r="A30" i="222" s="1"/>
  <c r="A31" i="222" s="1"/>
  <c r="A32" i="222" s="1"/>
  <c r="A33" i="222" s="1"/>
  <c r="A34" i="222" s="1"/>
  <c r="A35" i="222" s="1"/>
  <c r="A36" i="222" s="1"/>
  <c r="A37" i="222" s="1"/>
  <c r="A38" i="222" s="1"/>
  <c r="A39" i="222" s="1"/>
  <c r="A40" i="222" s="1"/>
  <c r="A41" i="222" s="1"/>
  <c r="A42" i="222" s="1"/>
  <c r="A43" i="222" s="1"/>
  <c r="A44" i="222" s="1"/>
  <c r="A45" i="222" s="1"/>
  <c r="A46" i="222" s="1"/>
  <c r="A47" i="222" s="1"/>
  <c r="A48" i="222" s="1"/>
  <c r="A49" i="222" s="1"/>
  <c r="A50" i="222" s="1"/>
  <c r="A51" i="222" s="1"/>
  <c r="A52" i="222" s="1"/>
  <c r="A53" i="222" s="1"/>
  <c r="A54" i="222" s="1"/>
  <c r="A55" i="222" s="1"/>
  <c r="A56" i="222" s="1"/>
  <c r="A57" i="222" s="1"/>
  <c r="A58" i="222" s="1"/>
  <c r="A59" i="222" s="1"/>
  <c r="A60" i="222" s="1"/>
  <c r="A61" i="222" s="1"/>
  <c r="A62" i="222" s="1"/>
  <c r="A63" i="222" s="1"/>
  <c r="A64" i="222" s="1"/>
  <c r="A65" i="222" s="1"/>
  <c r="A66" i="222" s="1"/>
  <c r="A67" i="222" s="1"/>
  <c r="A68" i="222" s="1"/>
  <c r="A69" i="222" s="1"/>
  <c r="A70" i="222" s="1"/>
  <c r="A71" i="222" s="1"/>
  <c r="A72" i="222" s="1"/>
  <c r="A73" i="222" s="1"/>
  <c r="A74" i="222" s="1"/>
  <c r="A75" i="222" s="1"/>
  <c r="A76" i="222" s="1"/>
  <c r="A77" i="222" s="1"/>
  <c r="A78" i="222" s="1"/>
  <c r="A79" i="222" s="1"/>
  <c r="A80" i="222" s="1"/>
  <c r="A81" i="222" s="1"/>
  <c r="A82" i="222" s="1"/>
  <c r="A83" i="222" s="1"/>
  <c r="A84" i="222" s="1"/>
  <c r="A85" i="222" s="1"/>
  <c r="A86" i="222" s="1"/>
  <c r="A87" i="222" s="1"/>
  <c r="A88" i="222" s="1"/>
  <c r="A89" i="222" s="1"/>
  <c r="A90" i="222" s="1"/>
  <c r="A91" i="222" s="1"/>
  <c r="A92" i="222" s="1"/>
  <c r="A93" i="222" s="1"/>
  <c r="A94" i="222" s="1"/>
  <c r="A13" i="44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A65" i="44" s="1"/>
  <c r="A66" i="44" s="1"/>
  <c r="A67" i="44" s="1"/>
  <c r="A68" i="44" s="1"/>
  <c r="A69" i="44" s="1"/>
  <c r="A70" i="44" s="1"/>
  <c r="A71" i="44" s="1"/>
  <c r="A72" i="44" s="1"/>
  <c r="A73" i="44" s="1"/>
  <c r="A74" i="44" s="1"/>
  <c r="A75" i="44" s="1"/>
  <c r="A76" i="44" s="1"/>
  <c r="A77" i="44" s="1"/>
  <c r="A78" i="44" s="1"/>
  <c r="A79" i="44" s="1"/>
  <c r="A80" i="44" s="1"/>
  <c r="A81" i="44" s="1"/>
  <c r="A82" i="44" s="1"/>
  <c r="A83" i="44" s="1"/>
  <c r="A84" i="44" s="1"/>
  <c r="A85" i="44" s="1"/>
  <c r="A86" i="44" s="1"/>
  <c r="A87" i="44" s="1"/>
  <c r="A88" i="44" s="1"/>
  <c r="A89" i="44" s="1"/>
  <c r="A90" i="44" s="1"/>
  <c r="A91" i="44" s="1"/>
  <c r="A92" i="44" s="1"/>
  <c r="A93" i="44" s="1"/>
  <c r="A94" i="44" s="1"/>
  <c r="A95" i="44" s="1"/>
  <c r="A96" i="44" s="1"/>
  <c r="A97" i="44" s="1"/>
  <c r="A98" i="44" s="1"/>
  <c r="A99" i="44" s="1"/>
  <c r="A100" i="44" s="1"/>
  <c r="A101" i="44" s="1"/>
  <c r="A102" i="44" s="1"/>
  <c r="A103" i="44" s="1"/>
  <c r="A104" i="44" s="1"/>
  <c r="A105" i="44" s="1"/>
  <c r="A106" i="44" s="1"/>
  <c r="A107" i="44" s="1"/>
  <c r="A108" i="44" s="1"/>
  <c r="A109" i="44" s="1"/>
  <c r="A110" i="44" s="1"/>
  <c r="A111" i="44" s="1"/>
  <c r="A112" i="44" s="1"/>
  <c r="A95" i="222" l="1"/>
  <c r="A96" i="222" s="1"/>
  <c r="A97" i="222" s="1"/>
  <c r="A98" i="222" s="1"/>
  <c r="A99" i="222" s="1"/>
  <c r="A100" i="222" s="1"/>
  <c r="A101" i="222" s="1"/>
  <c r="A102" i="222" s="1"/>
  <c r="A113" i="44"/>
  <c r="P14" i="44"/>
  <c r="A103" i="222" l="1"/>
  <c r="A104" i="222" s="1"/>
  <c r="A105" i="222" s="1"/>
  <c r="A106" i="222" s="1"/>
  <c r="A107" i="222" s="1"/>
  <c r="A108" i="222" s="1"/>
  <c r="A109" i="222" s="1"/>
  <c r="A110" i="222" s="1"/>
  <c r="A111" i="222" s="1"/>
  <c r="D14" i="48"/>
  <c r="D176" i="45"/>
  <c r="A14" i="79"/>
  <c r="A15" i="79" s="1"/>
  <c r="A16" i="79" s="1"/>
  <c r="A17" i="79" s="1"/>
  <c r="A18" i="79" s="1"/>
  <c r="A14" i="45"/>
  <c r="A15" i="45" s="1"/>
  <c r="A16" i="45" s="1"/>
  <c r="A17" i="45" s="1"/>
  <c r="A18" i="45" s="1"/>
  <c r="A19" i="45" s="1"/>
  <c r="A20" i="45" l="1"/>
  <c r="A21" i="45" s="1"/>
  <c r="A22" i="45" s="1"/>
  <c r="A23" i="45" s="1"/>
  <c r="A24" i="45" s="1"/>
  <c r="A25" i="45" s="1"/>
  <c r="A26" i="45" s="1"/>
  <c r="A27" i="45" s="1"/>
  <c r="A28" i="45" s="1"/>
  <c r="A29" i="45" s="1"/>
  <c r="A31" i="45" s="1"/>
  <c r="A32" i="45" s="1"/>
  <c r="A33" i="45" s="1"/>
  <c r="A34" i="45" s="1"/>
  <c r="A35" i="45" s="1"/>
  <c r="A36" i="45" s="1"/>
  <c r="A37" i="45" s="1"/>
  <c r="A38" i="45" s="1"/>
  <c r="A39" i="45" s="1"/>
  <c r="A40" i="45" s="1"/>
  <c r="A41" i="45" s="1"/>
  <c r="A42" i="45" s="1"/>
  <c r="A43" i="45" s="1"/>
  <c r="A44" i="45" s="1"/>
  <c r="A45" i="45" s="1"/>
  <c r="A46" i="45" s="1"/>
  <c r="A47" i="45" s="1"/>
  <c r="A48" i="45" s="1"/>
  <c r="A49" i="45" s="1"/>
  <c r="A50" i="45" s="1"/>
  <c r="A51" i="45" s="1"/>
  <c r="A52" i="45" s="1"/>
  <c r="A53" i="45" s="1"/>
  <c r="A54" i="45" s="1"/>
  <c r="A55" i="45" s="1"/>
  <c r="A56" i="45" s="1"/>
  <c r="A57" i="45" s="1"/>
  <c r="A58" i="45" s="1"/>
  <c r="A59" i="45" s="1"/>
  <c r="A60" i="45" s="1"/>
  <c r="A61" i="45" s="1"/>
  <c r="A62" i="45" s="1"/>
  <c r="A63" i="45" s="1"/>
  <c r="A64" i="45" s="1"/>
  <c r="A65" i="45" s="1"/>
  <c r="A66" i="45" s="1"/>
  <c r="A67" i="45" s="1"/>
  <c r="A68" i="45" s="1"/>
  <c r="A69" i="45" s="1"/>
  <c r="A70" i="45" s="1"/>
  <c r="A71" i="45" s="1"/>
  <c r="A72" i="45" s="1"/>
  <c r="A73" i="45" s="1"/>
  <c r="A74" i="45" s="1"/>
  <c r="A75" i="45" s="1"/>
  <c r="A76" i="45" s="1"/>
  <c r="A77" i="45" s="1"/>
  <c r="A78" i="45" s="1"/>
  <c r="A79" i="45" s="1"/>
  <c r="A80" i="45" s="1"/>
  <c r="A81" i="45" s="1"/>
  <c r="A82" i="45" s="1"/>
  <c r="A83" i="45" s="1"/>
  <c r="A84" i="45" s="1"/>
  <c r="A85" i="45" s="1"/>
  <c r="A86" i="45" s="1"/>
  <c r="A87" i="45" s="1"/>
  <c r="A88" i="45" s="1"/>
  <c r="A89" i="45" s="1"/>
  <c r="A90" i="45" s="1"/>
  <c r="A91" i="45" s="1"/>
  <c r="A92" i="45" s="1"/>
  <c r="A93" i="45" s="1"/>
  <c r="A94" i="45" s="1"/>
  <c r="A95" i="45" s="1"/>
  <c r="A96" i="45" s="1"/>
  <c r="A97" i="45" s="1"/>
  <c r="A98" i="45" s="1"/>
  <c r="A99" i="45" s="1"/>
  <c r="A100" i="45" s="1"/>
  <c r="A101" i="45" s="1"/>
  <c r="A102" i="45" s="1"/>
  <c r="A103" i="45" s="1"/>
  <c r="A104" i="45" s="1"/>
  <c r="A105" i="45" s="1"/>
  <c r="A106" i="45" s="1"/>
  <c r="A107" i="45" s="1"/>
  <c r="A108" i="45" s="1"/>
  <c r="A109" i="45" s="1"/>
  <c r="A110" i="45" s="1"/>
  <c r="A111" i="45" s="1"/>
  <c r="A112" i="45" s="1"/>
  <c r="A113" i="45" s="1"/>
  <c r="A114" i="45" s="1"/>
  <c r="A115" i="45" s="1"/>
  <c r="A116" i="45" s="1"/>
  <c r="A117" i="45" s="1"/>
  <c r="A118" i="45" s="1"/>
  <c r="A119" i="45" s="1"/>
  <c r="A120" i="45" s="1"/>
  <c r="A121" i="45" s="1"/>
  <c r="A122" i="45" s="1"/>
  <c r="A123" i="45" s="1"/>
  <c r="A124" i="45" s="1"/>
  <c r="A125" i="45" s="1"/>
  <c r="A126" i="45" s="1"/>
  <c r="A127" i="45" s="1"/>
  <c r="A128" i="45" s="1"/>
  <c r="A129" i="45" s="1"/>
  <c r="A130" i="45" s="1"/>
  <c r="A131" i="45" s="1"/>
  <c r="A132" i="45" s="1"/>
  <c r="A133" i="45" s="1"/>
  <c r="A134" i="45" s="1"/>
  <c r="A135" i="45" s="1"/>
  <c r="A136" i="45" s="1"/>
  <c r="A137" i="45" s="1"/>
  <c r="A138" i="45" s="1"/>
  <c r="A139" i="45" s="1"/>
  <c r="A140" i="45" s="1"/>
  <c r="A141" i="45" s="1"/>
  <c r="A142" i="45" s="1"/>
  <c r="A143" i="45" s="1"/>
  <c r="A144" i="45" s="1"/>
  <c r="A145" i="45" s="1"/>
  <c r="A146" i="45" s="1"/>
  <c r="A147" i="45" s="1"/>
  <c r="A148" i="45" s="1"/>
  <c r="A149" i="45" s="1"/>
  <c r="A150" i="45" s="1"/>
  <c r="A151" i="45" s="1"/>
  <c r="A152" i="45" s="1"/>
  <c r="A153" i="45" s="1"/>
  <c r="A154" i="45" s="1"/>
  <c r="A155" i="45" s="1"/>
  <c r="A156" i="45" s="1"/>
  <c r="A157" i="45" s="1"/>
  <c r="A158" i="45" s="1"/>
  <c r="A159" i="45" s="1"/>
  <c r="A160" i="45" s="1"/>
  <c r="A161" i="45" s="1"/>
  <c r="A162" i="45" s="1"/>
  <c r="A163" i="45" s="1"/>
  <c r="A164" i="45" s="1"/>
  <c r="A165" i="45" s="1"/>
  <c r="A166" i="45" s="1"/>
  <c r="A167" i="45" s="1"/>
  <c r="A168" i="45" s="1"/>
  <c r="A169" i="45" s="1"/>
  <c r="A170" i="45" s="1"/>
  <c r="A171" i="45" s="1"/>
  <c r="A172" i="45" s="1"/>
  <c r="A173" i="45" s="1"/>
  <c r="A174" i="45" s="1"/>
  <c r="A175" i="45" s="1"/>
  <c r="A176" i="45" s="1"/>
  <c r="A177" i="45" s="1"/>
  <c r="A178" i="45" s="1"/>
  <c r="A179" i="45" s="1"/>
  <c r="A180" i="45" s="1"/>
  <c r="A181" i="45" s="1"/>
  <c r="A182" i="45" s="1"/>
  <c r="A183" i="45" s="1"/>
  <c r="A19" i="79"/>
  <c r="A20" i="79" s="1"/>
  <c r="A21" i="79" s="1"/>
  <c r="A22" i="79" s="1"/>
  <c r="A23" i="79" s="1"/>
  <c r="A24" i="79" s="1"/>
  <c r="A25" i="79" s="1"/>
  <c r="A26" i="79" s="1"/>
  <c r="A27" i="79" s="1"/>
  <c r="A28" i="79" s="1"/>
  <c r="A29" i="79" s="1"/>
  <c r="A30" i="79" s="1"/>
  <c r="A31" i="79" s="1"/>
  <c r="A32" i="79" s="1"/>
  <c r="A33" i="79" s="1"/>
  <c r="A34" i="79" s="1"/>
  <c r="A35" i="79" s="1"/>
  <c r="A36" i="79" s="1"/>
  <c r="A37" i="79" s="1"/>
  <c r="A38" i="79" s="1"/>
  <c r="A39" i="79" s="1"/>
  <c r="A40" i="79" s="1"/>
  <c r="A41" i="79" s="1"/>
  <c r="A42" i="79" s="1"/>
  <c r="A43" i="79" s="1"/>
  <c r="A44" i="79" s="1"/>
  <c r="A45" i="79" s="1"/>
  <c r="A46" i="79" s="1"/>
  <c r="A47" i="79" s="1"/>
  <c r="A48" i="79" s="1"/>
  <c r="A49" i="79" s="1"/>
  <c r="A50" i="79" s="1"/>
  <c r="A51" i="79" s="1"/>
  <c r="A52" i="79" s="1"/>
  <c r="A53" i="79" s="1"/>
  <c r="A54" i="79" s="1"/>
  <c r="A55" i="79" s="1"/>
  <c r="A56" i="79" s="1"/>
  <c r="A57" i="79" s="1"/>
  <c r="A58" i="79" s="1"/>
  <c r="A59" i="79" s="1"/>
  <c r="A60" i="79" s="1"/>
  <c r="A61" i="79" s="1"/>
  <c r="A62" i="79" s="1"/>
  <c r="A63" i="79" s="1"/>
  <c r="A64" i="79" s="1"/>
  <c r="A65" i="79" s="1"/>
  <c r="A66" i="79" s="1"/>
  <c r="A67" i="79" s="1"/>
  <c r="A68" i="79" s="1"/>
  <c r="A69" i="79" s="1"/>
  <c r="A70" i="79" s="1"/>
  <c r="A71" i="79" s="1"/>
  <c r="A72" i="79" s="1"/>
  <c r="A73" i="79" s="1"/>
  <c r="A74" i="79" s="1"/>
  <c r="A75" i="79" s="1"/>
  <c r="A76" i="79" s="1"/>
  <c r="A77" i="79" s="1"/>
  <c r="A78" i="79" s="1"/>
  <c r="A79" i="79" s="1"/>
  <c r="A80" i="79" s="1"/>
  <c r="A81" i="79" s="1"/>
  <c r="A82" i="79" s="1"/>
  <c r="A83" i="79" s="1"/>
  <c r="A84" i="79" s="1"/>
  <c r="A85" i="79" s="1"/>
  <c r="A86" i="79" s="1"/>
  <c r="A87" i="79" s="1"/>
  <c r="A88" i="79" s="1"/>
  <c r="A89" i="79" s="1"/>
  <c r="A90" i="79" s="1"/>
  <c r="A91" i="79" s="1"/>
  <c r="A92" i="79" s="1"/>
  <c r="A93" i="79" s="1"/>
  <c r="A94" i="79" s="1"/>
  <c r="A95" i="79" s="1"/>
  <c r="A96" i="79" s="1"/>
  <c r="A97" i="79" s="1"/>
  <c r="A98" i="79" s="1"/>
  <c r="A99" i="79" s="1"/>
  <c r="A100" i="79" s="1"/>
  <c r="A101" i="79" s="1"/>
  <c r="A102" i="79" s="1"/>
  <c r="A103" i="79" s="1"/>
  <c r="A104" i="79" s="1"/>
  <c r="A105" i="79" s="1"/>
  <c r="A106" i="79" s="1"/>
  <c r="A107" i="79" s="1"/>
  <c r="A108" i="79" s="1"/>
  <c r="A109" i="79" s="1"/>
  <c r="A110" i="79" s="1"/>
  <c r="A111" i="79" s="1"/>
  <c r="A112" i="79" s="1"/>
  <c r="A113" i="79" s="1"/>
  <c r="A114" i="79" s="1"/>
  <c r="A115" i="79" s="1"/>
  <c r="A116" i="79" s="1"/>
  <c r="A117" i="79" s="1"/>
  <c r="A118" i="79" s="1"/>
  <c r="A119" i="79" s="1"/>
  <c r="A120" i="79" s="1"/>
  <c r="A121" i="79" s="1"/>
  <c r="A122" i="79" s="1"/>
  <c r="A123" i="79" s="1"/>
  <c r="A124" i="79" s="1"/>
  <c r="A125" i="79" s="1"/>
  <c r="A126" i="79" s="1"/>
  <c r="A127" i="79" s="1"/>
  <c r="A128" i="79" s="1"/>
  <c r="A129" i="79" s="1"/>
  <c r="A130" i="79" s="1"/>
  <c r="A131" i="79" s="1"/>
  <c r="A132" i="79" s="1"/>
  <c r="A133" i="79" s="1"/>
  <c r="A134" i="79" s="1"/>
  <c r="A135" i="79" s="1"/>
  <c r="A136" i="79" s="1"/>
  <c r="A137" i="79" s="1"/>
  <c r="A138" i="79" s="1"/>
  <c r="A139" i="79" s="1"/>
  <c r="A140" i="79" s="1"/>
  <c r="A141" i="79" s="1"/>
  <c r="A142" i="79" s="1"/>
  <c r="A143" i="79" s="1"/>
  <c r="A144" i="79" s="1"/>
  <c r="A145" i="79" s="1"/>
  <c r="A146" i="79" s="1"/>
  <c r="A147" i="79" s="1"/>
  <c r="A148" i="79" s="1"/>
  <c r="A149" i="79" s="1"/>
  <c r="A150" i="79" s="1"/>
  <c r="A151" i="79" s="1"/>
  <c r="A152" i="79" s="1"/>
  <c r="A153" i="79" s="1"/>
  <c r="A154" i="79" s="1"/>
  <c r="A155" i="79" s="1"/>
  <c r="A156" i="79" s="1"/>
  <c r="A157" i="79" s="1"/>
  <c r="A158" i="79" s="1"/>
  <c r="A159" i="79" s="1"/>
  <c r="A160" i="79" s="1"/>
  <c r="A161" i="79" s="1"/>
  <c r="A162" i="79" s="1"/>
  <c r="A163" i="79" s="1"/>
  <c r="A164" i="79" s="1"/>
  <c r="A165" i="79" s="1"/>
  <c r="A166" i="79" s="1"/>
  <c r="A167" i="79" s="1"/>
  <c r="A168" i="79" s="1"/>
  <c r="A169" i="79" s="1"/>
  <c r="A170" i="79" s="1"/>
  <c r="A171" i="79" s="1"/>
  <c r="A172" i="79" s="1"/>
  <c r="A173" i="79" s="1"/>
  <c r="A174" i="79" s="1"/>
  <c r="A175" i="79" s="1"/>
  <c r="A176" i="79" s="1"/>
  <c r="A177" i="79" s="1"/>
  <c r="G113" i="44" l="1"/>
  <c r="F113" i="44"/>
  <c r="I113" i="44"/>
  <c r="E113" i="44"/>
  <c r="H113" i="44"/>
  <c r="E11" i="242" l="1"/>
  <c r="F11" i="242"/>
  <c r="G11" i="242"/>
  <c r="H11" i="242"/>
  <c r="I11" i="242"/>
  <c r="J11" i="242"/>
  <c r="K11" i="242"/>
  <c r="L11" i="242"/>
  <c r="M11" i="242"/>
  <c r="N11" i="242"/>
  <c r="O11" i="242"/>
  <c r="P11" i="242"/>
  <c r="D11" i="242"/>
  <c r="E11" i="241"/>
  <c r="F11" i="241"/>
  <c r="G11" i="241"/>
  <c r="H11" i="241"/>
  <c r="I11" i="241"/>
  <c r="J11" i="241"/>
  <c r="K11" i="241"/>
  <c r="L11" i="241"/>
  <c r="M11" i="241"/>
  <c r="N11" i="241"/>
  <c r="O11" i="241"/>
  <c r="P11" i="241"/>
  <c r="D11" i="241"/>
  <c r="E11" i="233"/>
  <c r="F11" i="233"/>
  <c r="G11" i="233"/>
  <c r="H11" i="233"/>
  <c r="I11" i="233"/>
  <c r="J11" i="233"/>
  <c r="K11" i="233"/>
  <c r="L11" i="233"/>
  <c r="M11" i="233"/>
  <c r="N11" i="233"/>
  <c r="O11" i="233"/>
  <c r="P11" i="233"/>
  <c r="D11" i="233"/>
  <c r="K9" i="99" l="1"/>
  <c r="K8" i="8"/>
  <c r="L9" i="34"/>
  <c r="O9" i="35"/>
  <c r="L9" i="36"/>
  <c r="I9" i="239"/>
  <c r="I10" i="103"/>
  <c r="E9" i="106"/>
  <c r="I9" i="102"/>
  <c r="K10" i="247"/>
  <c r="J10" i="100"/>
  <c r="J10" i="105"/>
  <c r="J10" i="104"/>
  <c r="F9" i="107"/>
  <c r="F10" i="228"/>
  <c r="G10" i="228"/>
  <c r="H10" i="228"/>
  <c r="I10" i="228"/>
  <c r="J10" i="228"/>
  <c r="K10" i="228"/>
  <c r="L10" i="228"/>
  <c r="M10" i="228"/>
  <c r="N10" i="228"/>
  <c r="O10" i="228"/>
  <c r="D10" i="228"/>
  <c r="F10" i="227"/>
  <c r="G10" i="227"/>
  <c r="H10" i="227"/>
  <c r="I10" i="227"/>
  <c r="J10" i="227"/>
  <c r="K10" i="227"/>
  <c r="L10" i="227"/>
  <c r="M10" i="227"/>
  <c r="N10" i="227"/>
  <c r="O10" i="227"/>
  <c r="F10" i="226"/>
  <c r="G10" i="226"/>
  <c r="H10" i="226"/>
  <c r="I10" i="226"/>
  <c r="J10" i="226"/>
  <c r="K10" i="226"/>
  <c r="L10" i="226"/>
  <c r="M10" i="226"/>
  <c r="N10" i="226"/>
  <c r="O10" i="226"/>
  <c r="D10" i="226"/>
  <c r="A16" i="237" l="1"/>
  <c r="A17" i="237" s="1"/>
  <c r="A16" i="209"/>
  <c r="A17" i="209" s="1"/>
  <c r="A16" i="236"/>
  <c r="A17" i="236" s="1"/>
  <c r="A18" i="237" l="1"/>
  <c r="A19" i="237" s="1"/>
  <c r="A20" i="237" s="1"/>
  <c r="A21" i="237" s="1"/>
  <c r="A18" i="209"/>
  <c r="A19" i="209" s="1"/>
  <c r="A20" i="209" s="1"/>
  <c r="A21" i="209" s="1"/>
  <c r="A22" i="209" s="1"/>
  <c r="A23" i="209" s="1"/>
  <c r="A24" i="209" s="1"/>
  <c r="A25" i="209" s="1"/>
  <c r="A26" i="209" s="1"/>
  <c r="A27" i="209" s="1"/>
  <c r="A28" i="209" s="1"/>
  <c r="A29" i="209" s="1"/>
  <c r="A30" i="209" s="1"/>
  <c r="A31" i="209" s="1"/>
  <c r="A32" i="209" s="1"/>
  <c r="A33" i="209" s="1"/>
  <c r="A34" i="209" s="1"/>
  <c r="A35" i="209" s="1"/>
  <c r="A36" i="209" s="1"/>
  <c r="A37" i="209" s="1"/>
  <c r="A38" i="209" s="1"/>
  <c r="A39" i="209" s="1"/>
  <c r="A40" i="209" s="1"/>
  <c r="A41" i="209" s="1"/>
  <c r="A42" i="209" s="1"/>
  <c r="A43" i="209" s="1"/>
  <c r="A44" i="209" s="1"/>
  <c r="A45" i="209" s="1"/>
  <c r="A46" i="209" s="1"/>
  <c r="A47" i="209" s="1"/>
  <c r="A48" i="209" s="1"/>
  <c r="A49" i="209" s="1"/>
  <c r="A50" i="209" s="1"/>
  <c r="A51" i="209" s="1"/>
  <c r="A52" i="209" s="1"/>
  <c r="A53" i="209" s="1"/>
  <c r="A54" i="209" s="1"/>
  <c r="A55" i="209" s="1"/>
  <c r="A56" i="209" s="1"/>
  <c r="A57" i="209" s="1"/>
  <c r="A58" i="209" s="1"/>
  <c r="A59" i="209" s="1"/>
  <c r="A60" i="209" s="1"/>
  <c r="A61" i="209" s="1"/>
  <c r="A62" i="209" s="1"/>
  <c r="A63" i="209" s="1"/>
  <c r="A64" i="209" s="1"/>
  <c r="A65" i="209" s="1"/>
  <c r="A66" i="209" s="1"/>
  <c r="A67" i="209" s="1"/>
  <c r="A68" i="209" s="1"/>
  <c r="A69" i="209" s="1"/>
  <c r="A70" i="209" s="1"/>
  <c r="A71" i="209" s="1"/>
  <c r="A72" i="209" s="1"/>
  <c r="A73" i="209" s="1"/>
  <c r="A74" i="209" s="1"/>
  <c r="A75" i="209" s="1"/>
  <c r="A76" i="209" s="1"/>
  <c r="A77" i="209" s="1"/>
  <c r="A78" i="209" s="1"/>
  <c r="A79" i="209" s="1"/>
  <c r="A80" i="209" s="1"/>
  <c r="A81" i="209" s="1"/>
  <c r="A82" i="209" s="1"/>
  <c r="A83" i="209" s="1"/>
  <c r="A84" i="209" s="1"/>
  <c r="A85" i="209" s="1"/>
  <c r="A86" i="209" s="1"/>
  <c r="A87" i="209" s="1"/>
  <c r="A88" i="209" s="1"/>
  <c r="A89" i="209" s="1"/>
  <c r="A90" i="209" s="1"/>
  <c r="A91" i="209" s="1"/>
  <c r="A92" i="209" s="1"/>
  <c r="A93" i="209" s="1"/>
  <c r="A94" i="209" s="1"/>
  <c r="A95" i="209" s="1"/>
  <c r="A96" i="209" s="1"/>
  <c r="A97" i="209" s="1"/>
  <c r="A98" i="209" s="1"/>
  <c r="A99" i="209" s="1"/>
  <c r="A100" i="209" s="1"/>
  <c r="A101" i="209" s="1"/>
  <c r="A102" i="209" s="1"/>
  <c r="A103" i="209" s="1"/>
  <c r="A104" i="209" s="1"/>
  <c r="A105" i="209" s="1"/>
  <c r="A106" i="209" s="1"/>
  <c r="A107" i="209" s="1"/>
  <c r="A108" i="209" s="1"/>
  <c r="A109" i="209" s="1"/>
  <c r="A110" i="209" s="1"/>
  <c r="A111" i="209" s="1"/>
  <c r="A112" i="209" s="1"/>
  <c r="A113" i="209" s="1"/>
  <c r="A114" i="209" s="1"/>
  <c r="A18" i="236"/>
  <c r="A19" i="236" s="1"/>
  <c r="A20" i="236" s="1"/>
  <c r="A21" i="236" s="1"/>
  <c r="A16" i="213"/>
  <c r="A17" i="213" s="1"/>
  <c r="A16" i="207"/>
  <c r="A17" i="207" s="1"/>
  <c r="A116" i="209" l="1"/>
  <c r="A117" i="209" s="1"/>
  <c r="A118" i="209" s="1"/>
  <c r="A119" i="209" s="1"/>
  <c r="A120" i="209" s="1"/>
  <c r="A121" i="209" s="1"/>
  <c r="A122" i="209" s="1"/>
  <c r="A123" i="209" s="1"/>
  <c r="A124" i="209" s="1"/>
  <c r="A125" i="209" s="1"/>
  <c r="A126" i="209" s="1"/>
  <c r="A127" i="209" s="1"/>
  <c r="A128" i="209" s="1"/>
  <c r="A129" i="209" s="1"/>
  <c r="A130" i="209" s="1"/>
  <c r="A131" i="209" s="1"/>
  <c r="A132" i="209" s="1"/>
  <c r="A133" i="209" s="1"/>
  <c r="A134" i="209" s="1"/>
  <c r="A135" i="209" s="1"/>
  <c r="A136" i="209" s="1"/>
  <c r="A137" i="209" s="1"/>
  <c r="A138" i="209" s="1"/>
  <c r="A139" i="209" s="1"/>
  <c r="A140" i="209" s="1"/>
  <c r="A141" i="209" s="1"/>
  <c r="A142" i="209" s="1"/>
  <c r="A143" i="209" s="1"/>
  <c r="A144" i="209" s="1"/>
  <c r="A145" i="209" s="1"/>
  <c r="A146" i="209" s="1"/>
  <c r="A147" i="209" s="1"/>
  <c r="A148" i="209" s="1"/>
  <c r="A149" i="209" s="1"/>
  <c r="A150" i="209" s="1"/>
  <c r="A151" i="209" s="1"/>
  <c r="A152" i="209" s="1"/>
  <c r="A153" i="209" s="1"/>
  <c r="A154" i="209" s="1"/>
  <c r="A155" i="209" s="1"/>
  <c r="A156" i="209" s="1"/>
  <c r="A157" i="209" s="1"/>
  <c r="A158" i="209" s="1"/>
  <c r="A159" i="209" s="1"/>
  <c r="A22" i="237"/>
  <c r="A23" i="237" s="1"/>
  <c r="A24" i="237" s="1"/>
  <c r="A25" i="237" s="1"/>
  <c r="A26" i="237" s="1"/>
  <c r="A27" i="237" s="1"/>
  <c r="A28" i="237" s="1"/>
  <c r="A29" i="237" s="1"/>
  <c r="A30" i="237" s="1"/>
  <c r="A31" i="237" s="1"/>
  <c r="A32" i="237" s="1"/>
  <c r="A33" i="237" s="1"/>
  <c r="A34" i="237" s="1"/>
  <c r="A35" i="237" s="1"/>
  <c r="A36" i="237" s="1"/>
  <c r="A37" i="237" s="1"/>
  <c r="A38" i="237" s="1"/>
  <c r="A39" i="237" s="1"/>
  <c r="A40" i="237" s="1"/>
  <c r="A41" i="237" s="1"/>
  <c r="A42" i="237" s="1"/>
  <c r="A43" i="237" s="1"/>
  <c r="A44" i="237" s="1"/>
  <c r="A45" i="237" s="1"/>
  <c r="A46" i="237" s="1"/>
  <c r="A47" i="237" s="1"/>
  <c r="A48" i="237" s="1"/>
  <c r="A49" i="237" s="1"/>
  <c r="A50" i="237" s="1"/>
  <c r="A51" i="237" s="1"/>
  <c r="A52" i="237" s="1"/>
  <c r="A53" i="237" s="1"/>
  <c r="A54" i="237" s="1"/>
  <c r="A55" i="237" s="1"/>
  <c r="A56" i="237" s="1"/>
  <c r="A57" i="237" s="1"/>
  <c r="A58" i="237" s="1"/>
  <c r="A59" i="237" s="1"/>
  <c r="A60" i="237" s="1"/>
  <c r="A61" i="237" s="1"/>
  <c r="A62" i="237" s="1"/>
  <c r="A63" i="237" s="1"/>
  <c r="A64" i="237" s="1"/>
  <c r="A65" i="237" s="1"/>
  <c r="A66" i="237" s="1"/>
  <c r="A67" i="237" s="1"/>
  <c r="A68" i="237" s="1"/>
  <c r="A69" i="237" s="1"/>
  <c r="A70" i="237" s="1"/>
  <c r="A71" i="237" s="1"/>
  <c r="A72" i="237" s="1"/>
  <c r="A73" i="237" s="1"/>
  <c r="A74" i="237" s="1"/>
  <c r="A75" i="237" s="1"/>
  <c r="A76" i="237" s="1"/>
  <c r="A77" i="237" s="1"/>
  <c r="A78" i="237" s="1"/>
  <c r="A79" i="237" s="1"/>
  <c r="A80" i="237" s="1"/>
  <c r="A81" i="237" s="1"/>
  <c r="A82" i="237" s="1"/>
  <c r="A83" i="237" s="1"/>
  <c r="A84" i="237" s="1"/>
  <c r="A85" i="237" s="1"/>
  <c r="A86" i="237" s="1"/>
  <c r="A87" i="237" s="1"/>
  <c r="A88" i="237" s="1"/>
  <c r="A89" i="237" s="1"/>
  <c r="A90" i="237" s="1"/>
  <c r="A91" i="237" s="1"/>
  <c r="A92" i="237" s="1"/>
  <c r="A93" i="237" s="1"/>
  <c r="A94" i="237" s="1"/>
  <c r="A95" i="237" s="1"/>
  <c r="A96" i="237" s="1"/>
  <c r="A97" i="237" s="1"/>
  <c r="A98" i="237" s="1"/>
  <c r="A99" i="237" s="1"/>
  <c r="A100" i="237" s="1"/>
  <c r="A101" i="237" s="1"/>
  <c r="A102" i="237" s="1"/>
  <c r="A103" i="237" s="1"/>
  <c r="A104" i="237" s="1"/>
  <c r="A105" i="237" s="1"/>
  <c r="A106" i="237" s="1"/>
  <c r="A107" i="237" s="1"/>
  <c r="A108" i="237" s="1"/>
  <c r="A109" i="237" s="1"/>
  <c r="A110" i="237" s="1"/>
  <c r="A111" i="237" s="1"/>
  <c r="A112" i="237" s="1"/>
  <c r="A113" i="237" s="1"/>
  <c r="A114" i="237" s="1"/>
  <c r="A115" i="237" s="1"/>
  <c r="A116" i="237" s="1"/>
  <c r="A117" i="237" s="1"/>
  <c r="A118" i="237" s="1"/>
  <c r="A119" i="237" s="1"/>
  <c r="A120" i="237" s="1"/>
  <c r="A121" i="237" s="1"/>
  <c r="A122" i="237" s="1"/>
  <c r="A123" i="237" s="1"/>
  <c r="A124" i="237" s="1"/>
  <c r="A125" i="237" s="1"/>
  <c r="A126" i="237" s="1"/>
  <c r="A127" i="237" s="1"/>
  <c r="A128" i="237" s="1"/>
  <c r="A129" i="237" s="1"/>
  <c r="A130" i="237" s="1"/>
  <c r="A131" i="237" s="1"/>
  <c r="A132" i="237" s="1"/>
  <c r="A133" i="237" s="1"/>
  <c r="A134" i="237" s="1"/>
  <c r="A135" i="237" s="1"/>
  <c r="A136" i="237" s="1"/>
  <c r="A137" i="237" s="1"/>
  <c r="A138" i="237" s="1"/>
  <c r="A139" i="237" s="1"/>
  <c r="A140" i="237" s="1"/>
  <c r="A141" i="237" s="1"/>
  <c r="A142" i="237" s="1"/>
  <c r="A143" i="237" s="1"/>
  <c r="A144" i="237" s="1"/>
  <c r="A145" i="237" s="1"/>
  <c r="A146" i="237" s="1"/>
  <c r="A147" i="237" s="1"/>
  <c r="A148" i="237" s="1"/>
  <c r="A149" i="237" s="1"/>
  <c r="A150" i="237" s="1"/>
  <c r="A151" i="237" s="1"/>
  <c r="A152" i="237" s="1"/>
  <c r="A153" i="237" s="1"/>
  <c r="A154" i="237" s="1"/>
  <c r="A155" i="237" s="1"/>
  <c r="A156" i="237" s="1"/>
  <c r="A157" i="237" s="1"/>
  <c r="A158" i="237" s="1"/>
  <c r="A159" i="237" s="1"/>
  <c r="A160" i="237" s="1"/>
  <c r="A161" i="237" s="1"/>
  <c r="A162" i="237" s="1"/>
  <c r="A163" i="237" s="1"/>
  <c r="A164" i="237" s="1"/>
  <c r="A165" i="237" s="1"/>
  <c r="A166" i="237" s="1"/>
  <c r="A167" i="237" s="1"/>
  <c r="A168" i="237" s="1"/>
  <c r="A169" i="237" s="1"/>
  <c r="A170" i="237" s="1"/>
  <c r="A171" i="237" s="1"/>
  <c r="A172" i="237" s="1"/>
  <c r="A173" i="237" s="1"/>
  <c r="A174" i="237" s="1"/>
  <c r="A175" i="237" s="1"/>
  <c r="A176" i="237" s="1"/>
  <c r="A177" i="237" s="1"/>
  <c r="A178" i="237" s="1"/>
  <c r="A179" i="237" s="1"/>
  <c r="A180" i="237" s="1"/>
  <c r="A181" i="237" s="1"/>
  <c r="A182" i="237" s="1"/>
  <c r="A183" i="237" s="1"/>
  <c r="A184" i="237" s="1"/>
  <c r="A185" i="237" s="1"/>
  <c r="A186" i="237" s="1"/>
  <c r="A187" i="237" s="1"/>
  <c r="A188" i="237" s="1"/>
  <c r="A189" i="237" s="1"/>
  <c r="A190" i="237" s="1"/>
  <c r="A191" i="237" s="1"/>
  <c r="A192" i="237" s="1"/>
  <c r="A193" i="237" s="1"/>
  <c r="A194" i="237" s="1"/>
  <c r="A195" i="237" s="1"/>
  <c r="A196" i="237" s="1"/>
  <c r="A197" i="237" s="1"/>
  <c r="A198" i="237" s="1"/>
  <c r="A199" i="237" s="1"/>
  <c r="A200" i="237" s="1"/>
  <c r="A201" i="237" s="1"/>
  <c r="A202" i="237" s="1"/>
  <c r="A203" i="237" s="1"/>
  <c r="A204" i="237" s="1"/>
  <c r="A205" i="237" s="1"/>
  <c r="A206" i="237" s="1"/>
  <c r="A207" i="237" s="1"/>
  <c r="A208" i="237" s="1"/>
  <c r="A209" i="237" s="1"/>
  <c r="A210" i="237" s="1"/>
  <c r="A211" i="237" s="1"/>
  <c r="A212" i="237" s="1"/>
  <c r="A213" i="237" s="1"/>
  <c r="A214" i="237" s="1"/>
  <c r="A215" i="237" s="1"/>
  <c r="A216" i="237" s="1"/>
  <c r="A217" i="237" s="1"/>
  <c r="A218" i="237" s="1"/>
  <c r="A219" i="237" s="1"/>
  <c r="A220" i="237" s="1"/>
  <c r="A221" i="237" s="1"/>
  <c r="A222" i="237" s="1"/>
  <c r="A223" i="237" s="1"/>
  <c r="A224" i="237" s="1"/>
  <c r="A225" i="237" s="1"/>
  <c r="A226" i="237" s="1"/>
  <c r="A227" i="237" s="1"/>
  <c r="A228" i="237" s="1"/>
  <c r="A229" i="237" s="1"/>
  <c r="A230" i="237" s="1"/>
  <c r="A231" i="237" s="1"/>
  <c r="A232" i="237" s="1"/>
  <c r="A233" i="237" s="1"/>
  <c r="A234" i="237" s="1"/>
  <c r="A235" i="237" s="1"/>
  <c r="A236" i="237" s="1"/>
  <c r="A237" i="237" s="1"/>
  <c r="A238" i="237" s="1"/>
  <c r="A239" i="237" s="1"/>
  <c r="A240" i="237" s="1"/>
  <c r="A241" i="237" s="1"/>
  <c r="A242" i="237" s="1"/>
  <c r="A243" i="237" s="1"/>
  <c r="A244" i="237" s="1"/>
  <c r="A245" i="237" s="1"/>
  <c r="A246" i="237" s="1"/>
  <c r="A247" i="237" s="1"/>
  <c r="A248" i="237" s="1"/>
  <c r="A249" i="237" s="1"/>
  <c r="A250" i="237" s="1"/>
  <c r="A251" i="237" s="1"/>
  <c r="A252" i="237" s="1"/>
  <c r="A253" i="237" s="1"/>
  <c r="A254" i="237" s="1"/>
  <c r="A255" i="237" s="1"/>
  <c r="A256" i="237" s="1"/>
  <c r="A257" i="237" s="1"/>
  <c r="A258" i="237" s="1"/>
  <c r="A259" i="237" s="1"/>
  <c r="A260" i="237" s="1"/>
  <c r="A261" i="237" s="1"/>
  <c r="A262" i="237" s="1"/>
  <c r="A263" i="237" s="1"/>
  <c r="A264" i="237" s="1"/>
  <c r="A22" i="236"/>
  <c r="A23" i="236" s="1"/>
  <c r="A24" i="236" s="1"/>
  <c r="A25" i="236" s="1"/>
  <c r="A26" i="236" s="1"/>
  <c r="A27" i="236" s="1"/>
  <c r="A28" i="236" s="1"/>
  <c r="A29" i="236" s="1"/>
  <c r="A30" i="236" s="1"/>
  <c r="A31" i="236" s="1"/>
  <c r="A32" i="236" s="1"/>
  <c r="A33" i="236" s="1"/>
  <c r="A34" i="236" s="1"/>
  <c r="A35" i="236" s="1"/>
  <c r="A36" i="236" s="1"/>
  <c r="A37" i="236" s="1"/>
  <c r="A38" i="236" s="1"/>
  <c r="A39" i="236" s="1"/>
  <c r="A40" i="236" s="1"/>
  <c r="A41" i="236" s="1"/>
  <c r="A42" i="236" s="1"/>
  <c r="A43" i="236" s="1"/>
  <c r="A44" i="236" s="1"/>
  <c r="A45" i="236" s="1"/>
  <c r="A46" i="236" s="1"/>
  <c r="A47" i="236" s="1"/>
  <c r="A48" i="236" s="1"/>
  <c r="A49" i="236" s="1"/>
  <c r="A50" i="236" s="1"/>
  <c r="A51" i="236" s="1"/>
  <c r="A52" i="236" s="1"/>
  <c r="A53" i="236" s="1"/>
  <c r="A54" i="236" s="1"/>
  <c r="A55" i="236" s="1"/>
  <c r="A56" i="236" s="1"/>
  <c r="A57" i="236" s="1"/>
  <c r="A58" i="236" s="1"/>
  <c r="A59" i="236" s="1"/>
  <c r="A60" i="236" s="1"/>
  <c r="A61" i="236" s="1"/>
  <c r="A62" i="236" s="1"/>
  <c r="A63" i="236" s="1"/>
  <c r="A64" i="236" s="1"/>
  <c r="A65" i="236" s="1"/>
  <c r="A66" i="236" s="1"/>
  <c r="A67" i="236" s="1"/>
  <c r="A68" i="236" s="1"/>
  <c r="A69" i="236" s="1"/>
  <c r="A70" i="236" s="1"/>
  <c r="A71" i="236" s="1"/>
  <c r="A72" i="236" s="1"/>
  <c r="A73" i="236" s="1"/>
  <c r="A74" i="236" s="1"/>
  <c r="A75" i="236" s="1"/>
  <c r="A76" i="236" s="1"/>
  <c r="A77" i="236" s="1"/>
  <c r="A78" i="236" s="1"/>
  <c r="A79" i="236" s="1"/>
  <c r="A80" i="236" s="1"/>
  <c r="A81" i="236" s="1"/>
  <c r="A82" i="236" s="1"/>
  <c r="A83" i="236" s="1"/>
  <c r="A84" i="236" s="1"/>
  <c r="A85" i="236" s="1"/>
  <c r="A86" i="236" s="1"/>
  <c r="A87" i="236" s="1"/>
  <c r="A88" i="236" s="1"/>
  <c r="A89" i="236" s="1"/>
  <c r="A90" i="236" s="1"/>
  <c r="A91" i="236" s="1"/>
  <c r="A92" i="236" s="1"/>
  <c r="A93" i="236" s="1"/>
  <c r="A94" i="236" s="1"/>
  <c r="A95" i="236" s="1"/>
  <c r="A96" i="236" s="1"/>
  <c r="A97" i="236" s="1"/>
  <c r="A98" i="236" s="1"/>
  <c r="A99" i="236" s="1"/>
  <c r="A100" i="236" s="1"/>
  <c r="A101" i="236" s="1"/>
  <c r="A102" i="236" s="1"/>
  <c r="A103" i="236" s="1"/>
  <c r="A104" i="236" s="1"/>
  <c r="A105" i="236" s="1"/>
  <c r="A106" i="236" s="1"/>
  <c r="A107" i="236" s="1"/>
  <c r="A108" i="236" s="1"/>
  <c r="A109" i="236" s="1"/>
  <c r="A110" i="236" s="1"/>
  <c r="A111" i="236" s="1"/>
  <c r="A112" i="236" s="1"/>
  <c r="A113" i="236" s="1"/>
  <c r="A114" i="236" s="1"/>
  <c r="A115" i="236" s="1"/>
  <c r="A116" i="236" s="1"/>
  <c r="A117" i="236" s="1"/>
  <c r="A118" i="236" s="1"/>
  <c r="A119" i="236" s="1"/>
  <c r="A120" i="236" s="1"/>
  <c r="A121" i="236" s="1"/>
  <c r="A122" i="236" s="1"/>
  <c r="A123" i="236" s="1"/>
  <c r="A124" i="236" s="1"/>
  <c r="A125" i="236" s="1"/>
  <c r="A126" i="236" s="1"/>
  <c r="A127" i="236" s="1"/>
  <c r="A128" i="236" s="1"/>
  <c r="A129" i="236" s="1"/>
  <c r="A130" i="236" s="1"/>
  <c r="A131" i="236" s="1"/>
  <c r="A132" i="236" s="1"/>
  <c r="A133" i="236" s="1"/>
  <c r="A134" i="236" s="1"/>
  <c r="A135" i="236" s="1"/>
  <c r="A136" i="236" s="1"/>
  <c r="A137" i="236" s="1"/>
  <c r="A138" i="236" s="1"/>
  <c r="A139" i="236" s="1"/>
  <c r="A140" i="236" s="1"/>
  <c r="A141" i="236" s="1"/>
  <c r="A142" i="236" s="1"/>
  <c r="A143" i="236" s="1"/>
  <c r="A144" i="236" s="1"/>
  <c r="A145" i="236" s="1"/>
  <c r="A146" i="236" s="1"/>
  <c r="A147" i="236" s="1"/>
  <c r="A148" i="236" s="1"/>
  <c r="A149" i="236" s="1"/>
  <c r="A150" i="236" s="1"/>
  <c r="A151" i="236" s="1"/>
  <c r="A152" i="236" s="1"/>
  <c r="A153" i="236" s="1"/>
  <c r="A154" i="236" s="1"/>
  <c r="A155" i="236" s="1"/>
  <c r="A156" i="236" s="1"/>
  <c r="A157" i="236" s="1"/>
  <c r="A158" i="236" s="1"/>
  <c r="A159" i="236" s="1"/>
  <c r="A160" i="236" s="1"/>
  <c r="A161" i="236" s="1"/>
  <c r="A162" i="236" s="1"/>
  <c r="A163" i="236" s="1"/>
  <c r="A164" i="236" s="1"/>
  <c r="A165" i="236" s="1"/>
  <c r="A166" i="236" s="1"/>
  <c r="A167" i="236" s="1"/>
  <c r="A168" i="236" s="1"/>
  <c r="A169" i="236" s="1"/>
  <c r="A170" i="236" s="1"/>
  <c r="A171" i="236" s="1"/>
  <c r="A172" i="236" s="1"/>
  <c r="A173" i="236" s="1"/>
  <c r="A174" i="236" s="1"/>
  <c r="A175" i="236" s="1"/>
  <c r="A176" i="236" s="1"/>
  <c r="A177" i="236" s="1"/>
  <c r="A178" i="236" s="1"/>
  <c r="A179" i="236" s="1"/>
  <c r="A180" i="236" s="1"/>
  <c r="A181" i="236" s="1"/>
  <c r="A182" i="236" s="1"/>
  <c r="A183" i="236" s="1"/>
  <c r="A184" i="236" s="1"/>
  <c r="A185" i="236" s="1"/>
  <c r="A186" i="236" s="1"/>
  <c r="A187" i="236" s="1"/>
  <c r="A188" i="236" s="1"/>
  <c r="A189" i="236" s="1"/>
  <c r="A190" i="236" s="1"/>
  <c r="A191" i="236" s="1"/>
  <c r="A192" i="236" s="1"/>
  <c r="A193" i="236" s="1"/>
  <c r="A194" i="236" s="1"/>
  <c r="A195" i="236" s="1"/>
  <c r="A196" i="236" s="1"/>
  <c r="A197" i="236" s="1"/>
  <c r="A198" i="236" s="1"/>
  <c r="A199" i="236" s="1"/>
  <c r="A200" i="236" s="1"/>
  <c r="A201" i="236" s="1"/>
  <c r="A202" i="236" s="1"/>
  <c r="A203" i="236" s="1"/>
  <c r="A204" i="236" s="1"/>
  <c r="A205" i="236" s="1"/>
  <c r="A206" i="236" s="1"/>
  <c r="A207" i="236" s="1"/>
  <c r="A208" i="236" s="1"/>
  <c r="A209" i="236" s="1"/>
  <c r="A210" i="236" s="1"/>
  <c r="A211" i="236" s="1"/>
  <c r="A212" i="236" s="1"/>
  <c r="A213" i="236" s="1"/>
  <c r="A214" i="236" s="1"/>
  <c r="A215" i="236" s="1"/>
  <c r="A216" i="236" s="1"/>
  <c r="A217" i="236" s="1"/>
  <c r="A218" i="236" s="1"/>
  <c r="A219" i="236" s="1"/>
  <c r="A220" i="236" s="1"/>
  <c r="A221" i="236" s="1"/>
  <c r="A222" i="236" s="1"/>
  <c r="A223" i="236" s="1"/>
  <c r="A224" i="236" s="1"/>
  <c r="A225" i="236" s="1"/>
  <c r="A226" i="236" s="1"/>
  <c r="A227" i="236" s="1"/>
  <c r="A228" i="236" s="1"/>
  <c r="A229" i="236" s="1"/>
  <c r="A230" i="236" s="1"/>
  <c r="A231" i="236" s="1"/>
  <c r="A232" i="236" s="1"/>
  <c r="A233" i="236" s="1"/>
  <c r="A234" i="236" s="1"/>
  <c r="A235" i="236" s="1"/>
  <c r="A236" i="236" s="1"/>
  <c r="A237" i="236" s="1"/>
  <c r="A238" i="236" s="1"/>
  <c r="A239" i="236" s="1"/>
  <c r="A240" i="236" s="1"/>
  <c r="A241" i="236" s="1"/>
  <c r="A242" i="236" s="1"/>
  <c r="A243" i="236" s="1"/>
  <c r="A244" i="236" s="1"/>
  <c r="A245" i="236" s="1"/>
  <c r="A246" i="236" s="1"/>
  <c r="A247" i="236" s="1"/>
  <c r="A248" i="236" s="1"/>
  <c r="A249" i="236" s="1"/>
  <c r="A250" i="236" s="1"/>
  <c r="A251" i="236" s="1"/>
  <c r="A252" i="236" s="1"/>
  <c r="A253" i="236" s="1"/>
  <c r="A254" i="236" s="1"/>
  <c r="A255" i="236" s="1"/>
  <c r="A256" i="236" s="1"/>
  <c r="A257" i="236" s="1"/>
  <c r="A258" i="236" s="1"/>
  <c r="A259" i="236" s="1"/>
  <c r="A260" i="236" s="1"/>
  <c r="A261" i="236" s="1"/>
  <c r="A262" i="236" s="1"/>
  <c r="A263" i="236" s="1"/>
  <c r="A264" i="236" s="1"/>
  <c r="A18" i="213"/>
  <c r="A19" i="213" s="1"/>
  <c r="A20" i="213" s="1"/>
  <c r="A21" i="213" s="1"/>
  <c r="A18" i="207"/>
  <c r="A19" i="207" s="1"/>
  <c r="A20" i="207" s="1"/>
  <c r="A21" i="207" s="1"/>
  <c r="A160" i="209" l="1"/>
  <c r="A161" i="209" s="1"/>
  <c r="A162" i="209" s="1"/>
  <c r="A163" i="209" s="1"/>
  <c r="A164" i="209" s="1"/>
  <c r="A165" i="209" s="1"/>
  <c r="A166" i="209" s="1"/>
  <c r="A167" i="209" s="1"/>
  <c r="A168" i="209" s="1"/>
  <c r="A169" i="209" s="1"/>
  <c r="A170" i="209" s="1"/>
  <c r="A171" i="209" s="1"/>
  <c r="A172" i="209" s="1"/>
  <c r="A173" i="209" s="1"/>
  <c r="A174" i="209" s="1"/>
  <c r="A175" i="209" s="1"/>
  <c r="A176" i="209" s="1"/>
  <c r="A177" i="209" s="1"/>
  <c r="A178" i="209" s="1"/>
  <c r="A179" i="209" s="1"/>
  <c r="A180" i="209" s="1"/>
  <c r="A181" i="209" s="1"/>
  <c r="A182" i="209" s="1"/>
  <c r="A183" i="209" s="1"/>
  <c r="A184" i="209" s="1"/>
  <c r="A185" i="209" s="1"/>
  <c r="A186" i="209" s="1"/>
  <c r="A187" i="209" s="1"/>
  <c r="A188" i="209" s="1"/>
  <c r="A22" i="213"/>
  <c r="A23" i="213" s="1"/>
  <c r="A24" i="213" s="1"/>
  <c r="A25" i="213" s="1"/>
  <c r="A26" i="213" s="1"/>
  <c r="A27" i="213" s="1"/>
  <c r="A28" i="213" s="1"/>
  <c r="A29" i="213" s="1"/>
  <c r="A30" i="213" s="1"/>
  <c r="A31" i="213" s="1"/>
  <c r="A32" i="213" s="1"/>
  <c r="A33" i="213" s="1"/>
  <c r="A34" i="213" s="1"/>
  <c r="A35" i="213" s="1"/>
  <c r="A36" i="213" s="1"/>
  <c r="A37" i="213" s="1"/>
  <c r="A38" i="213" s="1"/>
  <c r="A39" i="213" s="1"/>
  <c r="A40" i="213" s="1"/>
  <c r="A41" i="213" s="1"/>
  <c r="A42" i="213" s="1"/>
  <c r="A43" i="213" s="1"/>
  <c r="A44" i="213" s="1"/>
  <c r="A45" i="213" s="1"/>
  <c r="A46" i="213" s="1"/>
  <c r="A47" i="213" s="1"/>
  <c r="A48" i="213" s="1"/>
  <c r="A49" i="213" s="1"/>
  <c r="A50" i="213" s="1"/>
  <c r="A51" i="213" s="1"/>
  <c r="A52" i="213" s="1"/>
  <c r="A53" i="213" s="1"/>
  <c r="A54" i="213" s="1"/>
  <c r="A55" i="213" s="1"/>
  <c r="A56" i="213" s="1"/>
  <c r="A57" i="213" s="1"/>
  <c r="A58" i="213" s="1"/>
  <c r="A59" i="213" s="1"/>
  <c r="A60" i="213" s="1"/>
  <c r="A61" i="213" s="1"/>
  <c r="A62" i="213" s="1"/>
  <c r="A63" i="213" s="1"/>
  <c r="A64" i="213" s="1"/>
  <c r="A65" i="213" s="1"/>
  <c r="A66" i="213" s="1"/>
  <c r="A67" i="213" s="1"/>
  <c r="A68" i="213" s="1"/>
  <c r="A69" i="213" s="1"/>
  <c r="A70" i="213" s="1"/>
  <c r="A71" i="213" s="1"/>
  <c r="A72" i="213" s="1"/>
  <c r="A73" i="213" s="1"/>
  <c r="A74" i="213" s="1"/>
  <c r="A75" i="213" s="1"/>
  <c r="A76" i="213" s="1"/>
  <c r="A77" i="213" s="1"/>
  <c r="A78" i="213" s="1"/>
  <c r="A79" i="213" s="1"/>
  <c r="A80" i="213" s="1"/>
  <c r="A81" i="213" s="1"/>
  <c r="A82" i="213" s="1"/>
  <c r="A83" i="213" s="1"/>
  <c r="A84" i="213" s="1"/>
  <c r="A85" i="213" s="1"/>
  <c r="A86" i="213" s="1"/>
  <c r="A87" i="213" s="1"/>
  <c r="A88" i="213" s="1"/>
  <c r="A89" i="213" s="1"/>
  <c r="A90" i="213" s="1"/>
  <c r="A91" i="213" s="1"/>
  <c r="A92" i="213" s="1"/>
  <c r="A93" i="213" s="1"/>
  <c r="A94" i="213" s="1"/>
  <c r="A95" i="213" s="1"/>
  <c r="A96" i="213" s="1"/>
  <c r="A97" i="213" s="1"/>
  <c r="A98" i="213" s="1"/>
  <c r="A99" i="213" s="1"/>
  <c r="A100" i="213" s="1"/>
  <c r="A101" i="213" s="1"/>
  <c r="A102" i="213" s="1"/>
  <c r="A103" i="213" s="1"/>
  <c r="A104" i="213" s="1"/>
  <c r="A105" i="213" s="1"/>
  <c r="A106" i="213" s="1"/>
  <c r="A107" i="213" s="1"/>
  <c r="A108" i="213" s="1"/>
  <c r="A109" i="213" s="1"/>
  <c r="A110" i="213" s="1"/>
  <c r="A111" i="213" s="1"/>
  <c r="A112" i="213" s="1"/>
  <c r="A113" i="213" s="1"/>
  <c r="A114" i="213" s="1"/>
  <c r="A115" i="213" s="1"/>
  <c r="A116" i="213" s="1"/>
  <c r="A117" i="213" s="1"/>
  <c r="A118" i="213" s="1"/>
  <c r="A119" i="213" s="1"/>
  <c r="A120" i="213" s="1"/>
  <c r="A121" i="213" s="1"/>
  <c r="A122" i="213" s="1"/>
  <c r="A123" i="213" s="1"/>
  <c r="A124" i="213" s="1"/>
  <c r="A125" i="213" s="1"/>
  <c r="A126" i="213" s="1"/>
  <c r="A127" i="213" s="1"/>
  <c r="A128" i="213" s="1"/>
  <c r="A129" i="213" s="1"/>
  <c r="A130" i="213" s="1"/>
  <c r="A131" i="213" s="1"/>
  <c r="A132" i="213" s="1"/>
  <c r="A133" i="213" s="1"/>
  <c r="A134" i="213" s="1"/>
  <c r="A135" i="213" s="1"/>
  <c r="A136" i="213" s="1"/>
  <c r="A137" i="213" s="1"/>
  <c r="A138" i="213" s="1"/>
  <c r="A139" i="213" s="1"/>
  <c r="A140" i="213" s="1"/>
  <c r="A141" i="213" s="1"/>
  <c r="A142" i="213" s="1"/>
  <c r="A143" i="213" s="1"/>
  <c r="A144" i="213" s="1"/>
  <c r="A145" i="213" s="1"/>
  <c r="A146" i="213" s="1"/>
  <c r="A147" i="213" s="1"/>
  <c r="A148" i="213" s="1"/>
  <c r="A149" i="213" s="1"/>
  <c r="A150" i="213" s="1"/>
  <c r="A151" i="213" s="1"/>
  <c r="A152" i="213" s="1"/>
  <c r="A153" i="213" s="1"/>
  <c r="A154" i="213" s="1"/>
  <c r="A155" i="213" s="1"/>
  <c r="A156" i="213" s="1"/>
  <c r="A157" i="213" s="1"/>
  <c r="A158" i="213" s="1"/>
  <c r="A159" i="213" s="1"/>
  <c r="A160" i="213" s="1"/>
  <c r="A161" i="213" s="1"/>
  <c r="A162" i="213" s="1"/>
  <c r="A163" i="213" s="1"/>
  <c r="A164" i="213" s="1"/>
  <c r="A165" i="213" s="1"/>
  <c r="A166" i="213" s="1"/>
  <c r="A167" i="213" s="1"/>
  <c r="A168" i="213" s="1"/>
  <c r="A169" i="213" s="1"/>
  <c r="A170" i="213" s="1"/>
  <c r="A171" i="213" s="1"/>
  <c r="A172" i="213" s="1"/>
  <c r="A173" i="213" s="1"/>
  <c r="A174" i="213" s="1"/>
  <c r="A175" i="213" s="1"/>
  <c r="A176" i="213" s="1"/>
  <c r="A177" i="213" s="1"/>
  <c r="A178" i="213" s="1"/>
  <c r="A179" i="213" s="1"/>
  <c r="A180" i="213" s="1"/>
  <c r="A181" i="213" s="1"/>
  <c r="A182" i="213" s="1"/>
  <c r="A183" i="213" s="1"/>
  <c r="A184" i="213" s="1"/>
  <c r="A185" i="213" s="1"/>
  <c r="A186" i="213" s="1"/>
  <c r="A187" i="213" s="1"/>
  <c r="A188" i="213" s="1"/>
  <c r="A189" i="213" s="1"/>
  <c r="A190" i="213" s="1"/>
  <c r="A191" i="213" s="1"/>
  <c r="A192" i="213" s="1"/>
  <c r="A193" i="213" s="1"/>
  <c r="A194" i="213" s="1"/>
  <c r="A195" i="213" s="1"/>
  <c r="A196" i="213" s="1"/>
  <c r="A197" i="213" s="1"/>
  <c r="A198" i="213" s="1"/>
  <c r="A199" i="213" s="1"/>
  <c r="A200" i="213" s="1"/>
  <c r="A201" i="213" s="1"/>
  <c r="A202" i="213" s="1"/>
  <c r="A203" i="213" s="1"/>
  <c r="A204" i="213" s="1"/>
  <c r="A205" i="213" s="1"/>
  <c r="A206" i="213" s="1"/>
  <c r="A207" i="213" s="1"/>
  <c r="A208" i="213" s="1"/>
  <c r="A209" i="213" s="1"/>
  <c r="A210" i="213" s="1"/>
  <c r="A211" i="213" s="1"/>
  <c r="A212" i="213" s="1"/>
  <c r="A213" i="213" s="1"/>
  <c r="A214" i="213" s="1"/>
  <c r="A215" i="213" s="1"/>
  <c r="A216" i="213" s="1"/>
  <c r="A217" i="213" s="1"/>
  <c r="A218" i="213" s="1"/>
  <c r="A219" i="213" s="1"/>
  <c r="A220" i="213" s="1"/>
  <c r="A221" i="213" s="1"/>
  <c r="A222" i="213" s="1"/>
  <c r="A223" i="213" s="1"/>
  <c r="A224" i="213" s="1"/>
  <c r="A225" i="213" s="1"/>
  <c r="A226" i="213" s="1"/>
  <c r="A227" i="213" s="1"/>
  <c r="A228" i="213" s="1"/>
  <c r="A229" i="213" s="1"/>
  <c r="A230" i="213" s="1"/>
  <c r="A231" i="213" s="1"/>
  <c r="A232" i="213" s="1"/>
  <c r="A233" i="213" s="1"/>
  <c r="A234" i="213" s="1"/>
  <c r="A235" i="213" s="1"/>
  <c r="A236" i="213" s="1"/>
  <c r="A237" i="213" s="1"/>
  <c r="A238" i="213" s="1"/>
  <c r="A239" i="213" s="1"/>
  <c r="A240" i="213" s="1"/>
  <c r="A241" i="213" s="1"/>
  <c r="A242" i="213" s="1"/>
  <c r="A243" i="213" s="1"/>
  <c r="A244" i="213" s="1"/>
  <c r="A245" i="213" s="1"/>
  <c r="A246" i="213" s="1"/>
  <c r="A247" i="213" s="1"/>
  <c r="A248" i="213" s="1"/>
  <c r="A249" i="213" s="1"/>
  <c r="A250" i="213" s="1"/>
  <c r="A251" i="213" s="1"/>
  <c r="A252" i="213" s="1"/>
  <c r="A253" i="213" s="1"/>
  <c r="A254" i="213" s="1"/>
  <c r="A255" i="213" s="1"/>
  <c r="A256" i="213" s="1"/>
  <c r="A257" i="213" s="1"/>
  <c r="A258" i="213" s="1"/>
  <c r="A259" i="213" s="1"/>
  <c r="A260" i="213" s="1"/>
  <c r="A261" i="213" s="1"/>
  <c r="A262" i="213" s="1"/>
  <c r="A263" i="213" s="1"/>
  <c r="A264" i="213" s="1"/>
  <c r="A265" i="213" s="1"/>
  <c r="A266" i="213" s="1"/>
  <c r="A267" i="213" s="1"/>
  <c r="A268" i="213" s="1"/>
  <c r="A22" i="207"/>
  <c r="A23" i="207" s="1"/>
  <c r="A24" i="207" s="1"/>
  <c r="A25" i="207" s="1"/>
  <c r="A26" i="207" s="1"/>
  <c r="A27" i="207" s="1"/>
  <c r="A28" i="207" s="1"/>
  <c r="A29" i="207" s="1"/>
  <c r="A30" i="207" s="1"/>
  <c r="A31" i="207" s="1"/>
  <c r="A32" i="207" s="1"/>
  <c r="A33" i="207" s="1"/>
  <c r="A34" i="207" s="1"/>
  <c r="A35" i="207" s="1"/>
  <c r="A36" i="207" s="1"/>
  <c r="A37" i="207" s="1"/>
  <c r="A38" i="207" s="1"/>
  <c r="A39" i="207" s="1"/>
  <c r="A40" i="207" s="1"/>
  <c r="A41" i="207" s="1"/>
  <c r="A42" i="207" s="1"/>
  <c r="A43" i="207" s="1"/>
  <c r="A44" i="207" s="1"/>
  <c r="A45" i="207" s="1"/>
  <c r="A46" i="207" s="1"/>
  <c r="A47" i="207" s="1"/>
  <c r="A48" i="207" s="1"/>
  <c r="A49" i="207" s="1"/>
  <c r="A50" i="207" s="1"/>
  <c r="A51" i="207" s="1"/>
  <c r="A52" i="207" s="1"/>
  <c r="A53" i="207" s="1"/>
  <c r="A54" i="207" s="1"/>
  <c r="A55" i="207" s="1"/>
  <c r="A56" i="207" s="1"/>
  <c r="A57" i="207" s="1"/>
  <c r="A58" i="207" s="1"/>
  <c r="A59" i="207" s="1"/>
  <c r="A60" i="207" s="1"/>
  <c r="A61" i="207" s="1"/>
  <c r="A62" i="207" s="1"/>
  <c r="A63" i="207" s="1"/>
  <c r="A64" i="207" s="1"/>
  <c r="A65" i="207" s="1"/>
  <c r="A66" i="207" s="1"/>
  <c r="A67" i="207" s="1"/>
  <c r="A68" i="207" s="1"/>
  <c r="A69" i="207" s="1"/>
  <c r="A70" i="207" s="1"/>
  <c r="A71" i="207" s="1"/>
  <c r="A72" i="207" s="1"/>
  <c r="A73" i="207" s="1"/>
  <c r="A74" i="207" s="1"/>
  <c r="A75" i="207" s="1"/>
  <c r="A76" i="207" s="1"/>
  <c r="A77" i="207" s="1"/>
  <c r="A78" i="207" s="1"/>
  <c r="A79" i="207" s="1"/>
  <c r="A80" i="207" s="1"/>
  <c r="A81" i="207" s="1"/>
  <c r="A82" i="207" s="1"/>
  <c r="A83" i="207" s="1"/>
  <c r="A84" i="207" s="1"/>
  <c r="A85" i="207" s="1"/>
  <c r="A86" i="207" s="1"/>
  <c r="A87" i="207" s="1"/>
  <c r="A88" i="207" s="1"/>
  <c r="A89" i="207" s="1"/>
  <c r="A90" i="207" s="1"/>
  <c r="A91" i="207" s="1"/>
  <c r="A92" i="207" s="1"/>
  <c r="A93" i="207" s="1"/>
  <c r="A94" i="207" s="1"/>
  <c r="A95" i="207" s="1"/>
  <c r="A96" i="207" s="1"/>
  <c r="A97" i="207" s="1"/>
  <c r="A98" i="207" s="1"/>
  <c r="A99" i="207" s="1"/>
  <c r="A100" i="207" s="1"/>
  <c r="A101" i="207" s="1"/>
  <c r="A102" i="207" s="1"/>
  <c r="A103" i="207" s="1"/>
  <c r="A104" i="207" s="1"/>
  <c r="A105" i="207" s="1"/>
  <c r="A106" i="207" s="1"/>
  <c r="A107" i="207" s="1"/>
  <c r="A108" i="207" s="1"/>
  <c r="A109" i="207" s="1"/>
  <c r="A110" i="207" s="1"/>
  <c r="A111" i="207" s="1"/>
  <c r="A112" i="207" s="1"/>
  <c r="A113" i="207" s="1"/>
  <c r="A114" i="207" s="1"/>
  <c r="A115" i="207" s="1"/>
  <c r="A116" i="207" s="1"/>
  <c r="A117" i="207" s="1"/>
  <c r="A118" i="207" s="1"/>
  <c r="A119" i="207" s="1"/>
  <c r="A120" i="207" s="1"/>
  <c r="A121" i="207" s="1"/>
  <c r="A122" i="207" s="1"/>
  <c r="A123" i="207" s="1"/>
  <c r="A124" i="207" s="1"/>
  <c r="A125" i="207" s="1"/>
  <c r="A126" i="207" s="1"/>
  <c r="A127" i="207" s="1"/>
  <c r="A128" i="207" s="1"/>
  <c r="A129" i="207" s="1"/>
  <c r="A130" i="207" s="1"/>
  <c r="A131" i="207" s="1"/>
  <c r="A132" i="207" s="1"/>
  <c r="A133" i="207" s="1"/>
  <c r="A134" i="207" s="1"/>
  <c r="A135" i="207" s="1"/>
  <c r="A136" i="207" s="1"/>
  <c r="A137" i="207" s="1"/>
  <c r="A138" i="207" s="1"/>
  <c r="A139" i="207" s="1"/>
  <c r="A140" i="207" s="1"/>
  <c r="A141" i="207" s="1"/>
  <c r="A142" i="207" s="1"/>
  <c r="A143" i="207" s="1"/>
  <c r="A144" i="207" s="1"/>
  <c r="A145" i="207" s="1"/>
  <c r="A146" i="207" s="1"/>
  <c r="A147" i="207" s="1"/>
  <c r="A148" i="207" s="1"/>
  <c r="A149" i="207" s="1"/>
  <c r="A150" i="207" s="1"/>
  <c r="A151" i="207" s="1"/>
  <c r="A152" i="207" s="1"/>
  <c r="A153" i="207" s="1"/>
  <c r="A154" i="207" s="1"/>
  <c r="A155" i="207" s="1"/>
  <c r="A156" i="207" s="1"/>
  <c r="A157" i="207" s="1"/>
  <c r="A158" i="207" s="1"/>
  <c r="A159" i="207" s="1"/>
  <c r="A160" i="207" s="1"/>
  <c r="A161" i="207" s="1"/>
  <c r="A162" i="207" s="1"/>
  <c r="A163" i="207" s="1"/>
  <c r="A164" i="207" s="1"/>
  <c r="A165" i="207" s="1"/>
  <c r="A166" i="207" s="1"/>
  <c r="A167" i="207" s="1"/>
  <c r="A168" i="207" s="1"/>
  <c r="A169" i="207" s="1"/>
  <c r="A170" i="207" s="1"/>
  <c r="A171" i="207" s="1"/>
  <c r="A172" i="207" s="1"/>
  <c r="A173" i="207" s="1"/>
  <c r="A174" i="207" s="1"/>
  <c r="A175" i="207" s="1"/>
  <c r="A176" i="207" s="1"/>
  <c r="A177" i="207" s="1"/>
  <c r="A178" i="207" s="1"/>
  <c r="A179" i="207" s="1"/>
  <c r="A180" i="207" s="1"/>
  <c r="A181" i="207" s="1"/>
  <c r="A182" i="207" s="1"/>
  <c r="A183" i="207" s="1"/>
  <c r="A184" i="207" s="1"/>
  <c r="A185" i="207" s="1"/>
  <c r="A186" i="207" s="1"/>
  <c r="A187" i="207" s="1"/>
  <c r="A188" i="207" s="1"/>
  <c r="A189" i="207" s="1"/>
  <c r="A190" i="207" s="1"/>
  <c r="A191" i="207" s="1"/>
  <c r="A192" i="207" s="1"/>
  <c r="A193" i="207" s="1"/>
  <c r="A194" i="207" s="1"/>
  <c r="A195" i="207" s="1"/>
  <c r="A196" i="207" s="1"/>
  <c r="A197" i="207" s="1"/>
  <c r="A198" i="207" s="1"/>
  <c r="A199" i="207" s="1"/>
  <c r="A200" i="207" s="1"/>
  <c r="A201" i="207" s="1"/>
  <c r="A202" i="207" s="1"/>
  <c r="A203" i="207" s="1"/>
  <c r="A204" i="207" s="1"/>
  <c r="A205" i="207" s="1"/>
  <c r="A206" i="207" s="1"/>
  <c r="A207" i="207" s="1"/>
  <c r="A208" i="207" s="1"/>
  <c r="A209" i="207" s="1"/>
  <c r="A210" i="207" s="1"/>
  <c r="A211" i="207" s="1"/>
  <c r="A212" i="207" s="1"/>
  <c r="A213" i="207" s="1"/>
  <c r="A214" i="207" s="1"/>
  <c r="A215" i="207" s="1"/>
  <c r="A216" i="207" s="1"/>
  <c r="A217" i="207" s="1"/>
  <c r="A218" i="207" s="1"/>
  <c r="A219" i="207" s="1"/>
  <c r="A220" i="207" s="1"/>
  <c r="A221" i="207" s="1"/>
  <c r="A222" i="207" s="1"/>
  <c r="A223" i="207" s="1"/>
  <c r="A224" i="207" s="1"/>
  <c r="A225" i="207" s="1"/>
  <c r="A226" i="207" s="1"/>
  <c r="A227" i="207" s="1"/>
  <c r="A228" i="207" s="1"/>
  <c r="A229" i="207" s="1"/>
  <c r="A230" i="207" s="1"/>
  <c r="A231" i="207" s="1"/>
  <c r="A232" i="207" s="1"/>
  <c r="A233" i="207" s="1"/>
  <c r="A234" i="207" s="1"/>
  <c r="A235" i="207" s="1"/>
  <c r="A236" i="207" s="1"/>
  <c r="A237" i="207" s="1"/>
  <c r="A238" i="207" s="1"/>
  <c r="A239" i="207" s="1"/>
  <c r="A240" i="207" s="1"/>
  <c r="A241" i="207" s="1"/>
  <c r="A242" i="207" s="1"/>
  <c r="A243" i="207" s="1"/>
  <c r="A244" i="207" s="1"/>
  <c r="A245" i="207" s="1"/>
  <c r="A246" i="207" s="1"/>
  <c r="A247" i="207" s="1"/>
  <c r="A248" i="207" s="1"/>
  <c r="A249" i="207" s="1"/>
  <c r="A250" i="207" s="1"/>
  <c r="A251" i="207" s="1"/>
  <c r="A252" i="207" s="1"/>
  <c r="A253" i="207" s="1"/>
  <c r="A254" i="207" s="1"/>
  <c r="A255" i="207" s="1"/>
  <c r="A256" i="207" s="1"/>
  <c r="A257" i="207" s="1"/>
  <c r="A258" i="207" s="1"/>
  <c r="A259" i="207" s="1"/>
  <c r="A260" i="207" s="1"/>
  <c r="A261" i="207" s="1"/>
  <c r="A262" i="207" s="1"/>
  <c r="A263" i="207" s="1"/>
  <c r="A264" i="207" s="1"/>
  <c r="A265" i="207" s="1"/>
  <c r="A266" i="207" s="1"/>
  <c r="A267" i="207" s="1"/>
  <c r="A268" i="207" s="1"/>
  <c r="A189" i="209" l="1"/>
  <c r="A190" i="209" s="1"/>
  <c r="A191" i="209" s="1"/>
  <c r="A192" i="209" s="1"/>
  <c r="A193" i="209" s="1"/>
  <c r="A194" i="209" s="1"/>
  <c r="A195" i="209" s="1"/>
  <c r="A196" i="209" s="1"/>
  <c r="A197" i="209" s="1"/>
  <c r="A198" i="209" s="1"/>
  <c r="A199" i="209" s="1"/>
  <c r="A200" i="209" s="1"/>
  <c r="A201" i="209" s="1"/>
  <c r="A202" i="209" s="1"/>
  <c r="A203" i="209" s="1"/>
  <c r="A204" i="209" s="1"/>
  <c r="A205" i="209" s="1"/>
  <c r="A206" i="209" s="1"/>
  <c r="A207" i="209" s="1"/>
  <c r="A208" i="209" s="1"/>
  <c r="A209" i="209" s="1"/>
  <c r="A210" i="209" s="1"/>
  <c r="A211" i="209" s="1"/>
  <c r="A212" i="209" s="1"/>
  <c r="A213" i="209" s="1"/>
  <c r="A214" i="209" s="1"/>
  <c r="A215" i="209" s="1"/>
  <c r="A216" i="209" s="1"/>
  <c r="A217" i="209" s="1"/>
  <c r="A218" i="209" s="1"/>
  <c r="A219" i="209" s="1"/>
  <c r="A220" i="209" s="1"/>
  <c r="A221" i="209" s="1"/>
  <c r="A222" i="209" s="1"/>
  <c r="A223" i="209" s="1"/>
  <c r="A224" i="209" s="1"/>
  <c r="A225" i="209" s="1"/>
  <c r="A226" i="209" s="1"/>
  <c r="A227" i="209" s="1"/>
  <c r="A228" i="209" s="1"/>
  <c r="A229" i="209" s="1"/>
  <c r="A230" i="209" s="1"/>
  <c r="A231" i="209" s="1"/>
  <c r="D12" i="237"/>
  <c r="A232" i="209" l="1"/>
  <c r="A233" i="209" s="1"/>
  <c r="A234" i="209" s="1"/>
  <c r="A235" i="209" s="1"/>
  <c r="A236" i="209" s="1"/>
  <c r="A237" i="209" s="1"/>
  <c r="A238" i="209" s="1"/>
  <c r="A239" i="209" s="1"/>
  <c r="A240" i="209" s="1"/>
  <c r="A241" i="209" s="1"/>
  <c r="A242" i="209" s="1"/>
  <c r="A243" i="209" s="1"/>
  <c r="A244" i="209" s="1"/>
  <c r="A245" i="209" s="1"/>
  <c r="A246" i="209" s="1"/>
  <c r="A247" i="209" s="1"/>
  <c r="A248" i="209" s="1"/>
  <c r="A249" i="209" s="1"/>
  <c r="A250" i="209" s="1"/>
  <c r="A251" i="209" s="1"/>
  <c r="A252" i="209" s="1"/>
  <c r="A253" i="209" s="1"/>
  <c r="A254" i="209" s="1"/>
  <c r="A255" i="209" s="1"/>
  <c r="A256" i="209" s="1"/>
  <c r="A257" i="209" s="1"/>
  <c r="A258" i="209" s="1"/>
  <c r="A259" i="209" s="1"/>
  <c r="A260" i="209" s="1"/>
  <c r="A261" i="209" s="1"/>
  <c r="A262" i="209" s="1"/>
  <c r="A263" i="209" s="1"/>
  <c r="A264" i="209" s="1"/>
  <c r="A265" i="209" s="1"/>
  <c r="A266" i="209" s="1"/>
  <c r="C12" i="215"/>
  <c r="C12" i="30"/>
  <c r="H12" i="30" s="1"/>
  <c r="G210" i="236" l="1"/>
  <c r="L210" i="236" s="1"/>
  <c r="G214" i="236"/>
  <c r="L214" i="236" s="1"/>
  <c r="G207" i="236"/>
  <c r="L207" i="236" s="1"/>
  <c r="G211" i="236"/>
  <c r="L211" i="236" s="1"/>
  <c r="G213" i="236"/>
  <c r="L213" i="236" s="1"/>
  <c r="G218" i="236"/>
  <c r="L218" i="236" s="1"/>
  <c r="G203" i="236"/>
  <c r="L203" i="236" s="1"/>
  <c r="G208" i="236"/>
  <c r="L208" i="236" s="1"/>
  <c r="G212" i="236"/>
  <c r="L212" i="236" s="1"/>
  <c r="G224" i="236"/>
  <c r="G209" i="236"/>
  <c r="L209" i="236" s="1"/>
  <c r="G205" i="236"/>
  <c r="L205" i="236" s="1"/>
  <c r="H188" i="207"/>
  <c r="M188" i="207" s="1"/>
  <c r="G188" i="207"/>
  <c r="G190" i="207" s="1"/>
  <c r="G122" i="10"/>
  <c r="H122" i="10"/>
  <c r="G121" i="10"/>
  <c r="H121" i="10"/>
  <c r="G120" i="10"/>
  <c r="H120" i="10"/>
  <c r="G119" i="10"/>
  <c r="H119" i="10"/>
  <c r="R28" i="39"/>
  <c r="R36" i="39" s="1"/>
  <c r="Q28" i="39"/>
  <c r="O28" i="39"/>
  <c r="O36" i="39" s="1"/>
  <c r="R27" i="39"/>
  <c r="R35" i="39" s="1"/>
  <c r="Q27" i="39"/>
  <c r="Q35" i="39" s="1"/>
  <c r="O27" i="39"/>
  <c r="O35" i="39" s="1"/>
  <c r="M27" i="39"/>
  <c r="M35" i="39" s="1"/>
  <c r="R26" i="39"/>
  <c r="R34" i="39" s="1"/>
  <c r="O26" i="39"/>
  <c r="O34" i="39" s="1"/>
  <c r="M26" i="39"/>
  <c r="M34" i="39" s="1"/>
  <c r="R25" i="39"/>
  <c r="R33" i="39" s="1"/>
  <c r="Q25" i="39"/>
  <c r="M25" i="39"/>
  <c r="M33" i="39" s="1"/>
  <c r="C24" i="30"/>
  <c r="D53" i="50"/>
  <c r="D38" i="79"/>
  <c r="F133" i="209"/>
  <c r="F134" i="209"/>
  <c r="F135" i="209"/>
  <c r="F136" i="209"/>
  <c r="F137" i="209"/>
  <c r="F138" i="209"/>
  <c r="F139" i="209"/>
  <c r="F140" i="209"/>
  <c r="F141" i="209"/>
  <c r="F142" i="209"/>
  <c r="F143" i="209"/>
  <c r="F144" i="209"/>
  <c r="F145" i="209"/>
  <c r="F146" i="209"/>
  <c r="F147" i="209"/>
  <c r="F148" i="209"/>
  <c r="F149" i="209"/>
  <c r="F150" i="209"/>
  <c r="F151" i="209"/>
  <c r="F152" i="209"/>
  <c r="F153" i="209"/>
  <c r="F130" i="213"/>
  <c r="F131" i="213"/>
  <c r="F132" i="213"/>
  <c r="F133" i="213"/>
  <c r="F134" i="213"/>
  <c r="F136" i="213"/>
  <c r="F135" i="213"/>
  <c r="F137" i="213"/>
  <c r="F138" i="213"/>
  <c r="F139" i="213"/>
  <c r="F140" i="213"/>
  <c r="F141" i="213"/>
  <c r="F142" i="213"/>
  <c r="F143" i="213"/>
  <c r="F144" i="213"/>
  <c r="F145" i="213"/>
  <c r="F146" i="213"/>
  <c r="F147" i="213"/>
  <c r="F148" i="213"/>
  <c r="F149" i="213"/>
  <c r="F150" i="213"/>
  <c r="F16" i="105"/>
  <c r="F18" i="105" s="1"/>
  <c r="C38" i="238"/>
  <c r="H38" i="238" s="1"/>
  <c r="C66" i="238"/>
  <c r="F66" i="238" s="1"/>
  <c r="C50" i="238"/>
  <c r="G50" i="238" s="1"/>
  <c r="C37" i="238"/>
  <c r="D43" i="45"/>
  <c r="D73" i="51"/>
  <c r="D74" i="51"/>
  <c r="D75" i="51"/>
  <c r="D106" i="51"/>
  <c r="G255" i="213"/>
  <c r="L186" i="213"/>
  <c r="M186" i="213"/>
  <c r="H125" i="213"/>
  <c r="M125" i="213" s="1"/>
  <c r="M188" i="209"/>
  <c r="M127" i="209"/>
  <c r="E18" i="215"/>
  <c r="J18" i="215" s="1"/>
  <c r="J25" i="215" s="1"/>
  <c r="D19" i="215"/>
  <c r="I19" i="215" s="1"/>
  <c r="E19" i="215"/>
  <c r="J19" i="215" s="1"/>
  <c r="J26" i="215" s="1"/>
  <c r="D20" i="215"/>
  <c r="E20" i="215"/>
  <c r="J20" i="215" s="1"/>
  <c r="F22" i="244"/>
  <c r="K22" i="244" s="1"/>
  <c r="E19" i="244"/>
  <c r="J19" i="244" s="1"/>
  <c r="F19" i="244"/>
  <c r="K19" i="244" s="1"/>
  <c r="E16" i="244"/>
  <c r="J16" i="244" s="1"/>
  <c r="F16" i="244"/>
  <c r="K16" i="244" s="1"/>
  <c r="F38" i="232"/>
  <c r="E30" i="232"/>
  <c r="F30" i="232"/>
  <c r="K30" i="232" s="1"/>
  <c r="E22" i="232"/>
  <c r="F22" i="232"/>
  <c r="F24" i="232" s="1"/>
  <c r="K24" i="232" s="1"/>
  <c r="H136" i="207"/>
  <c r="M136" i="207" s="1"/>
  <c r="G254" i="236"/>
  <c r="L254" i="236" s="1"/>
  <c r="H260" i="236"/>
  <c r="H156" i="236"/>
  <c r="J18" i="30"/>
  <c r="D19" i="30"/>
  <c r="I19" i="30" s="1"/>
  <c r="J19" i="30"/>
  <c r="J26" i="30" s="1"/>
  <c r="D20" i="30"/>
  <c r="J20" i="30"/>
  <c r="J34" i="30" s="1"/>
  <c r="K22" i="243"/>
  <c r="J19" i="243"/>
  <c r="K19" i="243"/>
  <c r="J16" i="243"/>
  <c r="K16" i="243"/>
  <c r="F43" i="231"/>
  <c r="E32" i="231"/>
  <c r="K30" i="231"/>
  <c r="J22" i="231"/>
  <c r="F24" i="231"/>
  <c r="E18" i="106"/>
  <c r="E29" i="106" s="1"/>
  <c r="E42" i="232"/>
  <c r="E44" i="232"/>
  <c r="J44" i="232" s="1"/>
  <c r="E40" i="232"/>
  <c r="J40" i="232" s="1"/>
  <c r="E15" i="232"/>
  <c r="J15" i="232" s="1"/>
  <c r="F15" i="232"/>
  <c r="E17" i="232"/>
  <c r="J17" i="232" s="1"/>
  <c r="F17" i="232"/>
  <c r="K17" i="232" s="1"/>
  <c r="H16" i="104"/>
  <c r="J16" i="104" s="1"/>
  <c r="J18" i="247"/>
  <c r="G16" i="239"/>
  <c r="H16" i="239"/>
  <c r="G18" i="239"/>
  <c r="G20" i="239"/>
  <c r="G22" i="239"/>
  <c r="E41" i="231"/>
  <c r="E15" i="231"/>
  <c r="F15" i="231"/>
  <c r="E17" i="231"/>
  <c r="F17" i="231"/>
  <c r="D65" i="238"/>
  <c r="E65" i="238"/>
  <c r="F65" i="238"/>
  <c r="G65" i="238"/>
  <c r="H65" i="238"/>
  <c r="I65" i="238"/>
  <c r="J65" i="238"/>
  <c r="K65" i="238"/>
  <c r="L65" i="238"/>
  <c r="M65" i="238"/>
  <c r="N65" i="238"/>
  <c r="A4" i="244"/>
  <c r="A4" i="243"/>
  <c r="A4" i="232"/>
  <c r="A4" i="237"/>
  <c r="A4" i="231"/>
  <c r="A4" i="69"/>
  <c r="A4" i="24"/>
  <c r="A4" i="215"/>
  <c r="A4" i="30"/>
  <c r="A4" i="31"/>
  <c r="A4" i="247"/>
  <c r="J2" i="9"/>
  <c r="J1" i="9"/>
  <c r="F125" i="237"/>
  <c r="F126" i="237"/>
  <c r="F131" i="237"/>
  <c r="F132" i="237"/>
  <c r="F133" i="237"/>
  <c r="F134" i="237"/>
  <c r="F135" i="237"/>
  <c r="F136" i="237"/>
  <c r="F137" i="237"/>
  <c r="F138" i="237"/>
  <c r="F139" i="237"/>
  <c r="F140" i="237"/>
  <c r="F141" i="237"/>
  <c r="F142" i="237"/>
  <c r="F143" i="237"/>
  <c r="F144" i="237"/>
  <c r="F145" i="237"/>
  <c r="F146" i="237"/>
  <c r="F147" i="237"/>
  <c r="F148" i="237"/>
  <c r="F149" i="237"/>
  <c r="F150" i="237"/>
  <c r="F151" i="237"/>
  <c r="F156" i="237"/>
  <c r="F157" i="237"/>
  <c r="F158" i="237"/>
  <c r="F159" i="237"/>
  <c r="F160" i="237"/>
  <c r="F161" i="237"/>
  <c r="F162" i="237"/>
  <c r="F169" i="237"/>
  <c r="F170" i="237"/>
  <c r="F171" i="237"/>
  <c r="F172" i="237"/>
  <c r="F173" i="237"/>
  <c r="F174" i="237"/>
  <c r="F175" i="237"/>
  <c r="F176" i="237"/>
  <c r="F89" i="237"/>
  <c r="G89" i="237"/>
  <c r="F90" i="237"/>
  <c r="G90" i="237"/>
  <c r="F91" i="237"/>
  <c r="G91" i="237"/>
  <c r="F92" i="237"/>
  <c r="G92" i="237"/>
  <c r="F93" i="237"/>
  <c r="G93" i="237"/>
  <c r="F99" i="237"/>
  <c r="G99" i="237"/>
  <c r="F100" i="237"/>
  <c r="G100" i="237"/>
  <c r="F101" i="237"/>
  <c r="G101" i="237"/>
  <c r="F102" i="237"/>
  <c r="G102" i="237"/>
  <c r="F103" i="237"/>
  <c r="G103" i="237"/>
  <c r="F104" i="237"/>
  <c r="G104" i="237"/>
  <c r="F105" i="237"/>
  <c r="G105" i="237"/>
  <c r="F106" i="237"/>
  <c r="G106" i="237"/>
  <c r="F107" i="237"/>
  <c r="G107" i="237"/>
  <c r="F108" i="237"/>
  <c r="G108" i="237"/>
  <c r="F109" i="237"/>
  <c r="G109" i="237"/>
  <c r="F110" i="237"/>
  <c r="G110" i="237"/>
  <c r="F111" i="237"/>
  <c r="G111" i="237"/>
  <c r="F112" i="237"/>
  <c r="G112" i="237"/>
  <c r="F113" i="237"/>
  <c r="G113" i="237"/>
  <c r="F63" i="237"/>
  <c r="G63" i="237"/>
  <c r="F64" i="237"/>
  <c r="G64" i="237"/>
  <c r="F65" i="237"/>
  <c r="G65" i="237"/>
  <c r="F66" i="237"/>
  <c r="G66" i="237"/>
  <c r="F67" i="237"/>
  <c r="G67" i="237"/>
  <c r="F68" i="237"/>
  <c r="G68" i="237"/>
  <c r="F69" i="237"/>
  <c r="G69" i="237"/>
  <c r="F70" i="237"/>
  <c r="G70" i="237"/>
  <c r="F71" i="237"/>
  <c r="G71" i="237"/>
  <c r="F72" i="237"/>
  <c r="G72" i="237"/>
  <c r="F73" i="237"/>
  <c r="G73" i="237"/>
  <c r="F76" i="237"/>
  <c r="G76" i="237"/>
  <c r="F77" i="237"/>
  <c r="G77" i="237"/>
  <c r="F78" i="237"/>
  <c r="G78" i="237"/>
  <c r="F79" i="237"/>
  <c r="G79" i="237"/>
  <c r="F80" i="237"/>
  <c r="G80" i="237"/>
  <c r="F81" i="237"/>
  <c r="G81" i="237"/>
  <c r="F82" i="237"/>
  <c r="G82" i="237"/>
  <c r="F83" i="237"/>
  <c r="G83" i="237"/>
  <c r="F84" i="237"/>
  <c r="G84" i="237"/>
  <c r="F50" i="237"/>
  <c r="G50" i="237"/>
  <c r="F51" i="237"/>
  <c r="G51" i="237"/>
  <c r="F52" i="237"/>
  <c r="G52" i="237"/>
  <c r="F53" i="237"/>
  <c r="G53" i="237"/>
  <c r="F54" i="237"/>
  <c r="G54" i="237"/>
  <c r="F55" i="237"/>
  <c r="G55" i="237"/>
  <c r="F57" i="237"/>
  <c r="G57" i="237"/>
  <c r="F58" i="237"/>
  <c r="G58" i="237"/>
  <c r="F29" i="237"/>
  <c r="G29" i="237"/>
  <c r="F30" i="237"/>
  <c r="G30" i="237"/>
  <c r="F31" i="237"/>
  <c r="G31" i="237"/>
  <c r="F32" i="237"/>
  <c r="G32" i="237"/>
  <c r="F33" i="237"/>
  <c r="G33" i="237"/>
  <c r="F34" i="237"/>
  <c r="G34" i="237"/>
  <c r="F35" i="237"/>
  <c r="G35" i="237"/>
  <c r="F36" i="237"/>
  <c r="G36" i="237"/>
  <c r="F37" i="237"/>
  <c r="G37" i="237"/>
  <c r="F38" i="237"/>
  <c r="G38" i="237"/>
  <c r="F39" i="237"/>
  <c r="G39" i="237"/>
  <c r="F40" i="237"/>
  <c r="G40" i="237"/>
  <c r="F41" i="237"/>
  <c r="G41" i="237"/>
  <c r="F42" i="237"/>
  <c r="G42" i="237"/>
  <c r="F43" i="237"/>
  <c r="G43" i="237"/>
  <c r="F44" i="237"/>
  <c r="G44" i="237"/>
  <c r="F45" i="237"/>
  <c r="G45" i="237"/>
  <c r="F22" i="237"/>
  <c r="G22" i="237"/>
  <c r="F23" i="237"/>
  <c r="G23" i="237"/>
  <c r="F24" i="237"/>
  <c r="G24" i="237"/>
  <c r="G16" i="237"/>
  <c r="F17" i="237"/>
  <c r="G17" i="237"/>
  <c r="G124" i="213"/>
  <c r="G125" i="213"/>
  <c r="G130" i="213"/>
  <c r="L130" i="213" s="1"/>
  <c r="G131" i="213"/>
  <c r="L131" i="213" s="1"/>
  <c r="G132" i="213"/>
  <c r="L132" i="213" s="1"/>
  <c r="G133" i="213"/>
  <c r="L133" i="213" s="1"/>
  <c r="G134" i="213"/>
  <c r="L134" i="213" s="1"/>
  <c r="G136" i="213"/>
  <c r="L136" i="213" s="1"/>
  <c r="G135" i="213"/>
  <c r="L135" i="213" s="1"/>
  <c r="G137" i="213"/>
  <c r="L137" i="213" s="1"/>
  <c r="G138" i="213"/>
  <c r="L138" i="213" s="1"/>
  <c r="G139" i="213"/>
  <c r="L139" i="213" s="1"/>
  <c r="G140" i="213"/>
  <c r="L140" i="213" s="1"/>
  <c r="G141" i="213"/>
  <c r="L141" i="213" s="1"/>
  <c r="G142" i="213"/>
  <c r="L142" i="213" s="1"/>
  <c r="G143" i="213"/>
  <c r="L143" i="213" s="1"/>
  <c r="G144" i="213"/>
  <c r="L144" i="213" s="1"/>
  <c r="G145" i="213"/>
  <c r="L145" i="213" s="1"/>
  <c r="G146" i="213"/>
  <c r="L146" i="213" s="1"/>
  <c r="G147" i="213"/>
  <c r="L147" i="213" s="1"/>
  <c r="G148" i="213"/>
  <c r="L148" i="213" s="1"/>
  <c r="G149" i="213"/>
  <c r="L149" i="213" s="1"/>
  <c r="G150" i="213"/>
  <c r="L150" i="213" s="1"/>
  <c r="G155" i="213"/>
  <c r="G156" i="213"/>
  <c r="G157" i="213"/>
  <c r="G158" i="213"/>
  <c r="G170" i="213"/>
  <c r="L170" i="213" s="1"/>
  <c r="G171" i="213"/>
  <c r="G172" i="213"/>
  <c r="G173" i="213"/>
  <c r="G174" i="213"/>
  <c r="G175" i="213"/>
  <c r="L16" i="213"/>
  <c r="M16" i="213"/>
  <c r="L17" i="213"/>
  <c r="M17" i="213"/>
  <c r="L22" i="213"/>
  <c r="M22" i="213"/>
  <c r="L23" i="213"/>
  <c r="M23" i="213"/>
  <c r="L24" i="213"/>
  <c r="M24" i="213"/>
  <c r="L29" i="213"/>
  <c r="M29" i="213"/>
  <c r="L30" i="213"/>
  <c r="M30" i="213"/>
  <c r="L31" i="213"/>
  <c r="M31" i="213"/>
  <c r="L32" i="213"/>
  <c r="M32" i="213"/>
  <c r="L33" i="213"/>
  <c r="M33" i="213"/>
  <c r="L34" i="213"/>
  <c r="M34" i="213"/>
  <c r="L35" i="213"/>
  <c r="M35" i="213"/>
  <c r="L36" i="213"/>
  <c r="M36" i="213"/>
  <c r="L37" i="213"/>
  <c r="M37" i="213"/>
  <c r="L38" i="213"/>
  <c r="M38" i="213"/>
  <c r="L39" i="213"/>
  <c r="M39" i="213"/>
  <c r="L40" i="213"/>
  <c r="M40" i="213"/>
  <c r="L41" i="213"/>
  <c r="M41" i="213"/>
  <c r="L42" i="213"/>
  <c r="M42" i="213"/>
  <c r="L43" i="213"/>
  <c r="M43" i="213"/>
  <c r="L44" i="213"/>
  <c r="M44" i="213"/>
  <c r="L45" i="213"/>
  <c r="M45" i="213"/>
  <c r="L50" i="213"/>
  <c r="M50" i="213"/>
  <c r="L51" i="213"/>
  <c r="M51" i="213"/>
  <c r="L52" i="213"/>
  <c r="M52" i="213"/>
  <c r="L53" i="213"/>
  <c r="M53" i="213"/>
  <c r="L54" i="213"/>
  <c r="M54" i="213"/>
  <c r="L55" i="213"/>
  <c r="M55" i="213"/>
  <c r="L57" i="213"/>
  <c r="M57" i="213"/>
  <c r="L58" i="213"/>
  <c r="M58" i="213"/>
  <c r="L63" i="213"/>
  <c r="M63" i="213"/>
  <c r="L64" i="213"/>
  <c r="M64" i="213"/>
  <c r="L65" i="213"/>
  <c r="M65" i="213"/>
  <c r="L66" i="213"/>
  <c r="M66" i="213"/>
  <c r="L67" i="213"/>
  <c r="M67" i="213"/>
  <c r="L68" i="213"/>
  <c r="M68" i="213"/>
  <c r="L69" i="213"/>
  <c r="M69" i="213"/>
  <c r="L70" i="213"/>
  <c r="M70" i="213"/>
  <c r="L71" i="213"/>
  <c r="M71" i="213"/>
  <c r="L72" i="213"/>
  <c r="M72" i="213"/>
  <c r="L73" i="213"/>
  <c r="M73" i="213"/>
  <c r="L76" i="213"/>
  <c r="M76" i="213"/>
  <c r="L77" i="213"/>
  <c r="M77" i="213"/>
  <c r="L78" i="213"/>
  <c r="M78" i="213"/>
  <c r="L79" i="213"/>
  <c r="M79" i="213"/>
  <c r="L80" i="213"/>
  <c r="M80" i="213"/>
  <c r="L81" i="213"/>
  <c r="M81" i="213"/>
  <c r="L82" i="213"/>
  <c r="M82" i="213"/>
  <c r="L83" i="213"/>
  <c r="M83" i="213"/>
  <c r="L84" i="213"/>
  <c r="M84" i="213"/>
  <c r="L89" i="213"/>
  <c r="M89" i="213"/>
  <c r="L90" i="213"/>
  <c r="M90" i="213"/>
  <c r="L91" i="213"/>
  <c r="M91" i="213"/>
  <c r="L92" i="213"/>
  <c r="M92" i="213"/>
  <c r="L93" i="213"/>
  <c r="M93" i="213"/>
  <c r="L94" i="213"/>
  <c r="M94" i="213"/>
  <c r="L95" i="213"/>
  <c r="M95" i="213"/>
  <c r="L113" i="213"/>
  <c r="M113" i="213"/>
  <c r="G181" i="213"/>
  <c r="L181" i="213" s="1"/>
  <c r="L119" i="213"/>
  <c r="M119" i="213"/>
  <c r="G127" i="209"/>
  <c r="L127" i="209" s="1"/>
  <c r="G128" i="209"/>
  <c r="G133" i="209"/>
  <c r="G134" i="209"/>
  <c r="L134" i="209" s="1"/>
  <c r="G135" i="209"/>
  <c r="L135" i="209" s="1"/>
  <c r="G136" i="209"/>
  <c r="L136" i="209" s="1"/>
  <c r="G137" i="209"/>
  <c r="L137" i="209" s="1"/>
  <c r="G138" i="209"/>
  <c r="G139" i="209"/>
  <c r="L139" i="209" s="1"/>
  <c r="G140" i="209"/>
  <c r="L140" i="209" s="1"/>
  <c r="G141" i="209"/>
  <c r="L141" i="209" s="1"/>
  <c r="G142" i="209"/>
  <c r="L142" i="209" s="1"/>
  <c r="G143" i="209"/>
  <c r="L143" i="209" s="1"/>
  <c r="G144" i="209"/>
  <c r="L144" i="209" s="1"/>
  <c r="G145" i="209"/>
  <c r="L145" i="209" s="1"/>
  <c r="G146" i="209"/>
  <c r="L146" i="209" s="1"/>
  <c r="G147" i="209"/>
  <c r="L147" i="209" s="1"/>
  <c r="G148" i="209"/>
  <c r="L148" i="209" s="1"/>
  <c r="G149" i="209"/>
  <c r="L149" i="209" s="1"/>
  <c r="G150" i="209"/>
  <c r="L150" i="209" s="1"/>
  <c r="G151" i="209"/>
  <c r="L151" i="209" s="1"/>
  <c r="G152" i="209"/>
  <c r="L152" i="209" s="1"/>
  <c r="G153" i="209"/>
  <c r="L153" i="209" s="1"/>
  <c r="G158" i="209"/>
  <c r="L158" i="209" s="1"/>
  <c r="G159" i="209"/>
  <c r="L159" i="209" s="1"/>
  <c r="G160" i="209"/>
  <c r="L160" i="209" s="1"/>
  <c r="G161" i="209"/>
  <c r="L161" i="209" s="1"/>
  <c r="G162" i="209"/>
  <c r="L162" i="209" s="1"/>
  <c r="G169" i="209"/>
  <c r="L169" i="209" s="1"/>
  <c r="G170" i="209"/>
  <c r="L170" i="209" s="1"/>
  <c r="G171" i="209"/>
  <c r="L171" i="209" s="1"/>
  <c r="G172" i="209"/>
  <c r="L172" i="209" s="1"/>
  <c r="G173" i="209"/>
  <c r="L173" i="209" s="1"/>
  <c r="G174" i="209"/>
  <c r="L174" i="209" s="1"/>
  <c r="G175" i="209"/>
  <c r="L175" i="209" s="1"/>
  <c r="G176" i="209"/>
  <c r="L176" i="209" s="1"/>
  <c r="G177" i="209"/>
  <c r="L177" i="209" s="1"/>
  <c r="G178" i="209"/>
  <c r="L178" i="209" s="1"/>
  <c r="G179" i="209"/>
  <c r="L179" i="209" s="1"/>
  <c r="L89" i="209"/>
  <c r="M89" i="209"/>
  <c r="L90" i="209"/>
  <c r="M90" i="209"/>
  <c r="L91" i="209"/>
  <c r="M91" i="209"/>
  <c r="L92" i="209"/>
  <c r="M92" i="209"/>
  <c r="L93" i="209"/>
  <c r="M93" i="209"/>
  <c r="L94" i="209"/>
  <c r="M94" i="209"/>
  <c r="L95" i="209"/>
  <c r="M95" i="209"/>
  <c r="L103" i="209"/>
  <c r="M103" i="209"/>
  <c r="L104" i="209"/>
  <c r="M104" i="209"/>
  <c r="L105" i="209"/>
  <c r="M105" i="209"/>
  <c r="L106" i="209"/>
  <c r="M106" i="209"/>
  <c r="L107" i="209"/>
  <c r="M107" i="209"/>
  <c r="L108" i="209"/>
  <c r="M108" i="209"/>
  <c r="L109" i="209"/>
  <c r="M109" i="209"/>
  <c r="L110" i="209"/>
  <c r="M110" i="209"/>
  <c r="L111" i="209"/>
  <c r="M111" i="209"/>
  <c r="L112" i="209"/>
  <c r="M112" i="209"/>
  <c r="L113" i="209"/>
  <c r="M113" i="209"/>
  <c r="L114" i="209"/>
  <c r="M114" i="209"/>
  <c r="L63" i="209"/>
  <c r="M63" i="209"/>
  <c r="L64" i="209"/>
  <c r="M64" i="209"/>
  <c r="L65" i="209"/>
  <c r="M65" i="209"/>
  <c r="L66" i="209"/>
  <c r="M66" i="209"/>
  <c r="L67" i="209"/>
  <c r="M67" i="209"/>
  <c r="L68" i="209"/>
  <c r="M68" i="209"/>
  <c r="L69" i="209"/>
  <c r="M69" i="209"/>
  <c r="L70" i="209"/>
  <c r="M70" i="209"/>
  <c r="L71" i="209"/>
  <c r="M71" i="209"/>
  <c r="L72" i="209"/>
  <c r="M72" i="209"/>
  <c r="L73" i="209"/>
  <c r="M73" i="209"/>
  <c r="L76" i="209"/>
  <c r="M76" i="209"/>
  <c r="L77" i="209"/>
  <c r="M77" i="209"/>
  <c r="L78" i="209"/>
  <c r="M78" i="209"/>
  <c r="L79" i="209"/>
  <c r="M79" i="209"/>
  <c r="L80" i="209"/>
  <c r="M80" i="209"/>
  <c r="L81" i="209"/>
  <c r="M81" i="209"/>
  <c r="L82" i="209"/>
  <c r="M82" i="209"/>
  <c r="L83" i="209"/>
  <c r="M83" i="209"/>
  <c r="L84" i="209"/>
  <c r="M84" i="209"/>
  <c r="L50" i="209"/>
  <c r="M50" i="209"/>
  <c r="L51" i="209"/>
  <c r="M51" i="209"/>
  <c r="L52" i="209"/>
  <c r="M52" i="209"/>
  <c r="L53" i="209"/>
  <c r="M53" i="209"/>
  <c r="L54" i="209"/>
  <c r="M54" i="209"/>
  <c r="L55" i="209"/>
  <c r="M55" i="209"/>
  <c r="L57" i="209"/>
  <c r="M57" i="209"/>
  <c r="L58" i="209"/>
  <c r="M58" i="209"/>
  <c r="L29" i="209"/>
  <c r="M29" i="209"/>
  <c r="L30" i="209"/>
  <c r="M30" i="209"/>
  <c r="L31" i="209"/>
  <c r="M31" i="209"/>
  <c r="L32" i="209"/>
  <c r="M32" i="209"/>
  <c r="L33" i="209"/>
  <c r="M33" i="209"/>
  <c r="L34" i="209"/>
  <c r="M34" i="209"/>
  <c r="L35" i="209"/>
  <c r="M35" i="209"/>
  <c r="L36" i="209"/>
  <c r="M36" i="209"/>
  <c r="L37" i="209"/>
  <c r="M37" i="209"/>
  <c r="L38" i="209"/>
  <c r="M38" i="209"/>
  <c r="L39" i="209"/>
  <c r="M39" i="209"/>
  <c r="L40" i="209"/>
  <c r="M40" i="209"/>
  <c r="L41" i="209"/>
  <c r="M41" i="209"/>
  <c r="L42" i="209"/>
  <c r="M42" i="209"/>
  <c r="L43" i="209"/>
  <c r="M43" i="209"/>
  <c r="L44" i="209"/>
  <c r="M44" i="209"/>
  <c r="L45" i="209"/>
  <c r="M45" i="209"/>
  <c r="L22" i="209"/>
  <c r="M22" i="209"/>
  <c r="L23" i="209"/>
  <c r="M23" i="209"/>
  <c r="L24" i="209"/>
  <c r="M24" i="209"/>
  <c r="L16" i="209"/>
  <c r="M16" i="209"/>
  <c r="L17" i="209"/>
  <c r="M17" i="209"/>
  <c r="C18" i="215"/>
  <c r="I18" i="215"/>
  <c r="I32" i="215"/>
  <c r="C19" i="215"/>
  <c r="H20" i="215"/>
  <c r="C17" i="215"/>
  <c r="F17" i="215" s="1"/>
  <c r="I17" i="215"/>
  <c r="I24" i="215" s="1"/>
  <c r="J17" i="215"/>
  <c r="J24" i="215" s="1"/>
  <c r="P36" i="216"/>
  <c r="H25" i="215" s="1"/>
  <c r="P38" i="216"/>
  <c r="H26" i="215" s="1"/>
  <c r="P40" i="216"/>
  <c r="H27" i="215" s="1"/>
  <c r="J31" i="215"/>
  <c r="C33" i="215"/>
  <c r="C34" i="215"/>
  <c r="D22" i="244"/>
  <c r="I19" i="244"/>
  <c r="I16" i="244"/>
  <c r="I13" i="244"/>
  <c r="J13" i="244"/>
  <c r="F13" i="244"/>
  <c r="K13" i="244" s="1"/>
  <c r="J38" i="232"/>
  <c r="J42" i="232"/>
  <c r="J13" i="232"/>
  <c r="K13" i="232"/>
  <c r="K15" i="232"/>
  <c r="G124" i="207"/>
  <c r="G125" i="207"/>
  <c r="G130" i="207"/>
  <c r="L130" i="207" s="1"/>
  <c r="G131" i="207"/>
  <c r="L131" i="207" s="1"/>
  <c r="G132" i="207"/>
  <c r="L132" i="207" s="1"/>
  <c r="G133" i="207"/>
  <c r="L133" i="207" s="1"/>
  <c r="G134" i="207"/>
  <c r="L134" i="207" s="1"/>
  <c r="G136" i="207"/>
  <c r="L136" i="207" s="1"/>
  <c r="G135" i="207"/>
  <c r="L135" i="207" s="1"/>
  <c r="G137" i="207"/>
  <c r="L137" i="207" s="1"/>
  <c r="G138" i="207"/>
  <c r="L138" i="207" s="1"/>
  <c r="G139" i="207"/>
  <c r="L139" i="207" s="1"/>
  <c r="G140" i="207"/>
  <c r="L140" i="207" s="1"/>
  <c r="G141" i="207"/>
  <c r="L141" i="207" s="1"/>
  <c r="G142" i="207"/>
  <c r="L142" i="207" s="1"/>
  <c r="G143" i="207"/>
  <c r="L143" i="207" s="1"/>
  <c r="G144" i="207"/>
  <c r="L144" i="207" s="1"/>
  <c r="G145" i="207"/>
  <c r="L145" i="207" s="1"/>
  <c r="G146" i="207"/>
  <c r="L146" i="207" s="1"/>
  <c r="G147" i="207"/>
  <c r="L147" i="207" s="1"/>
  <c r="G148" i="207"/>
  <c r="L148" i="207" s="1"/>
  <c r="G149" i="207"/>
  <c r="L149" i="207" s="1"/>
  <c r="G150" i="207"/>
  <c r="L150" i="207" s="1"/>
  <c r="G155" i="207"/>
  <c r="G156" i="207"/>
  <c r="G157" i="207"/>
  <c r="G158" i="207"/>
  <c r="L16" i="207"/>
  <c r="M16" i="207"/>
  <c r="L17" i="207"/>
  <c r="M17" i="207"/>
  <c r="L22" i="207"/>
  <c r="M22" i="207"/>
  <c r="L23" i="207"/>
  <c r="M23" i="207"/>
  <c r="L24" i="207"/>
  <c r="M24" i="207"/>
  <c r="L29" i="207"/>
  <c r="M29" i="207"/>
  <c r="L30" i="207"/>
  <c r="M30" i="207"/>
  <c r="L31" i="207"/>
  <c r="M31" i="207"/>
  <c r="L32" i="207"/>
  <c r="M32" i="207"/>
  <c r="L33" i="207"/>
  <c r="M33" i="207"/>
  <c r="L34" i="207"/>
  <c r="M34" i="207"/>
  <c r="L35" i="207"/>
  <c r="M35" i="207"/>
  <c r="L36" i="207"/>
  <c r="M36" i="207"/>
  <c r="L37" i="207"/>
  <c r="M37" i="207"/>
  <c r="L38" i="207"/>
  <c r="M38" i="207"/>
  <c r="L39" i="207"/>
  <c r="M39" i="207"/>
  <c r="L40" i="207"/>
  <c r="M40" i="207"/>
  <c r="L41" i="207"/>
  <c r="M41" i="207"/>
  <c r="L42" i="207"/>
  <c r="M42" i="207"/>
  <c r="L43" i="207"/>
  <c r="M43" i="207"/>
  <c r="L44" i="207"/>
  <c r="M44" i="207"/>
  <c r="L45" i="207"/>
  <c r="M45" i="207"/>
  <c r="L50" i="207"/>
  <c r="M50" i="207"/>
  <c r="L51" i="207"/>
  <c r="M51" i="207"/>
  <c r="L52" i="207"/>
  <c r="M52" i="207"/>
  <c r="L53" i="207"/>
  <c r="M53" i="207"/>
  <c r="L54" i="207"/>
  <c r="M54" i="207"/>
  <c r="L55" i="207"/>
  <c r="M55" i="207"/>
  <c r="L57" i="207"/>
  <c r="M57" i="207"/>
  <c r="L58" i="207"/>
  <c r="M58" i="207"/>
  <c r="L63" i="207"/>
  <c r="M63" i="207"/>
  <c r="L64" i="207"/>
  <c r="M64" i="207"/>
  <c r="L65" i="207"/>
  <c r="M65" i="207"/>
  <c r="L66" i="207"/>
  <c r="M66" i="207"/>
  <c r="L67" i="207"/>
  <c r="M67" i="207"/>
  <c r="L68" i="207"/>
  <c r="M68" i="207"/>
  <c r="L69" i="207"/>
  <c r="M69" i="207"/>
  <c r="L70" i="207"/>
  <c r="M70" i="207"/>
  <c r="L71" i="207"/>
  <c r="M71" i="207"/>
  <c r="L72" i="207"/>
  <c r="M72" i="207"/>
  <c r="L73" i="207"/>
  <c r="M73" i="207"/>
  <c r="L76" i="207"/>
  <c r="M76" i="207"/>
  <c r="L77" i="207"/>
  <c r="M77" i="207"/>
  <c r="L78" i="207"/>
  <c r="M78" i="207"/>
  <c r="L79" i="207"/>
  <c r="M79" i="207"/>
  <c r="L80" i="207"/>
  <c r="M80" i="207"/>
  <c r="L81" i="207"/>
  <c r="M81" i="207"/>
  <c r="L82" i="207"/>
  <c r="M82" i="207"/>
  <c r="L83" i="207"/>
  <c r="M83" i="207"/>
  <c r="L84" i="207"/>
  <c r="M84" i="207"/>
  <c r="L89" i="207"/>
  <c r="M89" i="207"/>
  <c r="L90" i="207"/>
  <c r="M90" i="207"/>
  <c r="L91" i="207"/>
  <c r="M91" i="207"/>
  <c r="L92" i="207"/>
  <c r="M92" i="207"/>
  <c r="L93" i="207"/>
  <c r="M93" i="207"/>
  <c r="L94" i="207"/>
  <c r="M94" i="207"/>
  <c r="G181" i="207"/>
  <c r="L181" i="207" s="1"/>
  <c r="L119" i="207"/>
  <c r="M119" i="207"/>
  <c r="G125" i="236"/>
  <c r="L125" i="236" s="1"/>
  <c r="G126" i="236"/>
  <c r="L126" i="236" s="1"/>
  <c r="G131" i="236"/>
  <c r="L131" i="236" s="1"/>
  <c r="G132" i="236"/>
  <c r="L132" i="236" s="1"/>
  <c r="G133" i="236"/>
  <c r="L133" i="236" s="1"/>
  <c r="G134" i="236"/>
  <c r="L134" i="236" s="1"/>
  <c r="G135" i="236"/>
  <c r="L135" i="236" s="1"/>
  <c r="G136" i="236"/>
  <c r="L136" i="236" s="1"/>
  <c r="G137" i="236"/>
  <c r="L137" i="236" s="1"/>
  <c r="G138" i="236"/>
  <c r="L138" i="236" s="1"/>
  <c r="G139" i="236"/>
  <c r="L139" i="236" s="1"/>
  <c r="G140" i="236"/>
  <c r="L140" i="236" s="1"/>
  <c r="G141" i="236"/>
  <c r="L141" i="236" s="1"/>
  <c r="G142" i="236"/>
  <c r="L142" i="236" s="1"/>
  <c r="G143" i="236"/>
  <c r="L143" i="236" s="1"/>
  <c r="G144" i="236"/>
  <c r="L144" i="236" s="1"/>
  <c r="G145" i="236"/>
  <c r="L145" i="236" s="1"/>
  <c r="G146" i="236"/>
  <c r="L146" i="236" s="1"/>
  <c r="G147" i="236"/>
  <c r="L147" i="236" s="1"/>
  <c r="G148" i="236"/>
  <c r="L148" i="236" s="1"/>
  <c r="G149" i="236"/>
  <c r="L149" i="236" s="1"/>
  <c r="G150" i="236"/>
  <c r="L150" i="236" s="1"/>
  <c r="G151" i="236"/>
  <c r="L151" i="236" s="1"/>
  <c r="G156" i="236"/>
  <c r="L156" i="236" s="1"/>
  <c r="G157" i="236"/>
  <c r="L157" i="236" s="1"/>
  <c r="G158" i="236"/>
  <c r="L158" i="236" s="1"/>
  <c r="G164" i="236"/>
  <c r="G165" i="236"/>
  <c r="G166" i="236"/>
  <c r="L166" i="236" s="1"/>
  <c r="G167" i="236"/>
  <c r="L167" i="236" s="1"/>
  <c r="G168" i="236"/>
  <c r="L168" i="236" s="1"/>
  <c r="G169" i="236"/>
  <c r="L169" i="236" s="1"/>
  <c r="G170" i="236"/>
  <c r="L170" i="236" s="1"/>
  <c r="G171" i="236"/>
  <c r="L171" i="236" s="1"/>
  <c r="G172" i="236"/>
  <c r="L172" i="236" s="1"/>
  <c r="G173" i="236"/>
  <c r="L173" i="236" s="1"/>
  <c r="G174" i="236"/>
  <c r="L174" i="236" s="1"/>
  <c r="G175" i="236"/>
  <c r="L175" i="236" s="1"/>
  <c r="G176" i="236"/>
  <c r="L176" i="236" s="1"/>
  <c r="G177" i="236"/>
  <c r="L177" i="236" s="1"/>
  <c r="L89" i="236"/>
  <c r="M89" i="236"/>
  <c r="L90" i="236"/>
  <c r="M90" i="236"/>
  <c r="L91" i="236"/>
  <c r="M91" i="236"/>
  <c r="L92" i="236"/>
  <c r="M92" i="236"/>
  <c r="L93" i="236"/>
  <c r="M93" i="236"/>
  <c r="L94" i="236"/>
  <c r="M94" i="236"/>
  <c r="L95" i="236"/>
  <c r="M95" i="236"/>
  <c r="L96" i="236"/>
  <c r="M96" i="236"/>
  <c r="L97" i="236"/>
  <c r="M97" i="236"/>
  <c r="L98" i="236"/>
  <c r="M98" i="236"/>
  <c r="L99" i="236"/>
  <c r="M99" i="236"/>
  <c r="L100" i="236"/>
  <c r="M100" i="236"/>
  <c r="L101" i="236"/>
  <c r="M101" i="236"/>
  <c r="L102" i="236"/>
  <c r="M102" i="236"/>
  <c r="L103" i="236"/>
  <c r="M103" i="236"/>
  <c r="L104" i="236"/>
  <c r="M104" i="236"/>
  <c r="L105" i="236"/>
  <c r="M105" i="236"/>
  <c r="L112" i="236"/>
  <c r="M112" i="236"/>
  <c r="L113" i="236"/>
  <c r="M113" i="236"/>
  <c r="L114" i="236"/>
  <c r="M114" i="236"/>
  <c r="L63" i="236"/>
  <c r="M63" i="236"/>
  <c r="L64" i="236"/>
  <c r="M64" i="236"/>
  <c r="L65" i="236"/>
  <c r="M65" i="236"/>
  <c r="L66" i="236"/>
  <c r="M66" i="236"/>
  <c r="L67" i="236"/>
  <c r="M67" i="236"/>
  <c r="L68" i="236"/>
  <c r="M68" i="236"/>
  <c r="L69" i="236"/>
  <c r="M69" i="236"/>
  <c r="L70" i="236"/>
  <c r="M70" i="236"/>
  <c r="L71" i="236"/>
  <c r="M71" i="236"/>
  <c r="L72" i="236"/>
  <c r="M72" i="236"/>
  <c r="L73" i="236"/>
  <c r="M73" i="236"/>
  <c r="L76" i="236"/>
  <c r="M76" i="236"/>
  <c r="L77" i="236"/>
  <c r="M77" i="236"/>
  <c r="L78" i="236"/>
  <c r="M78" i="236"/>
  <c r="L79" i="236"/>
  <c r="M79" i="236"/>
  <c r="L80" i="236"/>
  <c r="M80" i="236"/>
  <c r="L81" i="236"/>
  <c r="M81" i="236"/>
  <c r="L82" i="236"/>
  <c r="M82" i="236"/>
  <c r="L83" i="236"/>
  <c r="M83" i="236"/>
  <c r="L84" i="236"/>
  <c r="M84" i="236"/>
  <c r="L50" i="236"/>
  <c r="M50" i="236"/>
  <c r="L51" i="236"/>
  <c r="M51" i="236"/>
  <c r="L52" i="236"/>
  <c r="M52" i="236"/>
  <c r="L53" i="236"/>
  <c r="M53" i="236"/>
  <c r="L54" i="236"/>
  <c r="M54" i="236"/>
  <c r="L55" i="236"/>
  <c r="M55" i="236"/>
  <c r="L57" i="236"/>
  <c r="M57" i="236"/>
  <c r="L58" i="236"/>
  <c r="M58" i="236"/>
  <c r="L29" i="236"/>
  <c r="M29" i="236"/>
  <c r="L30" i="236"/>
  <c r="M30" i="236"/>
  <c r="L31" i="236"/>
  <c r="M31" i="236"/>
  <c r="L32" i="236"/>
  <c r="M32" i="236"/>
  <c r="L33" i="236"/>
  <c r="M33" i="236"/>
  <c r="L34" i="236"/>
  <c r="M34" i="236"/>
  <c r="L35" i="236"/>
  <c r="M35" i="236"/>
  <c r="L36" i="236"/>
  <c r="M36" i="236"/>
  <c r="L37" i="236"/>
  <c r="M37" i="236"/>
  <c r="L38" i="236"/>
  <c r="M38" i="236"/>
  <c r="L39" i="236"/>
  <c r="M39" i="236"/>
  <c r="L40" i="236"/>
  <c r="M40" i="236"/>
  <c r="L41" i="236"/>
  <c r="M41" i="236"/>
  <c r="L42" i="236"/>
  <c r="M42" i="236"/>
  <c r="L43" i="236"/>
  <c r="M43" i="236"/>
  <c r="L44" i="236"/>
  <c r="M44" i="236"/>
  <c r="L45" i="236"/>
  <c r="M45" i="236"/>
  <c r="L22" i="236"/>
  <c r="M22" i="236"/>
  <c r="L23" i="236"/>
  <c r="M23" i="236"/>
  <c r="L24" i="236"/>
  <c r="M24" i="236"/>
  <c r="L16" i="236"/>
  <c r="M16" i="236"/>
  <c r="L17" i="236"/>
  <c r="M17" i="236"/>
  <c r="C31" i="30"/>
  <c r="I17" i="30"/>
  <c r="I31" i="30" s="1"/>
  <c r="J17" i="30"/>
  <c r="J31" i="30" s="1"/>
  <c r="C32" i="30"/>
  <c r="I18" i="30"/>
  <c r="I25" i="30" s="1"/>
  <c r="C33" i="30"/>
  <c r="C34" i="30"/>
  <c r="P36" i="214"/>
  <c r="H25" i="30" s="1"/>
  <c r="P38" i="214"/>
  <c r="H26" i="30" s="1"/>
  <c r="P40" i="214"/>
  <c r="H27" i="30" s="1"/>
  <c r="C18" i="30"/>
  <c r="C19" i="30"/>
  <c r="H30" i="214"/>
  <c r="C20" i="30"/>
  <c r="C17" i="30"/>
  <c r="F17" i="30" s="1"/>
  <c r="D22" i="243"/>
  <c r="Q19" i="241"/>
  <c r="I19" i="243" s="1"/>
  <c r="Q16" i="241"/>
  <c r="I16" i="243" s="1"/>
  <c r="I13" i="243"/>
  <c r="J13" i="243"/>
  <c r="F13" i="243"/>
  <c r="K13" i="243" s="1"/>
  <c r="J41" i="231"/>
  <c r="J15" i="231"/>
  <c r="K15" i="231"/>
  <c r="J17" i="231"/>
  <c r="K17" i="231"/>
  <c r="O49" i="35"/>
  <c r="O17" i="35" s="1"/>
  <c r="M49" i="35"/>
  <c r="M17" i="35" s="1"/>
  <c r="H16" i="207"/>
  <c r="P8" i="228"/>
  <c r="P8" i="227"/>
  <c r="P8" i="226"/>
  <c r="P8" i="192"/>
  <c r="P8" i="193"/>
  <c r="P8" i="190"/>
  <c r="P8" i="44"/>
  <c r="P8" i="222" s="1"/>
  <c r="D8" i="79"/>
  <c r="D8" i="45"/>
  <c r="O9" i="46"/>
  <c r="J19" i="34"/>
  <c r="J29" i="34"/>
  <c r="A5" i="104"/>
  <c r="A4" i="104"/>
  <c r="A2" i="104"/>
  <c r="A1" i="104"/>
  <c r="F15" i="107"/>
  <c r="D35" i="107"/>
  <c r="F35" i="107" s="1"/>
  <c r="F33" i="107"/>
  <c r="F32" i="107"/>
  <c r="F31" i="107"/>
  <c r="F30" i="107"/>
  <c r="F29" i="107"/>
  <c r="F28" i="107"/>
  <c r="F27" i="107"/>
  <c r="D23" i="107"/>
  <c r="F23" i="107" s="1"/>
  <c r="F21" i="107"/>
  <c r="F20" i="107"/>
  <c r="F19" i="107"/>
  <c r="F18" i="107"/>
  <c r="F17" i="107"/>
  <c r="A5" i="107"/>
  <c r="A4" i="107"/>
  <c r="A2" i="107"/>
  <c r="A1" i="107"/>
  <c r="J128" i="10"/>
  <c r="K128" i="10"/>
  <c r="L128" i="10"/>
  <c r="F56" i="248"/>
  <c r="F57" i="248"/>
  <c r="I57" i="248" s="1"/>
  <c r="F58" i="248"/>
  <c r="I58" i="248" s="1"/>
  <c r="F59" i="248"/>
  <c r="I59" i="248" s="1"/>
  <c r="F60" i="248"/>
  <c r="F61" i="248"/>
  <c r="I61" i="248" s="1"/>
  <c r="F62" i="248"/>
  <c r="I62" i="248" s="1"/>
  <c r="F63" i="248"/>
  <c r="I63" i="248" s="1"/>
  <c r="F64" i="248"/>
  <c r="I64" i="248" s="1"/>
  <c r="F65" i="248"/>
  <c r="I65" i="248" s="1"/>
  <c r="F66" i="248"/>
  <c r="I66" i="248" s="1"/>
  <c r="F67" i="248"/>
  <c r="I67" i="248" s="1"/>
  <c r="F68" i="248"/>
  <c r="I68" i="248" s="1"/>
  <c r="F69" i="248"/>
  <c r="I69" i="248" s="1"/>
  <c r="F70" i="248"/>
  <c r="I70" i="248" s="1"/>
  <c r="F71" i="248"/>
  <c r="I71" i="248" s="1"/>
  <c r="F72" i="248"/>
  <c r="I72" i="248" s="1"/>
  <c r="F73" i="248"/>
  <c r="I73" i="248" s="1"/>
  <c r="F74" i="248"/>
  <c r="I74" i="248" s="1"/>
  <c r="F75" i="248"/>
  <c r="I75" i="248" s="1"/>
  <c r="F76" i="248"/>
  <c r="I76" i="248" s="1"/>
  <c r="F77" i="248"/>
  <c r="I77" i="248" s="1"/>
  <c r="F78" i="248"/>
  <c r="I78" i="248" s="1"/>
  <c r="F79" i="248"/>
  <c r="I79" i="248" s="1"/>
  <c r="F80" i="248"/>
  <c r="I80" i="248" s="1"/>
  <c r="F81" i="248"/>
  <c r="I81" i="248" s="1"/>
  <c r="F82" i="248"/>
  <c r="I82" i="248" s="1"/>
  <c r="F83" i="248"/>
  <c r="I83" i="248" s="1"/>
  <c r="F84" i="248"/>
  <c r="I84" i="248" s="1"/>
  <c r="F85" i="248"/>
  <c r="I85" i="248" s="1"/>
  <c r="F86" i="248"/>
  <c r="I86" i="248" s="1"/>
  <c r="F87" i="248"/>
  <c r="I87" i="248" s="1"/>
  <c r="F90" i="248"/>
  <c r="I90" i="248" s="1"/>
  <c r="F91" i="248"/>
  <c r="I91" i="248" s="1"/>
  <c r="D93" i="248"/>
  <c r="F15" i="248"/>
  <c r="F17" i="248"/>
  <c r="F18" i="248"/>
  <c r="F19" i="248"/>
  <c r="F20" i="248"/>
  <c r="F21" i="248"/>
  <c r="F22" i="248"/>
  <c r="F23" i="248"/>
  <c r="F24" i="248"/>
  <c r="F25" i="248"/>
  <c r="F26" i="248"/>
  <c r="F27" i="248"/>
  <c r="F28" i="248"/>
  <c r="F29" i="248"/>
  <c r="F30" i="248"/>
  <c r="F31" i="248"/>
  <c r="F32" i="248"/>
  <c r="F33" i="248"/>
  <c r="F34" i="248"/>
  <c r="F35" i="248"/>
  <c r="F36" i="248"/>
  <c r="F37" i="248"/>
  <c r="F38" i="248"/>
  <c r="F39" i="248"/>
  <c r="F40" i="248"/>
  <c r="F41" i="248"/>
  <c r="F42" i="248"/>
  <c r="F43" i="248"/>
  <c r="F44" i="248"/>
  <c r="F45" i="248"/>
  <c r="F46" i="248"/>
  <c r="F47" i="248"/>
  <c r="F50" i="248"/>
  <c r="D52" i="248"/>
  <c r="A5" i="248"/>
  <c r="A4" i="248"/>
  <c r="A2" i="248"/>
  <c r="A1" i="248"/>
  <c r="A57" i="248"/>
  <c r="A58" i="248" s="1"/>
  <c r="A59" i="248" s="1"/>
  <c r="A60" i="248" s="1"/>
  <c r="A61" i="248" s="1"/>
  <c r="A62" i="248" s="1"/>
  <c r="A63" i="248" s="1"/>
  <c r="A64" i="248" s="1"/>
  <c r="A65" i="248" s="1"/>
  <c r="A66" i="248" s="1"/>
  <c r="A67" i="248" s="1"/>
  <c r="A68" i="248" s="1"/>
  <c r="A69" i="248" s="1"/>
  <c r="A70" i="248" s="1"/>
  <c r="A71" i="248" s="1"/>
  <c r="A72" i="248" s="1"/>
  <c r="A74" i="248"/>
  <c r="A75" i="248" s="1"/>
  <c r="A76" i="248" s="1"/>
  <c r="A77" i="248" s="1"/>
  <c r="A79" i="248"/>
  <c r="A80" i="248" s="1"/>
  <c r="A81" i="248" s="1"/>
  <c r="A82" i="248" s="1"/>
  <c r="A83" i="248" s="1"/>
  <c r="A84" i="248" s="1"/>
  <c r="A85" i="248" s="1"/>
  <c r="A86" i="248" s="1"/>
  <c r="A87" i="248" s="1"/>
  <c r="A88" i="248" s="1"/>
  <c r="A89" i="248" s="1"/>
  <c r="A90" i="248" s="1"/>
  <c r="A91" i="248" s="1"/>
  <c r="G34" i="103"/>
  <c r="G27" i="103"/>
  <c r="G20" i="103"/>
  <c r="A1" i="247"/>
  <c r="A2" i="247"/>
  <c r="J13" i="247"/>
  <c r="J14" i="247"/>
  <c r="H16" i="213"/>
  <c r="G17" i="213"/>
  <c r="H17" i="213"/>
  <c r="G17" i="207"/>
  <c r="H17" i="207"/>
  <c r="G22" i="213"/>
  <c r="H22" i="213"/>
  <c r="G23" i="213"/>
  <c r="H23" i="213"/>
  <c r="G24" i="213"/>
  <c r="H24" i="213"/>
  <c r="G22" i="207"/>
  <c r="H22" i="207"/>
  <c r="G23" i="207"/>
  <c r="H23" i="207"/>
  <c r="G24" i="207"/>
  <c r="H24" i="207"/>
  <c r="G29" i="213"/>
  <c r="H29" i="213"/>
  <c r="G30" i="213"/>
  <c r="H30" i="213"/>
  <c r="G31" i="213"/>
  <c r="H31" i="213"/>
  <c r="G32" i="213"/>
  <c r="H32" i="213"/>
  <c r="G33" i="213"/>
  <c r="H33" i="213"/>
  <c r="G34" i="213"/>
  <c r="H34" i="213"/>
  <c r="G35" i="213"/>
  <c r="H35" i="213"/>
  <c r="G36" i="213"/>
  <c r="H36" i="213"/>
  <c r="G37" i="213"/>
  <c r="H37" i="213"/>
  <c r="G38" i="213"/>
  <c r="H38" i="213"/>
  <c r="G39" i="213"/>
  <c r="H39" i="213"/>
  <c r="G40" i="213"/>
  <c r="H40" i="213"/>
  <c r="G41" i="213"/>
  <c r="H41" i="213"/>
  <c r="G42" i="213"/>
  <c r="H42" i="213"/>
  <c r="G43" i="213"/>
  <c r="H43" i="213"/>
  <c r="G44" i="213"/>
  <c r="H44" i="213"/>
  <c r="G45" i="213"/>
  <c r="H45" i="213"/>
  <c r="G29" i="207"/>
  <c r="H29" i="207"/>
  <c r="G30" i="207"/>
  <c r="H30" i="207"/>
  <c r="G31" i="207"/>
  <c r="H31" i="207"/>
  <c r="G32" i="207"/>
  <c r="H32" i="207"/>
  <c r="G33" i="207"/>
  <c r="H33" i="207"/>
  <c r="G34" i="207"/>
  <c r="H34" i="207"/>
  <c r="G35" i="207"/>
  <c r="H35" i="207"/>
  <c r="G36" i="207"/>
  <c r="H36" i="207"/>
  <c r="G37" i="207"/>
  <c r="H37" i="207"/>
  <c r="G38" i="207"/>
  <c r="H38" i="207"/>
  <c r="G39" i="207"/>
  <c r="H39" i="207"/>
  <c r="G40" i="207"/>
  <c r="H40" i="207"/>
  <c r="G41" i="207"/>
  <c r="H41" i="207"/>
  <c r="G42" i="207"/>
  <c r="H42" i="207"/>
  <c r="G43" i="207"/>
  <c r="H43" i="207"/>
  <c r="G44" i="207"/>
  <c r="H44" i="207"/>
  <c r="G45" i="207"/>
  <c r="H45" i="207"/>
  <c r="G50" i="213"/>
  <c r="H50" i="213"/>
  <c r="G51" i="213"/>
  <c r="H51" i="213"/>
  <c r="G52" i="213"/>
  <c r="H52" i="213"/>
  <c r="G53" i="213"/>
  <c r="H53" i="213"/>
  <c r="G54" i="213"/>
  <c r="H54" i="213"/>
  <c r="G55" i="213"/>
  <c r="H55" i="213"/>
  <c r="G57" i="213"/>
  <c r="H57" i="213"/>
  <c r="G58" i="213"/>
  <c r="H58" i="213"/>
  <c r="G50" i="207"/>
  <c r="H50" i="207"/>
  <c r="G51" i="207"/>
  <c r="H51" i="207"/>
  <c r="G52" i="207"/>
  <c r="H52" i="207"/>
  <c r="G53" i="207"/>
  <c r="H53" i="207"/>
  <c r="G54" i="207"/>
  <c r="H54" i="207"/>
  <c r="G55" i="207"/>
  <c r="H55" i="207"/>
  <c r="G57" i="207"/>
  <c r="H57" i="207"/>
  <c r="G58" i="207"/>
  <c r="H58" i="207"/>
  <c r="G63" i="213"/>
  <c r="H63" i="213"/>
  <c r="G64" i="213"/>
  <c r="H64" i="213"/>
  <c r="G65" i="213"/>
  <c r="H65" i="213"/>
  <c r="G66" i="213"/>
  <c r="H66" i="213"/>
  <c r="G67" i="213"/>
  <c r="H67" i="213"/>
  <c r="G68" i="213"/>
  <c r="H68" i="213"/>
  <c r="G69" i="213"/>
  <c r="H69" i="213"/>
  <c r="G70" i="213"/>
  <c r="H70" i="213"/>
  <c r="G71" i="213"/>
  <c r="H71" i="213"/>
  <c r="G72" i="213"/>
  <c r="H72" i="213"/>
  <c r="G73" i="213"/>
  <c r="H73" i="213"/>
  <c r="G76" i="213"/>
  <c r="H76" i="213"/>
  <c r="G77" i="213"/>
  <c r="H77" i="213"/>
  <c r="G78" i="213"/>
  <c r="H78" i="213"/>
  <c r="G79" i="213"/>
  <c r="H79" i="213"/>
  <c r="G80" i="213"/>
  <c r="H80" i="213"/>
  <c r="G81" i="213"/>
  <c r="H81" i="213"/>
  <c r="G82" i="213"/>
  <c r="H82" i="213"/>
  <c r="G83" i="213"/>
  <c r="H83" i="213"/>
  <c r="G84" i="213"/>
  <c r="H84" i="213"/>
  <c r="G63" i="207"/>
  <c r="H63" i="207"/>
  <c r="G64" i="207"/>
  <c r="H64" i="207"/>
  <c r="G65" i="207"/>
  <c r="H65" i="207"/>
  <c r="G66" i="207"/>
  <c r="H66" i="207"/>
  <c r="G67" i="207"/>
  <c r="H67" i="207"/>
  <c r="G68" i="207"/>
  <c r="H68" i="207"/>
  <c r="G69" i="207"/>
  <c r="H69" i="207"/>
  <c r="G70" i="207"/>
  <c r="H70" i="207"/>
  <c r="G71" i="207"/>
  <c r="H71" i="207"/>
  <c r="G72" i="207"/>
  <c r="H72" i="207"/>
  <c r="G73" i="207"/>
  <c r="H73" i="207"/>
  <c r="G76" i="207"/>
  <c r="H76" i="207"/>
  <c r="G77" i="207"/>
  <c r="H77" i="207"/>
  <c r="G78" i="207"/>
  <c r="H78" i="207"/>
  <c r="G79" i="207"/>
  <c r="H79" i="207"/>
  <c r="G80" i="207"/>
  <c r="H80" i="207"/>
  <c r="G81" i="207"/>
  <c r="H81" i="207"/>
  <c r="G82" i="207"/>
  <c r="H82" i="207"/>
  <c r="G83" i="207"/>
  <c r="H83" i="207"/>
  <c r="G84" i="207"/>
  <c r="H84" i="207"/>
  <c r="F130" i="207"/>
  <c r="F131" i="207"/>
  <c r="F132" i="207"/>
  <c r="F133" i="207"/>
  <c r="F134" i="207"/>
  <c r="F136" i="207"/>
  <c r="F135" i="207"/>
  <c r="F137" i="207"/>
  <c r="F138" i="207"/>
  <c r="F139" i="207"/>
  <c r="F140" i="207"/>
  <c r="F141" i="207"/>
  <c r="F142" i="207"/>
  <c r="F143" i="207"/>
  <c r="F144" i="207"/>
  <c r="F145" i="207"/>
  <c r="F146" i="207"/>
  <c r="F147" i="207"/>
  <c r="F148" i="207"/>
  <c r="F149" i="207"/>
  <c r="F150" i="207"/>
  <c r="G89" i="213"/>
  <c r="H89" i="213"/>
  <c r="G90" i="213"/>
  <c r="H90" i="213"/>
  <c r="G91" i="213"/>
  <c r="H91" i="213"/>
  <c r="G92" i="213"/>
  <c r="H92" i="213"/>
  <c r="G93" i="213"/>
  <c r="H93" i="213"/>
  <c r="G94" i="213"/>
  <c r="H94" i="213"/>
  <c r="G95" i="213"/>
  <c r="H95" i="213"/>
  <c r="G110" i="213"/>
  <c r="H110" i="213"/>
  <c r="G111" i="213"/>
  <c r="H111" i="213"/>
  <c r="G112" i="213"/>
  <c r="H112" i="213"/>
  <c r="G113" i="213"/>
  <c r="H113" i="213"/>
  <c r="G89" i="207"/>
  <c r="H89" i="207"/>
  <c r="G90" i="207"/>
  <c r="H90" i="207"/>
  <c r="G91" i="207"/>
  <c r="H91" i="207"/>
  <c r="G92" i="207"/>
  <c r="H92" i="207"/>
  <c r="G93" i="207"/>
  <c r="H93" i="207"/>
  <c r="G94" i="207"/>
  <c r="H94" i="207"/>
  <c r="G95" i="207"/>
  <c r="H112" i="207"/>
  <c r="G113" i="207"/>
  <c r="H113" i="207"/>
  <c r="G89" i="209"/>
  <c r="H89" i="209"/>
  <c r="G90" i="209"/>
  <c r="H90" i="209"/>
  <c r="G91" i="209"/>
  <c r="H91" i="209"/>
  <c r="G92" i="209"/>
  <c r="H92" i="209"/>
  <c r="G93" i="209"/>
  <c r="H93" i="209"/>
  <c r="G94" i="209"/>
  <c r="H94" i="209"/>
  <c r="G95" i="209"/>
  <c r="H95" i="209"/>
  <c r="G101" i="209"/>
  <c r="H101" i="209"/>
  <c r="G102" i="209"/>
  <c r="H102" i="209"/>
  <c r="G103" i="209"/>
  <c r="H103" i="209"/>
  <c r="G104" i="209"/>
  <c r="H104" i="209"/>
  <c r="G105" i="209"/>
  <c r="H105" i="209"/>
  <c r="G106" i="209"/>
  <c r="H106" i="209"/>
  <c r="G107" i="209"/>
  <c r="H107" i="209"/>
  <c r="G108" i="209"/>
  <c r="H108" i="209"/>
  <c r="G109" i="209"/>
  <c r="H109" i="209"/>
  <c r="G110" i="209"/>
  <c r="H110" i="209"/>
  <c r="G111" i="209"/>
  <c r="H111" i="209"/>
  <c r="G112" i="209"/>
  <c r="H112" i="209"/>
  <c r="G113" i="209"/>
  <c r="H113" i="209"/>
  <c r="G114" i="209"/>
  <c r="H114" i="209"/>
  <c r="G63" i="209"/>
  <c r="H63" i="209"/>
  <c r="G64" i="209"/>
  <c r="H64" i="209"/>
  <c r="G65" i="209"/>
  <c r="H65" i="209"/>
  <c r="G66" i="209"/>
  <c r="H66" i="209"/>
  <c r="G67" i="209"/>
  <c r="H67" i="209"/>
  <c r="G68" i="209"/>
  <c r="H68" i="209"/>
  <c r="G69" i="209"/>
  <c r="H69" i="209"/>
  <c r="G70" i="209"/>
  <c r="H70" i="209"/>
  <c r="G71" i="209"/>
  <c r="H71" i="209"/>
  <c r="G72" i="209"/>
  <c r="H72" i="209"/>
  <c r="G73" i="209"/>
  <c r="H73" i="209"/>
  <c r="G76" i="209"/>
  <c r="H76" i="209"/>
  <c r="G77" i="209"/>
  <c r="H77" i="209"/>
  <c r="G78" i="209"/>
  <c r="H78" i="209"/>
  <c r="G79" i="209"/>
  <c r="H79" i="209"/>
  <c r="G80" i="209"/>
  <c r="H80" i="209"/>
  <c r="G81" i="209"/>
  <c r="H81" i="209"/>
  <c r="G82" i="209"/>
  <c r="H82" i="209"/>
  <c r="G83" i="209"/>
  <c r="H83" i="209"/>
  <c r="G84" i="209"/>
  <c r="H84" i="209"/>
  <c r="G50" i="209"/>
  <c r="H50" i="209"/>
  <c r="G51" i="209"/>
  <c r="H51" i="209"/>
  <c r="G52" i="209"/>
  <c r="H52" i="209"/>
  <c r="G53" i="209"/>
  <c r="H53" i="209"/>
  <c r="G54" i="209"/>
  <c r="H54" i="209"/>
  <c r="G55" i="209"/>
  <c r="H55" i="209"/>
  <c r="G57" i="209"/>
  <c r="H57" i="209"/>
  <c r="G58" i="209"/>
  <c r="H58" i="209"/>
  <c r="G29" i="209"/>
  <c r="H29" i="209"/>
  <c r="G30" i="209"/>
  <c r="H30" i="209"/>
  <c r="G31" i="209"/>
  <c r="H31" i="209"/>
  <c r="G32" i="209"/>
  <c r="H32" i="209"/>
  <c r="G33" i="209"/>
  <c r="H33" i="209"/>
  <c r="G34" i="209"/>
  <c r="H34" i="209"/>
  <c r="G35" i="209"/>
  <c r="H35" i="209"/>
  <c r="G36" i="209"/>
  <c r="H36" i="209"/>
  <c r="G37" i="209"/>
  <c r="H37" i="209"/>
  <c r="G38" i="209"/>
  <c r="H38" i="209"/>
  <c r="G39" i="209"/>
  <c r="H39" i="209"/>
  <c r="G40" i="209"/>
  <c r="H40" i="209"/>
  <c r="G41" i="209"/>
  <c r="H41" i="209"/>
  <c r="G42" i="209"/>
  <c r="H42" i="209"/>
  <c r="G43" i="209"/>
  <c r="H43" i="209"/>
  <c r="G44" i="209"/>
  <c r="H44" i="209"/>
  <c r="G45" i="209"/>
  <c r="H45" i="209"/>
  <c r="G22" i="209"/>
  <c r="H22" i="209"/>
  <c r="G23" i="209"/>
  <c r="H23" i="209"/>
  <c r="G24" i="209"/>
  <c r="H24" i="209"/>
  <c r="H16" i="209"/>
  <c r="G17" i="209"/>
  <c r="H17" i="209"/>
  <c r="F131" i="236"/>
  <c r="F132" i="236"/>
  <c r="F133" i="236"/>
  <c r="F134" i="236"/>
  <c r="F135" i="236"/>
  <c r="F136" i="236"/>
  <c r="F137" i="236"/>
  <c r="F138" i="236"/>
  <c r="F139" i="236"/>
  <c r="F140" i="236"/>
  <c r="F141" i="236"/>
  <c r="F142" i="236"/>
  <c r="F143" i="236"/>
  <c r="F144" i="236"/>
  <c r="F145" i="236"/>
  <c r="F146" i="236"/>
  <c r="F147" i="236"/>
  <c r="F148" i="236"/>
  <c r="F149" i="236"/>
  <c r="F150" i="236"/>
  <c r="F151" i="236"/>
  <c r="G89" i="236"/>
  <c r="H89" i="236"/>
  <c r="G90" i="236"/>
  <c r="H90" i="236"/>
  <c r="G91" i="236"/>
  <c r="H91" i="236"/>
  <c r="G92" i="236"/>
  <c r="H92" i="236"/>
  <c r="G93" i="236"/>
  <c r="H93" i="236"/>
  <c r="G94" i="236"/>
  <c r="H94" i="236"/>
  <c r="G95" i="236"/>
  <c r="H95" i="236"/>
  <c r="G96" i="236"/>
  <c r="H96" i="236"/>
  <c r="G97" i="236"/>
  <c r="H97" i="236"/>
  <c r="G98" i="236"/>
  <c r="H98" i="236"/>
  <c r="G99" i="236"/>
  <c r="H99" i="236"/>
  <c r="G100" i="236"/>
  <c r="H100" i="236"/>
  <c r="G101" i="236"/>
  <c r="H101" i="236"/>
  <c r="G102" i="236"/>
  <c r="H102" i="236"/>
  <c r="G103" i="236"/>
  <c r="H103" i="236"/>
  <c r="G104" i="236"/>
  <c r="H104" i="236"/>
  <c r="G105" i="236"/>
  <c r="H105" i="236"/>
  <c r="G111" i="236"/>
  <c r="H111" i="236"/>
  <c r="G112" i="236"/>
  <c r="H112" i="236"/>
  <c r="G113" i="236"/>
  <c r="H113" i="236"/>
  <c r="G114" i="236"/>
  <c r="H114" i="236"/>
  <c r="G63" i="236"/>
  <c r="H63" i="236"/>
  <c r="G64" i="236"/>
  <c r="H64" i="236"/>
  <c r="G65" i="236"/>
  <c r="H65" i="236"/>
  <c r="G66" i="236"/>
  <c r="H66" i="236"/>
  <c r="G67" i="236"/>
  <c r="H67" i="236"/>
  <c r="G68" i="236"/>
  <c r="H68" i="236"/>
  <c r="G69" i="236"/>
  <c r="H69" i="236"/>
  <c r="G70" i="236"/>
  <c r="H70" i="236"/>
  <c r="G71" i="236"/>
  <c r="H71" i="236"/>
  <c r="G72" i="236"/>
  <c r="H72" i="236"/>
  <c r="G73" i="236"/>
  <c r="H73" i="236"/>
  <c r="G76" i="236"/>
  <c r="H76" i="236"/>
  <c r="G77" i="236"/>
  <c r="H77" i="236"/>
  <c r="G78" i="236"/>
  <c r="H78" i="236"/>
  <c r="G79" i="236"/>
  <c r="H79" i="236"/>
  <c r="G80" i="236"/>
  <c r="H80" i="236"/>
  <c r="G81" i="236"/>
  <c r="H81" i="236"/>
  <c r="G82" i="236"/>
  <c r="H82" i="236"/>
  <c r="G83" i="236"/>
  <c r="H83" i="236"/>
  <c r="G84" i="236"/>
  <c r="H84" i="236"/>
  <c r="G50" i="236"/>
  <c r="H50" i="236"/>
  <c r="G51" i="236"/>
  <c r="H51" i="236"/>
  <c r="G52" i="236"/>
  <c r="H52" i="236"/>
  <c r="G53" i="236"/>
  <c r="H53" i="236"/>
  <c r="G54" i="236"/>
  <c r="H54" i="236"/>
  <c r="G55" i="236"/>
  <c r="H55" i="236"/>
  <c r="G57" i="236"/>
  <c r="H57" i="236"/>
  <c r="G58" i="236"/>
  <c r="H58" i="236"/>
  <c r="G29" i="236"/>
  <c r="H29" i="236"/>
  <c r="G30" i="236"/>
  <c r="H30" i="236"/>
  <c r="G31" i="236"/>
  <c r="H31" i="236"/>
  <c r="G32" i="236"/>
  <c r="H32" i="236"/>
  <c r="G33" i="236"/>
  <c r="H33" i="236"/>
  <c r="G34" i="236"/>
  <c r="H34" i="236"/>
  <c r="G35" i="236"/>
  <c r="H35" i="236"/>
  <c r="G36" i="236"/>
  <c r="H36" i="236"/>
  <c r="G37" i="236"/>
  <c r="H37" i="236"/>
  <c r="G38" i="236"/>
  <c r="H38" i="236"/>
  <c r="G39" i="236"/>
  <c r="H39" i="236"/>
  <c r="G40" i="236"/>
  <c r="H40" i="236"/>
  <c r="G41" i="236"/>
  <c r="H41" i="236"/>
  <c r="G42" i="236"/>
  <c r="H42" i="236"/>
  <c r="G43" i="236"/>
  <c r="H43" i="236"/>
  <c r="G44" i="236"/>
  <c r="H44" i="236"/>
  <c r="G45" i="236"/>
  <c r="H45" i="236"/>
  <c r="G22" i="236"/>
  <c r="H22" i="236"/>
  <c r="G23" i="236"/>
  <c r="H23" i="236"/>
  <c r="G24" i="236"/>
  <c r="H24" i="236"/>
  <c r="H16" i="236"/>
  <c r="G17" i="236"/>
  <c r="H17" i="236"/>
  <c r="G119" i="213"/>
  <c r="H119" i="213"/>
  <c r="G119" i="207"/>
  <c r="H119" i="207"/>
  <c r="L98" i="10"/>
  <c r="K98" i="10"/>
  <c r="J98" i="10"/>
  <c r="D13" i="244"/>
  <c r="M98" i="10"/>
  <c r="N98" i="10"/>
  <c r="O98" i="10"/>
  <c r="P98" i="10"/>
  <c r="Q98" i="10"/>
  <c r="R98" i="10"/>
  <c r="A2" i="212"/>
  <c r="A2" i="244" s="1"/>
  <c r="D40" i="51"/>
  <c r="D146" i="51" s="1"/>
  <c r="A1" i="245"/>
  <c r="A2" i="245"/>
  <c r="A3" i="245"/>
  <c r="A4" i="245"/>
  <c r="H18" i="102"/>
  <c r="E45" i="231"/>
  <c r="J45" i="231" s="1"/>
  <c r="E43" i="231"/>
  <c r="J43" i="231" s="1"/>
  <c r="J39" i="231"/>
  <c r="D19" i="244"/>
  <c r="D16" i="244"/>
  <c r="A1" i="212"/>
  <c r="A1" i="244" s="1"/>
  <c r="A3" i="212"/>
  <c r="A4" i="242" s="1"/>
  <c r="F8" i="137"/>
  <c r="J22" i="244"/>
  <c r="D19" i="243"/>
  <c r="D16" i="243"/>
  <c r="J22" i="243"/>
  <c r="A7" i="137"/>
  <c r="A7" i="237" s="1"/>
  <c r="A8" i="242"/>
  <c r="A6" i="242"/>
  <c r="A8" i="233"/>
  <c r="A6" i="233"/>
  <c r="A7" i="3"/>
  <c r="A7" i="241" s="1"/>
  <c r="A6" i="241"/>
  <c r="A8" i="241"/>
  <c r="A2" i="34"/>
  <c r="A1" i="34"/>
  <c r="A5" i="34"/>
  <c r="A4" i="34"/>
  <c r="J33" i="39"/>
  <c r="I34" i="39"/>
  <c r="J34" i="41"/>
  <c r="J36" i="41"/>
  <c r="I34" i="41"/>
  <c r="I36" i="41"/>
  <c r="H34" i="41"/>
  <c r="H36" i="41"/>
  <c r="H33" i="41"/>
  <c r="H16" i="103"/>
  <c r="I16" i="103" s="1"/>
  <c r="D17" i="103"/>
  <c r="H17" i="103" s="1"/>
  <c r="I17" i="103" s="1"/>
  <c r="D18" i="103"/>
  <c r="H18" i="103" s="1"/>
  <c r="D19" i="103"/>
  <c r="E19" i="103" s="1"/>
  <c r="G41" i="103"/>
  <c r="E16" i="103"/>
  <c r="E18" i="103"/>
  <c r="C41" i="103"/>
  <c r="A5" i="103"/>
  <c r="A4" i="103"/>
  <c r="A2" i="103"/>
  <c r="A1" i="103"/>
  <c r="H13" i="103"/>
  <c r="H12" i="103"/>
  <c r="E16" i="239"/>
  <c r="A1" i="239"/>
  <c r="A2" i="239"/>
  <c r="H11" i="239"/>
  <c r="H12" i="239"/>
  <c r="H15" i="239"/>
  <c r="A5" i="37"/>
  <c r="A4" i="37"/>
  <c r="A2" i="37"/>
  <c r="A1" i="37"/>
  <c r="A2" i="98"/>
  <c r="A1" i="98"/>
  <c r="A2" i="95"/>
  <c r="A1" i="95"/>
  <c r="A5" i="202"/>
  <c r="A4" i="202"/>
  <c r="A2" i="202"/>
  <c r="A1" i="202"/>
  <c r="A2" i="99"/>
  <c r="A1" i="99"/>
  <c r="A2" i="106"/>
  <c r="A1" i="106"/>
  <c r="I16" i="105"/>
  <c r="J16" i="105" s="1"/>
  <c r="J18" i="105" s="1"/>
  <c r="A5" i="105"/>
  <c r="A4" i="105"/>
  <c r="A2" i="105"/>
  <c r="A1" i="105"/>
  <c r="H12" i="102"/>
  <c r="H11" i="102"/>
  <c r="A5" i="102"/>
  <c r="A4" i="102"/>
  <c r="A2" i="102"/>
  <c r="A1" i="102"/>
  <c r="A5" i="100"/>
  <c r="A4" i="100"/>
  <c r="A2" i="100"/>
  <c r="A1" i="100"/>
  <c r="H73" i="100"/>
  <c r="D73" i="100"/>
  <c r="E48" i="100"/>
  <c r="E19" i="100"/>
  <c r="E49" i="100" s="1"/>
  <c r="E20" i="100"/>
  <c r="I20" i="100" s="1"/>
  <c r="E21" i="100"/>
  <c r="E51" i="100" s="1"/>
  <c r="I18" i="100"/>
  <c r="I48" i="100" s="1"/>
  <c r="I13" i="100"/>
  <c r="I12" i="100"/>
  <c r="A5" i="10"/>
  <c r="A4" i="10"/>
  <c r="A2" i="10"/>
  <c r="A1" i="10"/>
  <c r="A5" i="36"/>
  <c r="A4" i="36"/>
  <c r="A2" i="36"/>
  <c r="A1" i="36"/>
  <c r="A4" i="8"/>
  <c r="A2" i="8"/>
  <c r="A1" i="8"/>
  <c r="A8" i="5"/>
  <c r="A9" i="5"/>
  <c r="A7" i="5"/>
  <c r="A2" i="5"/>
  <c r="A1" i="5"/>
  <c r="A5" i="84"/>
  <c r="A4" i="84"/>
  <c r="A1" i="84"/>
  <c r="D9" i="238"/>
  <c r="E9" i="238"/>
  <c r="F9" i="238"/>
  <c r="G9" i="238"/>
  <c r="H9" i="238"/>
  <c r="I9" i="238"/>
  <c r="J9" i="238"/>
  <c r="K9" i="238"/>
  <c r="L9" i="238"/>
  <c r="M9" i="238"/>
  <c r="N9" i="238"/>
  <c r="D10" i="238"/>
  <c r="E10" i="238"/>
  <c r="F10" i="238"/>
  <c r="G10" i="238"/>
  <c r="H10" i="238"/>
  <c r="I10" i="238"/>
  <c r="J10" i="238"/>
  <c r="K10" i="238"/>
  <c r="L10" i="238"/>
  <c r="M10" i="238"/>
  <c r="N10" i="238"/>
  <c r="C10" i="238"/>
  <c r="C9" i="238"/>
  <c r="A7" i="79"/>
  <c r="A7" i="238" s="1"/>
  <c r="A8" i="238"/>
  <c r="A6" i="238"/>
  <c r="A4" i="238"/>
  <c r="A1" i="238"/>
  <c r="A2" i="238"/>
  <c r="O10" i="238"/>
  <c r="A1" i="237"/>
  <c r="A2" i="237"/>
  <c r="A6" i="237"/>
  <c r="A8" i="237"/>
  <c r="A8" i="236"/>
  <c r="A6" i="236"/>
  <c r="A4" i="236"/>
  <c r="A1" i="236"/>
  <c r="A2" i="236"/>
  <c r="E19" i="236"/>
  <c r="E26" i="236"/>
  <c r="E47" i="236"/>
  <c r="E60" i="236"/>
  <c r="E86" i="236"/>
  <c r="E118" i="236"/>
  <c r="E128" i="236"/>
  <c r="D153" i="236"/>
  <c r="E153" i="236"/>
  <c r="K153" i="236"/>
  <c r="E179" i="236"/>
  <c r="E226" i="236"/>
  <c r="E262" i="236"/>
  <c r="K152" i="213"/>
  <c r="E228" i="209"/>
  <c r="E181" i="209"/>
  <c r="E60" i="209"/>
  <c r="K155" i="209"/>
  <c r="E118" i="209"/>
  <c r="E86" i="209"/>
  <c r="E47" i="209"/>
  <c r="E26" i="209"/>
  <c r="E19" i="209"/>
  <c r="E130" i="209"/>
  <c r="E155" i="209"/>
  <c r="D155" i="209"/>
  <c r="A8" i="209"/>
  <c r="A6" i="209"/>
  <c r="A4" i="209"/>
  <c r="H27" i="102"/>
  <c r="A1" i="235"/>
  <c r="A2" i="235"/>
  <c r="A3" i="235"/>
  <c r="A4" i="235"/>
  <c r="D36" i="230"/>
  <c r="D19" i="230"/>
  <c r="E36" i="230"/>
  <c r="E19" i="230"/>
  <c r="F36" i="230"/>
  <c r="F19" i="230"/>
  <c r="G36" i="230"/>
  <c r="G19" i="230"/>
  <c r="H36" i="230"/>
  <c r="H19" i="230"/>
  <c r="A8" i="230"/>
  <c r="A6" i="230"/>
  <c r="C61" i="228"/>
  <c r="B61" i="228"/>
  <c r="C32" i="227"/>
  <c r="B32" i="227"/>
  <c r="C42" i="226"/>
  <c r="B42" i="226"/>
  <c r="C63" i="192"/>
  <c r="B63" i="192"/>
  <c r="C32" i="193"/>
  <c r="B32" i="193"/>
  <c r="C44" i="190"/>
  <c r="B44" i="190"/>
  <c r="P10" i="228"/>
  <c r="A8" i="228"/>
  <c r="A6" i="228"/>
  <c r="A4" i="228"/>
  <c r="A1" i="228"/>
  <c r="A2" i="228"/>
  <c r="P12" i="228"/>
  <c r="P14" i="228"/>
  <c r="A8" i="227"/>
  <c r="A6" i="227"/>
  <c r="A4" i="227"/>
  <c r="A4" i="226"/>
  <c r="A1" i="227"/>
  <c r="A2" i="227"/>
  <c r="P10" i="227"/>
  <c r="P12" i="227"/>
  <c r="P13" i="227"/>
  <c r="P12" i="226"/>
  <c r="P13" i="226"/>
  <c r="A8" i="226"/>
  <c r="A6" i="226"/>
  <c r="A1" i="226"/>
  <c r="A2" i="226"/>
  <c r="P10" i="226"/>
  <c r="A4" i="222"/>
  <c r="A8" i="222"/>
  <c r="A6" i="222"/>
  <c r="A1" i="222"/>
  <c r="A2" i="222"/>
  <c r="A2" i="221"/>
  <c r="A3" i="221"/>
  <c r="A4" i="221"/>
  <c r="A1" i="221"/>
  <c r="A4" i="48"/>
  <c r="A2" i="48"/>
  <c r="A1" i="48"/>
  <c r="A4" i="49"/>
  <c r="A2" i="49"/>
  <c r="A1" i="49"/>
  <c r="A4" i="212"/>
  <c r="A4" i="50" s="1"/>
  <c r="A2" i="50"/>
  <c r="A1" i="50"/>
  <c r="A2" i="51"/>
  <c r="A1" i="51"/>
  <c r="C31" i="215"/>
  <c r="D31" i="215"/>
  <c r="E31" i="215"/>
  <c r="C32" i="215"/>
  <c r="D32" i="215"/>
  <c r="E33" i="30"/>
  <c r="D32" i="30"/>
  <c r="D31" i="30"/>
  <c r="E31" i="30"/>
  <c r="D152" i="213"/>
  <c r="A3" i="216"/>
  <c r="A4" i="233" s="1"/>
  <c r="C27" i="215"/>
  <c r="C26" i="215"/>
  <c r="C25" i="215"/>
  <c r="D25" i="215"/>
  <c r="C24" i="215"/>
  <c r="D24" i="215"/>
  <c r="E24" i="215"/>
  <c r="O30" i="216"/>
  <c r="C20" i="215" s="1"/>
  <c r="C27" i="30"/>
  <c r="C26" i="30"/>
  <c r="C25" i="30"/>
  <c r="D25" i="30"/>
  <c r="D24" i="30"/>
  <c r="E24" i="30"/>
  <c r="A1" i="216"/>
  <c r="A2" i="216"/>
  <c r="C30" i="216"/>
  <c r="D30" i="216"/>
  <c r="E30" i="216"/>
  <c r="F30" i="216"/>
  <c r="G30" i="216"/>
  <c r="H30" i="216"/>
  <c r="I30" i="216"/>
  <c r="J30" i="216"/>
  <c r="K30" i="216"/>
  <c r="L30" i="216"/>
  <c r="M30" i="216"/>
  <c r="N30" i="216"/>
  <c r="A9" i="215"/>
  <c r="A7" i="215"/>
  <c r="H12" i="215"/>
  <c r="A3" i="214"/>
  <c r="A2" i="214"/>
  <c r="A1" i="214"/>
  <c r="A9" i="30"/>
  <c r="A7" i="30"/>
  <c r="A8" i="67"/>
  <c r="A6" i="67"/>
  <c r="A9" i="69"/>
  <c r="A7" i="69"/>
  <c r="A2" i="69"/>
  <c r="A1" i="69"/>
  <c r="A9" i="24"/>
  <c r="A7" i="24"/>
  <c r="A2" i="24"/>
  <c r="A1" i="24"/>
  <c r="A8" i="213"/>
  <c r="A6" i="213"/>
  <c r="A4" i="213"/>
  <c r="A1" i="213"/>
  <c r="A2" i="213"/>
  <c r="E19" i="213"/>
  <c r="E26" i="213"/>
  <c r="E47" i="213"/>
  <c r="E60" i="213"/>
  <c r="E86" i="213"/>
  <c r="E115" i="213"/>
  <c r="E127" i="213"/>
  <c r="E152" i="213"/>
  <c r="E177" i="213"/>
  <c r="K152" i="207"/>
  <c r="E127" i="207"/>
  <c r="E152" i="207"/>
  <c r="E177" i="207"/>
  <c r="E19" i="207"/>
  <c r="E26" i="207"/>
  <c r="E47" i="207"/>
  <c r="E60" i="207"/>
  <c r="E86" i="207"/>
  <c r="E115" i="207"/>
  <c r="D152" i="207"/>
  <c r="A7" i="171"/>
  <c r="A8" i="171"/>
  <c r="A6" i="171"/>
  <c r="A4" i="171"/>
  <c r="A2" i="171"/>
  <c r="A1" i="171"/>
  <c r="O10" i="171"/>
  <c r="N10" i="171"/>
  <c r="M10" i="171"/>
  <c r="L10" i="171"/>
  <c r="K10" i="171"/>
  <c r="J10" i="171"/>
  <c r="I10" i="171"/>
  <c r="H10" i="171"/>
  <c r="G10" i="171"/>
  <c r="F10" i="171"/>
  <c r="E10" i="171"/>
  <c r="D10" i="171"/>
  <c r="C10" i="171"/>
  <c r="N9" i="171"/>
  <c r="M9" i="171"/>
  <c r="L9" i="171"/>
  <c r="K9" i="171"/>
  <c r="H9" i="171"/>
  <c r="G9" i="171"/>
  <c r="F9" i="171"/>
  <c r="E9" i="171"/>
  <c r="D9" i="171"/>
  <c r="C9" i="171"/>
  <c r="A4" i="192"/>
  <c r="A2" i="192"/>
  <c r="A1" i="192"/>
  <c r="P10" i="192"/>
  <c r="O10" i="192"/>
  <c r="N10" i="192"/>
  <c r="M10" i="192"/>
  <c r="L10" i="192"/>
  <c r="K10" i="192"/>
  <c r="J10" i="192"/>
  <c r="I10" i="192"/>
  <c r="H10" i="192"/>
  <c r="G10" i="192"/>
  <c r="F10" i="192"/>
  <c r="D10" i="192"/>
  <c r="O9" i="192"/>
  <c r="N9" i="192"/>
  <c r="M9" i="192"/>
  <c r="L9" i="192"/>
  <c r="K9" i="192"/>
  <c r="J9" i="192"/>
  <c r="I9" i="192"/>
  <c r="H9" i="192"/>
  <c r="G9" i="192"/>
  <c r="F9" i="192"/>
  <c r="D9" i="192"/>
  <c r="A7" i="44"/>
  <c r="A7" i="192" s="1"/>
  <c r="A8" i="44"/>
  <c r="A8" i="192" s="1"/>
  <c r="A6" i="44"/>
  <c r="A6" i="192" s="1"/>
  <c r="A4" i="193"/>
  <c r="A2" i="193"/>
  <c r="A1" i="193"/>
  <c r="P10" i="193"/>
  <c r="O10" i="193"/>
  <c r="N10" i="193"/>
  <c r="M10" i="193"/>
  <c r="L10" i="193"/>
  <c r="K10" i="193"/>
  <c r="J10" i="193"/>
  <c r="I10" i="193"/>
  <c r="H10" i="193"/>
  <c r="G10" i="193"/>
  <c r="F10" i="193"/>
  <c r="D10" i="193"/>
  <c r="O9" i="193"/>
  <c r="N9" i="193"/>
  <c r="M9" i="193"/>
  <c r="L9" i="193"/>
  <c r="K9" i="193"/>
  <c r="J9" i="193"/>
  <c r="I9" i="193"/>
  <c r="H9" i="193"/>
  <c r="G9" i="193"/>
  <c r="F9" i="193"/>
  <c r="D9" i="193"/>
  <c r="A4" i="190"/>
  <c r="A2" i="190"/>
  <c r="A1" i="190"/>
  <c r="P15" i="190"/>
  <c r="F9" i="190"/>
  <c r="G9" i="190"/>
  <c r="H9" i="190"/>
  <c r="I9" i="190"/>
  <c r="J9" i="190"/>
  <c r="K9" i="190"/>
  <c r="L9" i="190"/>
  <c r="M9" i="190"/>
  <c r="N9" i="190"/>
  <c r="O9" i="190"/>
  <c r="F10" i="190"/>
  <c r="G10" i="190"/>
  <c r="H10" i="190"/>
  <c r="I10" i="190"/>
  <c r="J10" i="190"/>
  <c r="K10" i="190"/>
  <c r="L10" i="190"/>
  <c r="M10" i="190"/>
  <c r="N10" i="190"/>
  <c r="O10" i="190"/>
  <c r="P10" i="190"/>
  <c r="D10" i="190"/>
  <c r="D9" i="190"/>
  <c r="A4" i="44"/>
  <c r="A2" i="44"/>
  <c r="A1" i="44"/>
  <c r="A4" i="4"/>
  <c r="A2" i="4"/>
  <c r="A1" i="4"/>
  <c r="G36" i="39"/>
  <c r="G35" i="39"/>
  <c r="G34" i="39"/>
  <c r="G33" i="39"/>
  <c r="G30" i="39"/>
  <c r="H35" i="39"/>
  <c r="A5" i="39"/>
  <c r="A4" i="39"/>
  <c r="A2" i="39"/>
  <c r="A1" i="39"/>
  <c r="A2" i="41"/>
  <c r="A4" i="41"/>
  <c r="A5" i="41"/>
  <c r="A1" i="41"/>
  <c r="G36" i="41"/>
  <c r="G35" i="41"/>
  <c r="G34" i="41"/>
  <c r="G33" i="41"/>
  <c r="G30" i="41"/>
  <c r="G22" i="41"/>
  <c r="H35" i="41"/>
  <c r="A5" i="42"/>
  <c r="A4" i="42"/>
  <c r="A2" i="42"/>
  <c r="A1" i="42"/>
  <c r="D19" i="42"/>
  <c r="A5" i="35"/>
  <c r="A4" i="35"/>
  <c r="A2" i="35"/>
  <c r="A1" i="35"/>
  <c r="A4" i="79"/>
  <c r="A2" i="79"/>
  <c r="A1" i="79"/>
  <c r="A4" i="45"/>
  <c r="A2" i="45"/>
  <c r="A1" i="45"/>
  <c r="A1" i="211"/>
  <c r="A2" i="211"/>
  <c r="A3" i="211"/>
  <c r="A4" i="211"/>
  <c r="A8" i="46"/>
  <c r="A9" i="46"/>
  <c r="A7" i="46"/>
  <c r="A5" i="46"/>
  <c r="A4" i="46"/>
  <c r="A2" i="46"/>
  <c r="A1" i="46"/>
  <c r="A4" i="47"/>
  <c r="A2" i="47"/>
  <c r="A1" i="47"/>
  <c r="A4" i="67"/>
  <c r="A2" i="67"/>
  <c r="A1" i="67"/>
  <c r="A8" i="31"/>
  <c r="A6" i="31"/>
  <c r="A2" i="31"/>
  <c r="A1" i="31"/>
  <c r="A1" i="209"/>
  <c r="A2" i="209"/>
  <c r="A2" i="137"/>
  <c r="A1" i="137"/>
  <c r="A2" i="3"/>
  <c r="A1" i="3"/>
  <c r="A8" i="207"/>
  <c r="A6" i="207"/>
  <c r="A4" i="207"/>
  <c r="A2" i="207"/>
  <c r="A1" i="207"/>
  <c r="A4" i="1"/>
  <c r="A2" i="1"/>
  <c r="A1" i="1"/>
  <c r="A4" i="206"/>
  <c r="A2" i="206"/>
  <c r="A3" i="206"/>
  <c r="A1" i="206"/>
  <c r="A4" i="205"/>
  <c r="A3" i="205"/>
  <c r="A2" i="205"/>
  <c r="A1" i="205"/>
  <c r="J25" i="10"/>
  <c r="J27" i="10" s="1"/>
  <c r="K25" i="10"/>
  <c r="K27" i="10" s="1"/>
  <c r="L25" i="10"/>
  <c r="L27" i="10" s="1"/>
  <c r="M25" i="10"/>
  <c r="M27" i="10" s="1"/>
  <c r="N25" i="10"/>
  <c r="N27" i="10" s="1"/>
  <c r="O25" i="10"/>
  <c r="O27" i="10" s="1"/>
  <c r="P25" i="10"/>
  <c r="P27" i="10" s="1"/>
  <c r="Q25" i="10"/>
  <c r="Q27" i="10" s="1"/>
  <c r="R25" i="10"/>
  <c r="R27" i="10" s="1"/>
  <c r="J31" i="10"/>
  <c r="K31" i="10"/>
  <c r="L31" i="10"/>
  <c r="M31" i="10"/>
  <c r="N31" i="10"/>
  <c r="O31" i="10"/>
  <c r="P31" i="10"/>
  <c r="Q31" i="10"/>
  <c r="R31" i="10"/>
  <c r="J45" i="10"/>
  <c r="K45" i="10"/>
  <c r="L45" i="10"/>
  <c r="M45" i="10"/>
  <c r="N45" i="10"/>
  <c r="P45" i="10"/>
  <c r="Q45" i="10"/>
  <c r="R45" i="10"/>
  <c r="O55" i="10"/>
  <c r="O58" i="10" s="1"/>
  <c r="O60" i="10" s="1"/>
  <c r="O62" i="10" s="1"/>
  <c r="Q55" i="10"/>
  <c r="Q58" i="10" s="1"/>
  <c r="Q60" i="10" s="1"/>
  <c r="Q62" i="10" s="1"/>
  <c r="R55" i="10"/>
  <c r="R58" i="10" s="1"/>
  <c r="R60" i="10" s="1"/>
  <c r="R62" i="10" s="1"/>
  <c r="P55" i="10"/>
  <c r="P58" i="10" s="1"/>
  <c r="P60" i="10" s="1"/>
  <c r="P62" i="10" s="1"/>
  <c r="G123" i="10"/>
  <c r="H123" i="10"/>
  <c r="M124" i="10"/>
  <c r="N124" i="10"/>
  <c r="O124" i="10"/>
  <c r="P124" i="10"/>
  <c r="Q124" i="10"/>
  <c r="R124" i="10"/>
  <c r="M128" i="10"/>
  <c r="N128" i="10"/>
  <c r="O128" i="10"/>
  <c r="P128" i="10"/>
  <c r="Q128" i="10"/>
  <c r="R128" i="10"/>
  <c r="G24" i="95"/>
  <c r="M28" i="39"/>
  <c r="M36" i="39" s="1"/>
  <c r="I35" i="41"/>
  <c r="J35" i="41"/>
  <c r="A14" i="35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44" i="35" s="1"/>
  <c r="A45" i="35" s="1"/>
  <c r="A46" i="35" s="1"/>
  <c r="A47" i="35" s="1"/>
  <c r="A48" i="35" s="1"/>
  <c r="A49" i="35" s="1"/>
  <c r="A50" i="35" s="1"/>
  <c r="J49" i="35"/>
  <c r="J50" i="35"/>
  <c r="F16" i="104"/>
  <c r="F18" i="104"/>
  <c r="J18" i="104"/>
  <c r="D20" i="104"/>
  <c r="A17" i="107"/>
  <c r="A18" i="107" s="1"/>
  <c r="A19" i="107" s="1"/>
  <c r="A20" i="107" s="1"/>
  <c r="A21" i="107" s="1"/>
  <c r="A22" i="107" s="1"/>
  <c r="A28" i="107"/>
  <c r="A29" i="107" s="1"/>
  <c r="A30" i="107" s="1"/>
  <c r="A31" i="107" s="1"/>
  <c r="A32" i="107" s="1"/>
  <c r="A33" i="107" s="1"/>
  <c r="A34" i="107" s="1"/>
  <c r="D8" i="48"/>
  <c r="D8" i="49"/>
  <c r="D9" i="50"/>
  <c r="D35" i="50"/>
  <c r="D36" i="50"/>
  <c r="H21" i="51"/>
  <c r="J21" i="51"/>
  <c r="L21" i="51"/>
  <c r="N21" i="51"/>
  <c r="F29" i="51"/>
  <c r="J29" i="51"/>
  <c r="L29" i="51"/>
  <c r="N29" i="51"/>
  <c r="F36" i="51"/>
  <c r="H36" i="51"/>
  <c r="L36" i="51"/>
  <c r="N36" i="51"/>
  <c r="A138" i="51"/>
  <c r="A139" i="51" s="1"/>
  <c r="A140" i="51" s="1"/>
  <c r="A141" i="51" s="1"/>
  <c r="A142" i="51" s="1"/>
  <c r="A144" i="51" s="1"/>
  <c r="A146" i="51" s="1"/>
  <c r="A148" i="51" s="1"/>
  <c r="A155" i="51" s="1"/>
  <c r="A156" i="51" s="1"/>
  <c r="A157" i="51" s="1"/>
  <c r="A158" i="51" s="1"/>
  <c r="A159" i="51" s="1"/>
  <c r="A160" i="51" s="1"/>
  <c r="A161" i="51" s="1"/>
  <c r="A162" i="51" s="1"/>
  <c r="A163" i="51" s="1"/>
  <c r="A164" i="51" s="1"/>
  <c r="A165" i="51" s="1"/>
  <c r="A166" i="51" s="1"/>
  <c r="A167" i="51" s="1"/>
  <c r="A168" i="51" s="1"/>
  <c r="A169" i="51" s="1"/>
  <c r="A170" i="51" s="1"/>
  <c r="A171" i="51" s="1"/>
  <c r="A172" i="51" s="1"/>
  <c r="P156" i="51"/>
  <c r="P157" i="51"/>
  <c r="P12" i="193"/>
  <c r="P14" i="190"/>
  <c r="H31" i="46"/>
  <c r="H33" i="46" s="1"/>
  <c r="A16" i="69"/>
  <c r="A18" i="69" s="1"/>
  <c r="A20" i="69" s="1"/>
  <c r="A22" i="69" s="1"/>
  <c r="A24" i="69" s="1"/>
  <c r="A26" i="69" s="1"/>
  <c r="A28" i="69" s="1"/>
  <c r="A30" i="69" s="1"/>
  <c r="A32" i="69" s="1"/>
  <c r="B16" i="69"/>
  <c r="B18" i="69"/>
  <c r="B20" i="69"/>
  <c r="B22" i="69"/>
  <c r="B24" i="69"/>
  <c r="B26" i="69"/>
  <c r="B28" i="69"/>
  <c r="B30" i="69"/>
  <c r="A16" i="24"/>
  <c r="A18" i="24" s="1"/>
  <c r="A20" i="24" s="1"/>
  <c r="A22" i="24" s="1"/>
  <c r="A24" i="24" s="1"/>
  <c r="A26" i="24" s="1"/>
  <c r="A28" i="24" s="1"/>
  <c r="A30" i="24" s="1"/>
  <c r="A32" i="24" s="1"/>
  <c r="B16" i="24"/>
  <c r="B18" i="24"/>
  <c r="B20" i="24"/>
  <c r="B22" i="24"/>
  <c r="B24" i="24"/>
  <c r="B26" i="24"/>
  <c r="B28" i="24"/>
  <c r="B30" i="24"/>
  <c r="A16" i="137"/>
  <c r="A17" i="137" s="1"/>
  <c r="A19" i="137" s="1"/>
  <c r="A21" i="137" s="1"/>
  <c r="A22" i="137" s="1"/>
  <c r="A23" i="137" s="1"/>
  <c r="A16" i="3"/>
  <c r="A17" i="3" s="1"/>
  <c r="A19" i="3" s="1"/>
  <c r="A21" i="3" s="1"/>
  <c r="A22" i="3" s="1"/>
  <c r="A23" i="3" s="1"/>
  <c r="A24" i="3" s="1"/>
  <c r="A25" i="3" s="1"/>
  <c r="A27" i="3" s="1"/>
  <c r="L50" i="35"/>
  <c r="N50" i="35"/>
  <c r="I21" i="100"/>
  <c r="I22" i="243"/>
  <c r="I25" i="215"/>
  <c r="E34" i="231"/>
  <c r="E24" i="231"/>
  <c r="J30" i="231"/>
  <c r="M186" i="236"/>
  <c r="M174" i="207"/>
  <c r="M172" i="207"/>
  <c r="H158" i="207"/>
  <c r="M158" i="207" s="1"/>
  <c r="H170" i="209"/>
  <c r="H140" i="209"/>
  <c r="M140" i="209" s="1"/>
  <c r="M226" i="209"/>
  <c r="M214" i="209"/>
  <c r="G133" i="237"/>
  <c r="G137" i="237"/>
  <c r="G141" i="237"/>
  <c r="G145" i="237"/>
  <c r="G149" i="237"/>
  <c r="G156" i="237"/>
  <c r="G158" i="237"/>
  <c r="G160" i="237"/>
  <c r="G161" i="237"/>
  <c r="G172" i="237"/>
  <c r="G174" i="237"/>
  <c r="G126" i="237"/>
  <c r="G134" i="237"/>
  <c r="G138" i="237"/>
  <c r="G142" i="237"/>
  <c r="G146" i="237"/>
  <c r="G150" i="237"/>
  <c r="G159" i="237"/>
  <c r="G162" i="237"/>
  <c r="G169" i="237"/>
  <c r="G173" i="237"/>
  <c r="G175" i="237"/>
  <c r="G131" i="237"/>
  <c r="G135" i="237"/>
  <c r="G139" i="237"/>
  <c r="G143" i="237"/>
  <c r="G147" i="237"/>
  <c r="G151" i="237"/>
  <c r="G170" i="237"/>
  <c r="G176" i="237"/>
  <c r="G132" i="237"/>
  <c r="G136" i="237"/>
  <c r="G140" i="237"/>
  <c r="G144" i="237"/>
  <c r="G148" i="237"/>
  <c r="G157" i="237"/>
  <c r="G171" i="237"/>
  <c r="C51" i="238"/>
  <c r="H51" i="238" s="1"/>
  <c r="G213" i="237"/>
  <c r="G211" i="237"/>
  <c r="G218" i="237"/>
  <c r="G214" i="237"/>
  <c r="G212" i="237"/>
  <c r="G210" i="237"/>
  <c r="D153" i="237"/>
  <c r="I51" i="100"/>
  <c r="A7" i="207" l="1"/>
  <c r="H56" i="248"/>
  <c r="H60" i="248"/>
  <c r="I60" i="248" s="1"/>
  <c r="E37" i="238"/>
  <c r="N17" i="35"/>
  <c r="L17" i="35"/>
  <c r="E31" i="106"/>
  <c r="D80" i="106"/>
  <c r="A7" i="67"/>
  <c r="A7" i="213"/>
  <c r="E50" i="100"/>
  <c r="A8" i="69"/>
  <c r="A1" i="30"/>
  <c r="A1" i="231"/>
  <c r="I19" i="100"/>
  <c r="I49" i="100" s="1"/>
  <c r="A1" i="232"/>
  <c r="I31" i="215"/>
  <c r="A1" i="215"/>
  <c r="A8" i="215"/>
  <c r="A2" i="231"/>
  <c r="A1" i="230"/>
  <c r="A1" i="233"/>
  <c r="H191" i="207"/>
  <c r="M190" i="207"/>
  <c r="A4" i="241"/>
  <c r="A4" i="230"/>
  <c r="L190" i="207"/>
  <c r="L165" i="236"/>
  <c r="L164" i="236"/>
  <c r="A2" i="232"/>
  <c r="A2" i="230"/>
  <c r="A2" i="233"/>
  <c r="G21" i="84"/>
  <c r="D68" i="232"/>
  <c r="D70" i="232" s="1"/>
  <c r="E17" i="103"/>
  <c r="J24" i="30"/>
  <c r="P43" i="231"/>
  <c r="A24" i="137"/>
  <c r="A25" i="137" s="1"/>
  <c r="A27" i="137" s="1"/>
  <c r="T25" i="202"/>
  <c r="K25" i="4"/>
  <c r="A7" i="31"/>
  <c r="A8" i="24"/>
  <c r="A8" i="30"/>
  <c r="H20" i="104"/>
  <c r="M21" i="46" s="1"/>
  <c r="F20" i="104"/>
  <c r="Q30" i="231"/>
  <c r="N140" i="209"/>
  <c r="M170" i="209"/>
  <c r="F42" i="232"/>
  <c r="P38" i="232"/>
  <c r="J24" i="231"/>
  <c r="P24" i="231"/>
  <c r="M156" i="236"/>
  <c r="J30" i="232"/>
  <c r="Q30" i="232" s="1"/>
  <c r="P30" i="232"/>
  <c r="J34" i="231"/>
  <c r="J22" i="232"/>
  <c r="P22" i="232"/>
  <c r="A7" i="230"/>
  <c r="A7" i="209"/>
  <c r="H19" i="103"/>
  <c r="I19" i="103" s="1"/>
  <c r="L174" i="207"/>
  <c r="L157" i="207"/>
  <c r="L125" i="207"/>
  <c r="L172" i="213"/>
  <c r="L155" i="213"/>
  <c r="F31" i="30"/>
  <c r="L173" i="207"/>
  <c r="L156" i="207"/>
  <c r="L124" i="207"/>
  <c r="L175" i="213"/>
  <c r="L171" i="213"/>
  <c r="L158" i="213"/>
  <c r="F24" i="30"/>
  <c r="C28" i="215"/>
  <c r="L172" i="207"/>
  <c r="L155" i="207"/>
  <c r="L174" i="213"/>
  <c r="L157" i="213"/>
  <c r="L125" i="213"/>
  <c r="I16" i="239"/>
  <c r="L175" i="207"/>
  <c r="L158" i="207"/>
  <c r="L173" i="213"/>
  <c r="L156" i="213"/>
  <c r="L124" i="213"/>
  <c r="G191" i="207"/>
  <c r="A7" i="236"/>
  <c r="A7" i="233"/>
  <c r="A6" i="190"/>
  <c r="D26" i="30"/>
  <c r="J38" i="238"/>
  <c r="N49" i="35"/>
  <c r="L49" i="35"/>
  <c r="A7" i="242"/>
  <c r="H50" i="202"/>
  <c r="N66" i="238"/>
  <c r="J33" i="30"/>
  <c r="F19" i="215"/>
  <c r="E66" i="238"/>
  <c r="D26" i="215"/>
  <c r="E23" i="37"/>
  <c r="E25" i="37" s="1"/>
  <c r="E27" i="37" s="1"/>
  <c r="K22" i="231"/>
  <c r="Q22" i="231" s="1"/>
  <c r="F26" i="231"/>
  <c r="K26" i="231" s="1"/>
  <c r="D33" i="30"/>
  <c r="F33" i="30" s="1"/>
  <c r="J37" i="238"/>
  <c r="L22" i="243"/>
  <c r="D33" i="215"/>
  <c r="G22" i="244"/>
  <c r="L255" i="213"/>
  <c r="D51" i="238"/>
  <c r="D161" i="51"/>
  <c r="L38" i="238"/>
  <c r="K38" i="232"/>
  <c r="Q38" i="232" s="1"/>
  <c r="E26" i="30"/>
  <c r="G22" i="243"/>
  <c r="F19" i="30"/>
  <c r="E32" i="215"/>
  <c r="F32" i="215" s="1"/>
  <c r="F32" i="231"/>
  <c r="K32" i="231" s="1"/>
  <c r="J27" i="30"/>
  <c r="N51" i="238"/>
  <c r="K51" i="238"/>
  <c r="F51" i="238"/>
  <c r="J20" i="104"/>
  <c r="G51" i="238"/>
  <c r="M51" i="238"/>
  <c r="I51" i="238"/>
  <c r="J51" i="238"/>
  <c r="E51" i="238"/>
  <c r="L51" i="238"/>
  <c r="H28" i="102"/>
  <c r="N33" i="10"/>
  <c r="M33" i="10"/>
  <c r="L33" i="10"/>
  <c r="K33" i="10"/>
  <c r="J33" i="10"/>
  <c r="P33" i="10"/>
  <c r="O33" i="10"/>
  <c r="R33" i="10"/>
  <c r="Q33" i="10"/>
  <c r="Q36" i="39"/>
  <c r="H30" i="41"/>
  <c r="H34" i="39"/>
  <c r="J34" i="39"/>
  <c r="I24" i="30"/>
  <c r="I32" i="30"/>
  <c r="H20" i="239"/>
  <c r="D43" i="226"/>
  <c r="E43" i="226" s="1"/>
  <c r="F43" i="226" s="1"/>
  <c r="G43" i="226" s="1"/>
  <c r="H43" i="226" s="1"/>
  <c r="I43" i="226" s="1"/>
  <c r="J43" i="226" s="1"/>
  <c r="K43" i="226" s="1"/>
  <c r="L43" i="226" s="1"/>
  <c r="M43" i="226" s="1"/>
  <c r="N43" i="226" s="1"/>
  <c r="O43" i="226" s="1"/>
  <c r="J24" i="247"/>
  <c r="H30" i="103"/>
  <c r="I26" i="105"/>
  <c r="I32" i="100"/>
  <c r="F93" i="248"/>
  <c r="J21" i="247"/>
  <c r="I21" i="105"/>
  <c r="D62" i="228"/>
  <c r="E62" i="228" s="1"/>
  <c r="F62" i="228" s="1"/>
  <c r="G62" i="228" s="1"/>
  <c r="H62" i="228" s="1"/>
  <c r="I62" i="228" s="1"/>
  <c r="J62" i="228" s="1"/>
  <c r="K62" i="228" s="1"/>
  <c r="L62" i="228" s="1"/>
  <c r="M62" i="228" s="1"/>
  <c r="N62" i="228" s="1"/>
  <c r="O62" i="228" s="1"/>
  <c r="H22" i="102"/>
  <c r="I25" i="100"/>
  <c r="H18" i="239"/>
  <c r="H23" i="103"/>
  <c r="I23" i="103" s="1"/>
  <c r="I31" i="105"/>
  <c r="J27" i="247"/>
  <c r="I39" i="100"/>
  <c r="D33" i="227"/>
  <c r="H22" i="239"/>
  <c r="H32" i="102"/>
  <c r="H33" i="102" s="1"/>
  <c r="N31" i="51"/>
  <c r="N38" i="51" s="1"/>
  <c r="L31" i="51"/>
  <c r="L38" i="51" s="1"/>
  <c r="J31" i="51"/>
  <c r="L50" i="238"/>
  <c r="J36" i="39"/>
  <c r="H36" i="39"/>
  <c r="J18" i="34"/>
  <c r="J20" i="34" s="1"/>
  <c r="H22" i="39"/>
  <c r="C20" i="103"/>
  <c r="O30" i="41"/>
  <c r="C21" i="215"/>
  <c r="P30" i="216"/>
  <c r="P25" i="216"/>
  <c r="H19" i="215" s="1"/>
  <c r="K19" i="215" s="1"/>
  <c r="P20" i="216"/>
  <c r="H18" i="215" s="1"/>
  <c r="K18" i="215" s="1"/>
  <c r="P15" i="216"/>
  <c r="H17" i="215" s="1"/>
  <c r="P30" i="214"/>
  <c r="H20" i="30" s="1"/>
  <c r="P25" i="214"/>
  <c r="H19" i="30" s="1"/>
  <c r="K19" i="30" s="1"/>
  <c r="C21" i="30"/>
  <c r="P15" i="214"/>
  <c r="H17" i="30" s="1"/>
  <c r="K17" i="30" s="1"/>
  <c r="P20" i="214"/>
  <c r="H18" i="30" s="1"/>
  <c r="K18" i="30" s="1"/>
  <c r="O25" i="39"/>
  <c r="O33" i="39" s="1"/>
  <c r="J30" i="39"/>
  <c r="H30" i="34"/>
  <c r="J35" i="39"/>
  <c r="I22" i="39"/>
  <c r="I22" i="41"/>
  <c r="I30" i="41"/>
  <c r="J22" i="41"/>
  <c r="J30" i="41"/>
  <c r="H30" i="39"/>
  <c r="I30" i="39"/>
  <c r="N55" i="10"/>
  <c r="D29" i="42"/>
  <c r="M55" i="10" s="1"/>
  <c r="M58" i="10" s="1"/>
  <c r="M60" i="10" s="1"/>
  <c r="I18" i="103"/>
  <c r="I20" i="103" s="1"/>
  <c r="P34" i="216"/>
  <c r="Q30" i="41"/>
  <c r="M22" i="39"/>
  <c r="R22" i="39"/>
  <c r="Q22" i="39"/>
  <c r="P26" i="44"/>
  <c r="D27" i="45" s="1"/>
  <c r="R30" i="41"/>
  <c r="M30" i="41"/>
  <c r="Q26" i="39"/>
  <c r="Q34" i="39" s="1"/>
  <c r="O22" i="39"/>
  <c r="P34" i="214"/>
  <c r="Q34" i="41"/>
  <c r="Q33" i="41"/>
  <c r="D170" i="51"/>
  <c r="K25" i="215"/>
  <c r="F31" i="215"/>
  <c r="A1" i="241"/>
  <c r="A1" i="243"/>
  <c r="A1" i="242"/>
  <c r="J50" i="238"/>
  <c r="H50" i="238"/>
  <c r="N50" i="238"/>
  <c r="E26" i="232"/>
  <c r="I33" i="41"/>
  <c r="I35" i="39"/>
  <c r="I33" i="39"/>
  <c r="J22" i="39"/>
  <c r="D23" i="37"/>
  <c r="D25" i="37" s="1"/>
  <c r="D27" i="37" s="1"/>
  <c r="D29" i="37" s="1"/>
  <c r="D31" i="37" s="1"/>
  <c r="D34" i="37" s="1"/>
  <c r="E28" i="1" s="1"/>
  <c r="H22" i="41"/>
  <c r="H33" i="39"/>
  <c r="G24" i="239"/>
  <c r="I36" i="39"/>
  <c r="J33" i="41"/>
  <c r="D22" i="42"/>
  <c r="C24" i="239"/>
  <c r="L187" i="207"/>
  <c r="G251" i="236"/>
  <c r="L251" i="236" s="1"/>
  <c r="A7" i="226"/>
  <c r="A7" i="222"/>
  <c r="A6" i="193"/>
  <c r="I37" i="238"/>
  <c r="I38" i="238"/>
  <c r="F24" i="215"/>
  <c r="D38" i="238"/>
  <c r="M37" i="238"/>
  <c r="E38" i="238"/>
  <c r="M38" i="238"/>
  <c r="E25" i="215"/>
  <c r="F25" i="215" s="1"/>
  <c r="N38" i="238"/>
  <c r="F37" i="238"/>
  <c r="N37" i="238"/>
  <c r="F20" i="215"/>
  <c r="F18" i="215"/>
  <c r="G16" i="244"/>
  <c r="A8" i="190"/>
  <c r="A8" i="193"/>
  <c r="A7" i="190"/>
  <c r="A7" i="193"/>
  <c r="A7" i="227"/>
  <c r="D15" i="222"/>
  <c r="E15" i="222" s="1"/>
  <c r="A7" i="228"/>
  <c r="I26" i="8"/>
  <c r="I18" i="8"/>
  <c r="I42" i="190"/>
  <c r="E30" i="193"/>
  <c r="O18" i="35"/>
  <c r="J66" i="238"/>
  <c r="L66" i="238"/>
  <c r="M66" i="238"/>
  <c r="J33" i="215"/>
  <c r="H148" i="209"/>
  <c r="M148" i="209" s="1"/>
  <c r="N148" i="209" s="1"/>
  <c r="D24" i="103"/>
  <c r="D26" i="103"/>
  <c r="E25" i="30"/>
  <c r="F25" i="30" s="1"/>
  <c r="K66" i="238"/>
  <c r="I140" i="209"/>
  <c r="H66" i="238"/>
  <c r="I66" i="238"/>
  <c r="H137" i="209"/>
  <c r="M137" i="209" s="1"/>
  <c r="N137" i="209" s="1"/>
  <c r="H153" i="209"/>
  <c r="M153" i="209" s="1"/>
  <c r="N153" i="209" s="1"/>
  <c r="E23" i="103"/>
  <c r="D25" i="103"/>
  <c r="G16" i="243"/>
  <c r="G260" i="236"/>
  <c r="G253" i="236"/>
  <c r="L253" i="236" s="1"/>
  <c r="L231" i="236"/>
  <c r="D66" i="238"/>
  <c r="H145" i="209"/>
  <c r="M145" i="209" s="1"/>
  <c r="N145" i="209" s="1"/>
  <c r="F40" i="232"/>
  <c r="E26" i="215"/>
  <c r="E32" i="30"/>
  <c r="F32" i="30" s="1"/>
  <c r="E33" i="215"/>
  <c r="G250" i="236"/>
  <c r="L250" i="236" s="1"/>
  <c r="G66" i="238"/>
  <c r="P50" i="202"/>
  <c r="G26" i="95"/>
  <c r="G43" i="10" s="1"/>
  <c r="H26" i="34"/>
  <c r="G42" i="190"/>
  <c r="E42" i="190"/>
  <c r="P13" i="193"/>
  <c r="F30" i="193"/>
  <c r="G30" i="193"/>
  <c r="H30" i="193"/>
  <c r="D24" i="244"/>
  <c r="C34" i="103"/>
  <c r="F45" i="233"/>
  <c r="D18" i="105"/>
  <c r="F203" i="237"/>
  <c r="F207" i="237"/>
  <c r="F205" i="237"/>
  <c r="F209" i="237"/>
  <c r="F208" i="237"/>
  <c r="G208" i="237"/>
  <c r="G203" i="237"/>
  <c r="G207" i="237"/>
  <c r="G205" i="237"/>
  <c r="G209" i="237"/>
  <c r="F155" i="209"/>
  <c r="M213" i="209"/>
  <c r="H190" i="209"/>
  <c r="M190" i="209" s="1"/>
  <c r="E120" i="209"/>
  <c r="E183" i="209"/>
  <c r="H193" i="209"/>
  <c r="M193" i="209" s="1"/>
  <c r="I24" i="243"/>
  <c r="L13" i="243"/>
  <c r="G29" i="42"/>
  <c r="D13" i="243"/>
  <c r="G13" i="243" s="1"/>
  <c r="M18" i="35"/>
  <c r="I19" i="8"/>
  <c r="D41" i="231"/>
  <c r="I26" i="99"/>
  <c r="I16" i="99"/>
  <c r="C27" i="103"/>
  <c r="G13" i="244"/>
  <c r="I25" i="8"/>
  <c r="H144" i="236"/>
  <c r="M144" i="236" s="1"/>
  <c r="N144" i="236" s="1"/>
  <c r="H168" i="236"/>
  <c r="M231" i="236"/>
  <c r="G233" i="236"/>
  <c r="H136" i="236"/>
  <c r="M136" i="236" s="1"/>
  <c r="N136" i="236" s="1"/>
  <c r="H148" i="236"/>
  <c r="M148" i="236" s="1"/>
  <c r="N148" i="236" s="1"/>
  <c r="H132" i="236"/>
  <c r="M132" i="236" s="1"/>
  <c r="N132" i="236" s="1"/>
  <c r="H140" i="236"/>
  <c r="M140" i="236" s="1"/>
  <c r="N140" i="236" s="1"/>
  <c r="H157" i="236"/>
  <c r="H150" i="236"/>
  <c r="M150" i="236" s="1"/>
  <c r="N150" i="236" s="1"/>
  <c r="H146" i="236"/>
  <c r="M146" i="236" s="1"/>
  <c r="N146" i="236" s="1"/>
  <c r="H142" i="236"/>
  <c r="M142" i="236" s="1"/>
  <c r="N142" i="236" s="1"/>
  <c r="H138" i="236"/>
  <c r="M138" i="236" s="1"/>
  <c r="N138" i="236" s="1"/>
  <c r="H134" i="236"/>
  <c r="M134" i="236" s="1"/>
  <c r="N134" i="236" s="1"/>
  <c r="M125" i="236"/>
  <c r="H173" i="236"/>
  <c r="H175" i="236"/>
  <c r="H149" i="236"/>
  <c r="M149" i="236" s="1"/>
  <c r="N149" i="236" s="1"/>
  <c r="H145" i="236"/>
  <c r="M145" i="236" s="1"/>
  <c r="N145" i="236" s="1"/>
  <c r="H141" i="236"/>
  <c r="M141" i="236" s="1"/>
  <c r="N141" i="236" s="1"/>
  <c r="H137" i="236"/>
  <c r="M137" i="236" s="1"/>
  <c r="N137" i="236" s="1"/>
  <c r="H133" i="236"/>
  <c r="M133" i="236" s="1"/>
  <c r="N133" i="236" s="1"/>
  <c r="H167" i="236"/>
  <c r="H176" i="236"/>
  <c r="H151" i="236"/>
  <c r="M151" i="236" s="1"/>
  <c r="N151" i="236" s="1"/>
  <c r="H147" i="236"/>
  <c r="M147" i="236" s="1"/>
  <c r="N147" i="236" s="1"/>
  <c r="H143" i="236"/>
  <c r="M143" i="236" s="1"/>
  <c r="N143" i="236" s="1"/>
  <c r="H139" i="236"/>
  <c r="M139" i="236" s="1"/>
  <c r="N139" i="236" s="1"/>
  <c r="H135" i="236"/>
  <c r="M135" i="236" s="1"/>
  <c r="N135" i="236" s="1"/>
  <c r="H131" i="236"/>
  <c r="M131" i="236" s="1"/>
  <c r="N131" i="236" s="1"/>
  <c r="H171" i="236"/>
  <c r="H164" i="236"/>
  <c r="M164" i="236" s="1"/>
  <c r="H169" i="236"/>
  <c r="H174" i="236"/>
  <c r="E181" i="236"/>
  <c r="E120" i="236"/>
  <c r="H142" i="213"/>
  <c r="M142" i="213" s="1"/>
  <c r="N142" i="213" s="1"/>
  <c r="M124" i="213"/>
  <c r="H175" i="213"/>
  <c r="M175" i="213" s="1"/>
  <c r="H150" i="213"/>
  <c r="M150" i="213" s="1"/>
  <c r="N150" i="213" s="1"/>
  <c r="H145" i="213"/>
  <c r="M145" i="213" s="1"/>
  <c r="N145" i="213" s="1"/>
  <c r="H134" i="213"/>
  <c r="M134" i="213" s="1"/>
  <c r="N134" i="213" s="1"/>
  <c r="H172" i="213"/>
  <c r="M172" i="213" s="1"/>
  <c r="H146" i="213"/>
  <c r="M146" i="213" s="1"/>
  <c r="N146" i="213" s="1"/>
  <c r="H138" i="213"/>
  <c r="M138" i="213" s="1"/>
  <c r="N138" i="213" s="1"/>
  <c r="H130" i="213"/>
  <c r="M130" i="213" s="1"/>
  <c r="N130" i="213" s="1"/>
  <c r="H137" i="213"/>
  <c r="M137" i="213" s="1"/>
  <c r="N137" i="213" s="1"/>
  <c r="H171" i="213"/>
  <c r="M171" i="213" s="1"/>
  <c r="H155" i="213"/>
  <c r="M155" i="213" s="1"/>
  <c r="H144" i="213"/>
  <c r="M144" i="213" s="1"/>
  <c r="N144" i="213" s="1"/>
  <c r="H135" i="213"/>
  <c r="M135" i="213" s="1"/>
  <c r="N135" i="213" s="1"/>
  <c r="H141" i="213"/>
  <c r="M141" i="213" s="1"/>
  <c r="N141" i="213" s="1"/>
  <c r="H158" i="213"/>
  <c r="M158" i="213" s="1"/>
  <c r="H173" i="213"/>
  <c r="M173" i="213" s="1"/>
  <c r="H157" i="213"/>
  <c r="M157" i="213" s="1"/>
  <c r="H148" i="213"/>
  <c r="M148" i="213" s="1"/>
  <c r="N148" i="213" s="1"/>
  <c r="H140" i="213"/>
  <c r="M140" i="213" s="1"/>
  <c r="N140" i="213" s="1"/>
  <c r="H132" i="213"/>
  <c r="M132" i="213" s="1"/>
  <c r="N132" i="213" s="1"/>
  <c r="H133" i="213"/>
  <c r="M133" i="213" s="1"/>
  <c r="N133" i="213" s="1"/>
  <c r="H149" i="213"/>
  <c r="M149" i="213" s="1"/>
  <c r="N149" i="213" s="1"/>
  <c r="H174" i="213"/>
  <c r="M174" i="213" s="1"/>
  <c r="L246" i="213"/>
  <c r="G264" i="213"/>
  <c r="L257" i="213"/>
  <c r="L233" i="213"/>
  <c r="G227" i="213"/>
  <c r="L256" i="213"/>
  <c r="E179" i="213"/>
  <c r="L258" i="213"/>
  <c r="L236" i="213"/>
  <c r="L212" i="209"/>
  <c r="L226" i="209"/>
  <c r="I20" i="30"/>
  <c r="I34" i="30" s="1"/>
  <c r="D34" i="30"/>
  <c r="D27" i="30"/>
  <c r="I20" i="215"/>
  <c r="I27" i="215" s="1"/>
  <c r="D27" i="215"/>
  <c r="D34" i="215"/>
  <c r="M257" i="213"/>
  <c r="H264" i="213"/>
  <c r="M264" i="213" s="1"/>
  <c r="F152" i="213"/>
  <c r="L194" i="207"/>
  <c r="F20" i="30"/>
  <c r="H176" i="209"/>
  <c r="H143" i="209"/>
  <c r="H262" i="209"/>
  <c r="M262" i="209" s="1"/>
  <c r="H209" i="213"/>
  <c r="M209" i="213" s="1"/>
  <c r="H237" i="213"/>
  <c r="M237" i="213" s="1"/>
  <c r="H253" i="213"/>
  <c r="M253" i="213" s="1"/>
  <c r="L232" i="213"/>
  <c r="G253" i="213"/>
  <c r="G254" i="213"/>
  <c r="H212" i="213"/>
  <c r="M212" i="213" s="1"/>
  <c r="G252" i="213"/>
  <c r="H207" i="213"/>
  <c r="M207" i="213" s="1"/>
  <c r="G251" i="213"/>
  <c r="H213" i="213"/>
  <c r="M213" i="213" s="1"/>
  <c r="H206" i="213"/>
  <c r="M206" i="213" s="1"/>
  <c r="G250" i="213"/>
  <c r="G249" i="213"/>
  <c r="G247" i="213"/>
  <c r="E117" i="213"/>
  <c r="H208" i="213"/>
  <c r="M208" i="213" s="1"/>
  <c r="H197" i="213"/>
  <c r="M197" i="213" s="1"/>
  <c r="G245" i="213"/>
  <c r="G235" i="213"/>
  <c r="H205" i="213"/>
  <c r="M205" i="213" s="1"/>
  <c r="M257" i="207"/>
  <c r="M258" i="207"/>
  <c r="M175" i="207"/>
  <c r="N136" i="207"/>
  <c r="H156" i="207"/>
  <c r="M156" i="207" s="1"/>
  <c r="I136" i="207"/>
  <c r="H155" i="207"/>
  <c r="M155" i="207" s="1"/>
  <c r="H157" i="207"/>
  <c r="M157" i="207" s="1"/>
  <c r="M173" i="207"/>
  <c r="M233" i="207"/>
  <c r="M236" i="207"/>
  <c r="L233" i="207"/>
  <c r="E117" i="207"/>
  <c r="H181" i="207"/>
  <c r="M181" i="207" s="1"/>
  <c r="H150" i="207"/>
  <c r="M150" i="207" s="1"/>
  <c r="N150" i="207" s="1"/>
  <c r="H149" i="207"/>
  <c r="M149" i="207" s="1"/>
  <c r="N149" i="207" s="1"/>
  <c r="E179" i="207"/>
  <c r="E266" i="207" s="1"/>
  <c r="H147" i="207"/>
  <c r="M147" i="207" s="1"/>
  <c r="N147" i="207" s="1"/>
  <c r="H133" i="207"/>
  <c r="M133" i="207" s="1"/>
  <c r="N133" i="207" s="1"/>
  <c r="G255" i="207"/>
  <c r="L188" i="207"/>
  <c r="G253" i="207"/>
  <c r="G249" i="207"/>
  <c r="G264" i="207"/>
  <c r="G252" i="207"/>
  <c r="L246" i="207"/>
  <c r="L256" i="207"/>
  <c r="G251" i="207"/>
  <c r="G245" i="207"/>
  <c r="F41" i="231"/>
  <c r="P41" i="231" s="1"/>
  <c r="H254" i="236"/>
  <c r="M254" i="236" s="1"/>
  <c r="H146" i="207"/>
  <c r="M146" i="207" s="1"/>
  <c r="N146" i="207" s="1"/>
  <c r="G247" i="207"/>
  <c r="L233" i="209"/>
  <c r="G207" i="213"/>
  <c r="D50" i="238"/>
  <c r="H251" i="236"/>
  <c r="M251" i="236" s="1"/>
  <c r="H233" i="236"/>
  <c r="M233" i="236" s="1"/>
  <c r="H139" i="207"/>
  <c r="M139" i="207" s="1"/>
  <c r="N139" i="207" s="1"/>
  <c r="J32" i="30"/>
  <c r="J25" i="30"/>
  <c r="K25" i="30" s="1"/>
  <c r="M186" i="207"/>
  <c r="G237" i="207"/>
  <c r="F26" i="232"/>
  <c r="K26" i="232" s="1"/>
  <c r="E32" i="232"/>
  <c r="H179" i="209"/>
  <c r="H178" i="209"/>
  <c r="H172" i="209"/>
  <c r="H146" i="209"/>
  <c r="H133" i="209"/>
  <c r="M133" i="209" s="1"/>
  <c r="L213" i="209"/>
  <c r="G262" i="209"/>
  <c r="L262" i="209" s="1"/>
  <c r="H210" i="213"/>
  <c r="M210" i="213" s="1"/>
  <c r="H200" i="213"/>
  <c r="M200" i="213" s="1"/>
  <c r="G237" i="213"/>
  <c r="D23" i="102"/>
  <c r="H177" i="236"/>
  <c r="H151" i="209"/>
  <c r="H141" i="209"/>
  <c r="M215" i="209"/>
  <c r="F34" i="231"/>
  <c r="P34" i="231" s="1"/>
  <c r="H126" i="236"/>
  <c r="M126" i="236" s="1"/>
  <c r="G252" i="236"/>
  <c r="L252" i="236" s="1"/>
  <c r="G249" i="236"/>
  <c r="L249" i="236" s="1"/>
  <c r="G234" i="236"/>
  <c r="L232" i="236"/>
  <c r="M264" i="207"/>
  <c r="H130" i="207"/>
  <c r="M130" i="207" s="1"/>
  <c r="N130" i="207" s="1"/>
  <c r="H254" i="207"/>
  <c r="M254" i="207" s="1"/>
  <c r="H251" i="207"/>
  <c r="M251" i="207" s="1"/>
  <c r="H174" i="209"/>
  <c r="H160" i="209"/>
  <c r="H149" i="209"/>
  <c r="H138" i="209"/>
  <c r="M138" i="209" s="1"/>
  <c r="L214" i="209"/>
  <c r="H227" i="213"/>
  <c r="H211" i="213"/>
  <c r="M211" i="213" s="1"/>
  <c r="H255" i="213"/>
  <c r="G190" i="209"/>
  <c r="L190" i="209" s="1"/>
  <c r="K39" i="231"/>
  <c r="Q39" i="231" s="1"/>
  <c r="H198" i="213"/>
  <c r="M198" i="213" s="1"/>
  <c r="H193" i="213"/>
  <c r="M193" i="213" s="1"/>
  <c r="H191" i="213"/>
  <c r="M191" i="213" s="1"/>
  <c r="H234" i="213"/>
  <c r="M234" i="213" s="1"/>
  <c r="H141" i="207"/>
  <c r="M141" i="207" s="1"/>
  <c r="N141" i="207" s="1"/>
  <c r="H188" i="213"/>
  <c r="M188" i="213" s="1"/>
  <c r="H138" i="207"/>
  <c r="M138" i="207" s="1"/>
  <c r="N138" i="207" s="1"/>
  <c r="F44" i="232"/>
  <c r="P44" i="232" s="1"/>
  <c r="H177" i="209"/>
  <c r="H175" i="209"/>
  <c r="H173" i="209"/>
  <c r="H171" i="209"/>
  <c r="H169" i="209"/>
  <c r="H162" i="209"/>
  <c r="H161" i="209"/>
  <c r="H159" i="209"/>
  <c r="H158" i="209"/>
  <c r="H152" i="209"/>
  <c r="H150" i="209"/>
  <c r="M150" i="209" s="1"/>
  <c r="N150" i="209" s="1"/>
  <c r="H147" i="209"/>
  <c r="H144" i="209"/>
  <c r="H142" i="209"/>
  <c r="H139" i="209"/>
  <c r="M220" i="209"/>
  <c r="M216" i="209"/>
  <c r="M212" i="209"/>
  <c r="H201" i="213"/>
  <c r="M201" i="213" s="1"/>
  <c r="H196" i="213"/>
  <c r="M196" i="213" s="1"/>
  <c r="H192" i="213"/>
  <c r="M192" i="213" s="1"/>
  <c r="F152" i="207"/>
  <c r="L30" i="34"/>
  <c r="J30" i="34"/>
  <c r="I24" i="8"/>
  <c r="I16" i="8"/>
  <c r="G124" i="10"/>
  <c r="H42" i="190"/>
  <c r="I19" i="99"/>
  <c r="I17" i="99"/>
  <c r="C35" i="30"/>
  <c r="F29" i="42"/>
  <c r="F19" i="42"/>
  <c r="F22" i="42" s="1"/>
  <c r="H20" i="34"/>
  <c r="I17" i="8"/>
  <c r="J124" i="10"/>
  <c r="R30" i="39"/>
  <c r="P16" i="192"/>
  <c r="Q33" i="39"/>
  <c r="C35" i="215"/>
  <c r="H18" i="105"/>
  <c r="G19" i="42"/>
  <c r="G22" i="42" s="1"/>
  <c r="E29" i="42"/>
  <c r="E20" i="103"/>
  <c r="G43" i="103"/>
  <c r="E19" i="42"/>
  <c r="E22" i="42" s="1"/>
  <c r="P50" i="216"/>
  <c r="H34" i="215" s="1"/>
  <c r="P46" i="214"/>
  <c r="H32" i="30" s="1"/>
  <c r="P44" i="214"/>
  <c r="H31" i="30" s="1"/>
  <c r="K31" i="30" s="1"/>
  <c r="P48" i="216"/>
  <c r="H33" i="215" s="1"/>
  <c r="P46" i="216"/>
  <c r="H32" i="215" s="1"/>
  <c r="I18" i="99"/>
  <c r="H57" i="10"/>
  <c r="I25" i="99"/>
  <c r="P50" i="214"/>
  <c r="H34" i="30" s="1"/>
  <c r="I22" i="244"/>
  <c r="I24" i="244" s="1"/>
  <c r="P44" i="216"/>
  <c r="H31" i="215" s="1"/>
  <c r="H135" i="209"/>
  <c r="H128" i="209"/>
  <c r="M128" i="209" s="1"/>
  <c r="H181" i="213"/>
  <c r="H136" i="209"/>
  <c r="H134" i="209"/>
  <c r="E27" i="30"/>
  <c r="E34" i="30"/>
  <c r="H250" i="236"/>
  <c r="M250" i="236" s="1"/>
  <c r="H234" i="236"/>
  <c r="M234" i="236" s="1"/>
  <c r="H255" i="207"/>
  <c r="H252" i="207"/>
  <c r="M252" i="207" s="1"/>
  <c r="F32" i="232"/>
  <c r="H254" i="213"/>
  <c r="E27" i="215"/>
  <c r="E34" i="215"/>
  <c r="G19" i="243"/>
  <c r="H253" i="236"/>
  <c r="M253" i="236" s="1"/>
  <c r="H249" i="207"/>
  <c r="M249" i="207" s="1"/>
  <c r="H235" i="207"/>
  <c r="M235" i="207" s="1"/>
  <c r="G19" i="244"/>
  <c r="H250" i="207"/>
  <c r="M250" i="207" s="1"/>
  <c r="H245" i="207"/>
  <c r="M245" i="207" s="1"/>
  <c r="M232" i="207"/>
  <c r="F34" i="232"/>
  <c r="K34" i="232" s="1"/>
  <c r="K24" i="231"/>
  <c r="K22" i="232"/>
  <c r="L16" i="243"/>
  <c r="J32" i="231"/>
  <c r="L19" i="243"/>
  <c r="L19" i="244"/>
  <c r="E34" i="232"/>
  <c r="G234" i="207"/>
  <c r="G234" i="213"/>
  <c r="F50" i="238"/>
  <c r="L186" i="207"/>
  <c r="L215" i="209"/>
  <c r="G193" i="209"/>
  <c r="L193" i="209" s="1"/>
  <c r="E24" i="232"/>
  <c r="P24" i="232" s="1"/>
  <c r="L220" i="209"/>
  <c r="L216" i="209"/>
  <c r="G194" i="209"/>
  <c r="L194" i="209" s="1"/>
  <c r="I26" i="215"/>
  <c r="K26" i="215" s="1"/>
  <c r="I33" i="215"/>
  <c r="G208" i="213"/>
  <c r="G188" i="213"/>
  <c r="L16" i="244"/>
  <c r="L40" i="51"/>
  <c r="L42" i="51" s="1"/>
  <c r="R66" i="10"/>
  <c r="R64" i="10"/>
  <c r="I50" i="100"/>
  <c r="K124" i="10"/>
  <c r="F153" i="236"/>
  <c r="P64" i="10"/>
  <c r="P66" i="10"/>
  <c r="Q66" i="10"/>
  <c r="Q64" i="10"/>
  <c r="O66" i="10"/>
  <c r="O64" i="10"/>
  <c r="N40" i="51"/>
  <c r="N42" i="51" s="1"/>
  <c r="L124" i="10"/>
  <c r="A5" i="51"/>
  <c r="A2" i="241"/>
  <c r="A2" i="242"/>
  <c r="A2" i="243"/>
  <c r="A2" i="215"/>
  <c r="F18" i="30"/>
  <c r="A2" i="30"/>
  <c r="H124" i="10"/>
  <c r="C28" i="30"/>
  <c r="I33" i="30"/>
  <c r="I26" i="30"/>
  <c r="K26" i="30" s="1"/>
  <c r="G57" i="10"/>
  <c r="P48" i="214"/>
  <c r="H33" i="30" s="1"/>
  <c r="L13" i="244"/>
  <c r="K43" i="231"/>
  <c r="Q43" i="231" s="1"/>
  <c r="L138" i="209"/>
  <c r="L133" i="209"/>
  <c r="L128" i="209"/>
  <c r="E26" i="231"/>
  <c r="H252" i="236"/>
  <c r="M252" i="236" s="1"/>
  <c r="H249" i="236"/>
  <c r="M249" i="236" s="1"/>
  <c r="M232" i="236"/>
  <c r="H145" i="207"/>
  <c r="M145" i="207" s="1"/>
  <c r="N145" i="207" s="1"/>
  <c r="H142" i="207"/>
  <c r="M142" i="207" s="1"/>
  <c r="N142" i="207" s="1"/>
  <c r="H137" i="207"/>
  <c r="M137" i="207" s="1"/>
  <c r="N137" i="207" s="1"/>
  <c r="H134" i="207"/>
  <c r="M134" i="207" s="1"/>
  <c r="N134" i="207" s="1"/>
  <c r="H125" i="207"/>
  <c r="M125" i="207" s="1"/>
  <c r="M124" i="207"/>
  <c r="F45" i="231"/>
  <c r="H172" i="236"/>
  <c r="H170" i="236"/>
  <c r="H166" i="236"/>
  <c r="H165" i="236"/>
  <c r="H158" i="236"/>
  <c r="H143" i="207"/>
  <c r="M143" i="207" s="1"/>
  <c r="N143" i="207" s="1"/>
  <c r="H132" i="207"/>
  <c r="M132" i="207" s="1"/>
  <c r="N132" i="207" s="1"/>
  <c r="H135" i="207"/>
  <c r="M135" i="207" s="1"/>
  <c r="N135" i="207" s="1"/>
  <c r="H140" i="207"/>
  <c r="M140" i="207" s="1"/>
  <c r="N140" i="207" s="1"/>
  <c r="H144" i="207"/>
  <c r="M144" i="207" s="1"/>
  <c r="N144" i="207" s="1"/>
  <c r="H148" i="207"/>
  <c r="M148" i="207" s="1"/>
  <c r="N148" i="207" s="1"/>
  <c r="J27" i="215"/>
  <c r="J34" i="215"/>
  <c r="H131" i="207"/>
  <c r="M131" i="207" s="1"/>
  <c r="N131" i="207" s="1"/>
  <c r="G235" i="207"/>
  <c r="H234" i="207"/>
  <c r="L232" i="207"/>
  <c r="J32" i="215"/>
  <c r="H156" i="213"/>
  <c r="H147" i="213"/>
  <c r="H139" i="213"/>
  <c r="H131" i="213"/>
  <c r="G213" i="213"/>
  <c r="G206" i="213"/>
  <c r="G205" i="213"/>
  <c r="G203" i="213"/>
  <c r="H235" i="213"/>
  <c r="M256" i="207"/>
  <c r="G254" i="207"/>
  <c r="H253" i="207"/>
  <c r="G250" i="207"/>
  <c r="H247" i="207"/>
  <c r="M247" i="207" s="1"/>
  <c r="M246" i="207"/>
  <c r="H237" i="207"/>
  <c r="M237" i="207" s="1"/>
  <c r="H194" i="209"/>
  <c r="M194" i="209" s="1"/>
  <c r="G212" i="213"/>
  <c r="G211" i="213"/>
  <c r="G210" i="213"/>
  <c r="G209" i="213"/>
  <c r="G201" i="213"/>
  <c r="G200" i="213"/>
  <c r="G198" i="213"/>
  <c r="G197" i="213"/>
  <c r="H252" i="213"/>
  <c r="F38" i="238"/>
  <c r="G38" i="238"/>
  <c r="K38" i="238"/>
  <c r="H170" i="213"/>
  <c r="M170" i="213" s="1"/>
  <c r="H143" i="213"/>
  <c r="H136" i="213"/>
  <c r="G196" i="213"/>
  <c r="G193" i="213"/>
  <c r="G192" i="213"/>
  <c r="G191" i="213"/>
  <c r="M232" i="213"/>
  <c r="H245" i="213"/>
  <c r="H247" i="213"/>
  <c r="H249" i="213"/>
  <c r="H251" i="213"/>
  <c r="H250" i="213"/>
  <c r="F212" i="237"/>
  <c r="F213" i="237"/>
  <c r="F210" i="237"/>
  <c r="F214" i="237"/>
  <c r="F218" i="237"/>
  <c r="F211" i="237"/>
  <c r="M50" i="238"/>
  <c r="K37" i="238"/>
  <c r="I50" i="238"/>
  <c r="G37" i="238"/>
  <c r="E50" i="238"/>
  <c r="L37" i="238"/>
  <c r="K50" i="238"/>
  <c r="H37" i="238"/>
  <c r="D37" i="238"/>
  <c r="M30" i="39"/>
  <c r="H93" i="248" l="1"/>
  <c r="I56" i="248"/>
  <c r="I93" i="248" s="1"/>
  <c r="C80" i="106"/>
  <c r="C140" i="106" s="1"/>
  <c r="D140" i="106"/>
  <c r="L18" i="35"/>
  <c r="N18" i="35"/>
  <c r="D97" i="106"/>
  <c r="D156" i="106" s="1"/>
  <c r="D101" i="106"/>
  <c r="D160" i="106" s="1"/>
  <c r="D105" i="106"/>
  <c r="D164" i="106" s="1"/>
  <c r="D109" i="106"/>
  <c r="D168" i="106" s="1"/>
  <c r="D113" i="106"/>
  <c r="D172" i="106" s="1"/>
  <c r="D117" i="106"/>
  <c r="D176" i="106" s="1"/>
  <c r="D82" i="106"/>
  <c r="D142" i="106" s="1"/>
  <c r="D86" i="106"/>
  <c r="D146" i="106" s="1"/>
  <c r="D90" i="106"/>
  <c r="D150" i="106" s="1"/>
  <c r="D98" i="106"/>
  <c r="D157" i="106" s="1"/>
  <c r="D102" i="106"/>
  <c r="D161" i="106" s="1"/>
  <c r="D106" i="106"/>
  <c r="D165" i="106" s="1"/>
  <c r="D110" i="106"/>
  <c r="D169" i="106" s="1"/>
  <c r="D114" i="106"/>
  <c r="D173" i="106" s="1"/>
  <c r="D118" i="106"/>
  <c r="D177" i="106" s="1"/>
  <c r="D83" i="106"/>
  <c r="D143" i="106" s="1"/>
  <c r="D87" i="106"/>
  <c r="D147" i="106" s="1"/>
  <c r="D91" i="106"/>
  <c r="D151" i="106" s="1"/>
  <c r="D99" i="106"/>
  <c r="D158" i="106" s="1"/>
  <c r="D103" i="106"/>
  <c r="D162" i="106" s="1"/>
  <c r="D107" i="106"/>
  <c r="D166" i="106" s="1"/>
  <c r="D111" i="106"/>
  <c r="D170" i="106" s="1"/>
  <c r="D115" i="106"/>
  <c r="D174" i="106" s="1"/>
  <c r="D119" i="106"/>
  <c r="D178" i="106" s="1"/>
  <c r="D84" i="106"/>
  <c r="D144" i="106" s="1"/>
  <c r="D88" i="106"/>
  <c r="D148" i="106" s="1"/>
  <c r="D81" i="106"/>
  <c r="D141" i="106" s="1"/>
  <c r="D100" i="106"/>
  <c r="D159" i="106" s="1"/>
  <c r="D104" i="106"/>
  <c r="D163" i="106" s="1"/>
  <c r="D108" i="106"/>
  <c r="D167" i="106" s="1"/>
  <c r="D112" i="106"/>
  <c r="D171" i="106" s="1"/>
  <c r="D116" i="106"/>
  <c r="D175" i="106" s="1"/>
  <c r="D96" i="106"/>
  <c r="D155" i="106" s="1"/>
  <c r="D85" i="106"/>
  <c r="D145" i="106" s="1"/>
  <c r="D89" i="106"/>
  <c r="D149" i="106" s="1"/>
  <c r="E266" i="209"/>
  <c r="I29" i="8"/>
  <c r="I37" i="8" s="1"/>
  <c r="K37" i="8" s="1"/>
  <c r="I29" i="99"/>
  <c r="I37" i="99" s="1"/>
  <c r="K37" i="99" s="1"/>
  <c r="H192" i="207"/>
  <c r="M191" i="207"/>
  <c r="L264" i="213"/>
  <c r="L234" i="236"/>
  <c r="L227" i="213"/>
  <c r="L264" i="207"/>
  <c r="L191" i="207"/>
  <c r="F33" i="215"/>
  <c r="F26" i="30"/>
  <c r="Q32" i="231"/>
  <c r="Q22" i="232"/>
  <c r="P26" i="231"/>
  <c r="K40" i="232"/>
  <c r="Q40" i="232" s="1"/>
  <c r="P40" i="232"/>
  <c r="M170" i="236"/>
  <c r="J32" i="232"/>
  <c r="P32" i="232"/>
  <c r="M171" i="236"/>
  <c r="M173" i="236"/>
  <c r="P32" i="231"/>
  <c r="M172" i="236"/>
  <c r="M174" i="236"/>
  <c r="J26" i="232"/>
  <c r="Q26" i="232" s="1"/>
  <c r="P26" i="232"/>
  <c r="M176" i="236"/>
  <c r="M175" i="236"/>
  <c r="P34" i="232"/>
  <c r="M167" i="236"/>
  <c r="M157" i="236"/>
  <c r="M168" i="236"/>
  <c r="K42" i="232"/>
  <c r="Q42" i="232" s="1"/>
  <c r="P42" i="232"/>
  <c r="M165" i="236"/>
  <c r="K45" i="231"/>
  <c r="Q45" i="231" s="1"/>
  <c r="P45" i="231"/>
  <c r="M176" i="209"/>
  <c r="M169" i="236"/>
  <c r="Q24" i="231"/>
  <c r="L237" i="207"/>
  <c r="L249" i="207"/>
  <c r="L255" i="207"/>
  <c r="L247" i="207"/>
  <c r="L245" i="207"/>
  <c r="G192" i="207"/>
  <c r="L251" i="207"/>
  <c r="L252" i="207"/>
  <c r="L253" i="207"/>
  <c r="L234" i="207"/>
  <c r="D33" i="193"/>
  <c r="E45" i="190"/>
  <c r="F45" i="190"/>
  <c r="G45" i="190"/>
  <c r="H45" i="190"/>
  <c r="I45" i="190"/>
  <c r="H33" i="193"/>
  <c r="G33" i="193"/>
  <c r="F33" i="193"/>
  <c r="E33" i="193"/>
  <c r="E264" i="236"/>
  <c r="K32" i="30"/>
  <c r="F27" i="215"/>
  <c r="F26" i="215"/>
  <c r="H130" i="10"/>
  <c r="H128" i="10" s="1"/>
  <c r="G130" i="10"/>
  <c r="G128" i="10" s="1"/>
  <c r="D31" i="42"/>
  <c r="D42" i="42" s="1"/>
  <c r="D45" i="42" s="1"/>
  <c r="F27" i="30"/>
  <c r="I146" i="236"/>
  <c r="N138" i="209"/>
  <c r="L250" i="213"/>
  <c r="L235" i="213"/>
  <c r="L252" i="213"/>
  <c r="L233" i="236"/>
  <c r="L260" i="236"/>
  <c r="L245" i="213"/>
  <c r="L247" i="213"/>
  <c r="L249" i="213"/>
  <c r="L251" i="213"/>
  <c r="L254" i="213"/>
  <c r="J55" i="10"/>
  <c r="J58" i="10" s="1"/>
  <c r="J60" i="10" s="1"/>
  <c r="J62" i="10" s="1"/>
  <c r="H32" i="34"/>
  <c r="O30" i="39"/>
  <c r="I34" i="215"/>
  <c r="K34" i="215" s="1"/>
  <c r="G24" i="244"/>
  <c r="D23" i="137" s="1"/>
  <c r="F52" i="248"/>
  <c r="J25" i="34"/>
  <c r="J23" i="34"/>
  <c r="G31" i="42"/>
  <c r="G42" i="42" s="1"/>
  <c r="G45" i="42" s="1"/>
  <c r="G24" i="243"/>
  <c r="D23" i="3" s="1"/>
  <c r="H23" i="102"/>
  <c r="N58" i="10"/>
  <c r="N60" i="10" s="1"/>
  <c r="N62" i="10" s="1"/>
  <c r="M62" i="10"/>
  <c r="M66" i="10" s="1"/>
  <c r="E31" i="42"/>
  <c r="E42" i="42" s="1"/>
  <c r="E45" i="42" s="1"/>
  <c r="K55" i="10"/>
  <c r="K58" i="10" s="1"/>
  <c r="K60" i="10" s="1"/>
  <c r="L20" i="34"/>
  <c r="E33" i="227"/>
  <c r="F33" i="227" s="1"/>
  <c r="G33" i="227" s="1"/>
  <c r="H33" i="227" s="1"/>
  <c r="I33" i="227" s="1"/>
  <c r="J33" i="227" s="1"/>
  <c r="K33" i="227" s="1"/>
  <c r="L33" i="227" s="1"/>
  <c r="M33" i="227" s="1"/>
  <c r="N33" i="227" s="1"/>
  <c r="O33" i="227" s="1"/>
  <c r="H25" i="103"/>
  <c r="I25" i="103" s="1"/>
  <c r="H24" i="103"/>
  <c r="I24" i="103" s="1"/>
  <c r="H26" i="103"/>
  <c r="I26" i="103" s="1"/>
  <c r="I34" i="100"/>
  <c r="I33" i="100"/>
  <c r="I35" i="100"/>
  <c r="I41" i="100"/>
  <c r="I40" i="100"/>
  <c r="I42" i="100"/>
  <c r="I28" i="100"/>
  <c r="I27" i="100"/>
  <c r="I26" i="100"/>
  <c r="C37" i="215"/>
  <c r="Q45" i="230"/>
  <c r="I41" i="231" s="1"/>
  <c r="G45" i="233"/>
  <c r="H24" i="215"/>
  <c r="H24" i="30"/>
  <c r="C37" i="30"/>
  <c r="K33" i="215"/>
  <c r="H35" i="215"/>
  <c r="K17" i="215"/>
  <c r="H21" i="215"/>
  <c r="H21" i="30"/>
  <c r="K32" i="215"/>
  <c r="L55" i="10"/>
  <c r="L58" i="10" s="1"/>
  <c r="L60" i="10" s="1"/>
  <c r="D44" i="50"/>
  <c r="D25" i="51"/>
  <c r="Q30" i="39"/>
  <c r="Q35" i="41"/>
  <c r="I142" i="236"/>
  <c r="I27" i="30"/>
  <c r="K27" i="30" s="1"/>
  <c r="F21" i="215"/>
  <c r="F31" i="42"/>
  <c r="F42" i="42" s="1"/>
  <c r="F45" i="42" s="1"/>
  <c r="I148" i="209"/>
  <c r="I137" i="209"/>
  <c r="I153" i="209"/>
  <c r="I145" i="209"/>
  <c r="E266" i="213"/>
  <c r="I138" i="213"/>
  <c r="C43" i="103"/>
  <c r="P15" i="44"/>
  <c r="D60" i="51"/>
  <c r="D50" i="51"/>
  <c r="E28" i="100"/>
  <c r="E27" i="100"/>
  <c r="F34" i="215"/>
  <c r="F34" i="30"/>
  <c r="F35" i="30" s="1"/>
  <c r="I132" i="236"/>
  <c r="E26" i="100"/>
  <c r="E56" i="100" s="1"/>
  <c r="E18" i="239"/>
  <c r="I18" i="239"/>
  <c r="K27" i="215"/>
  <c r="K20" i="215"/>
  <c r="I133" i="209"/>
  <c r="I149" i="236"/>
  <c r="F25" i="100"/>
  <c r="E55" i="100"/>
  <c r="F15" i="222"/>
  <c r="G15" i="222" s="1"/>
  <c r="H15" i="222" s="1"/>
  <c r="I15" i="222" s="1"/>
  <c r="J15" i="222" s="1"/>
  <c r="K15" i="222" s="1"/>
  <c r="L15" i="222" s="1"/>
  <c r="M15" i="222" s="1"/>
  <c r="N15" i="222" s="1"/>
  <c r="O15" i="222" s="1"/>
  <c r="O19" i="35"/>
  <c r="J19" i="35" s="1"/>
  <c r="O21" i="35"/>
  <c r="I55" i="100"/>
  <c r="J25" i="100"/>
  <c r="I141" i="213"/>
  <c r="E25" i="103"/>
  <c r="E26" i="103"/>
  <c r="E24" i="103"/>
  <c r="N133" i="209"/>
  <c r="D24" i="243"/>
  <c r="M19" i="35"/>
  <c r="M21" i="35"/>
  <c r="I144" i="236"/>
  <c r="I136" i="236"/>
  <c r="I140" i="236"/>
  <c r="I148" i="236"/>
  <c r="I133" i="236"/>
  <c r="I141" i="236"/>
  <c r="I150" i="236"/>
  <c r="I143" i="236"/>
  <c r="I151" i="236"/>
  <c r="I135" i="236"/>
  <c r="N153" i="236"/>
  <c r="I145" i="236"/>
  <c r="I139" i="236"/>
  <c r="I134" i="236"/>
  <c r="I137" i="236"/>
  <c r="I131" i="236"/>
  <c r="I147" i="236"/>
  <c r="I138" i="236"/>
  <c r="I149" i="213"/>
  <c r="I130" i="213"/>
  <c r="I145" i="213"/>
  <c r="I142" i="213"/>
  <c r="I135" i="213"/>
  <c r="I140" i="213"/>
  <c r="I134" i="213"/>
  <c r="I137" i="213"/>
  <c r="I150" i="213"/>
  <c r="I144" i="213"/>
  <c r="I146" i="213"/>
  <c r="I133" i="213"/>
  <c r="I148" i="213"/>
  <c r="I132" i="213"/>
  <c r="F21" i="30"/>
  <c r="L24" i="243"/>
  <c r="F23" i="3" s="1"/>
  <c r="K20" i="30"/>
  <c r="K21" i="30" s="1"/>
  <c r="E16" i="31" s="1"/>
  <c r="K34" i="30"/>
  <c r="M143" i="209"/>
  <c r="N143" i="209" s="1"/>
  <c r="I143" i="209"/>
  <c r="M236" i="213"/>
  <c r="L253" i="213"/>
  <c r="L258" i="207"/>
  <c r="L257" i="207"/>
  <c r="L236" i="207"/>
  <c r="I133" i="207"/>
  <c r="I149" i="207"/>
  <c r="I150" i="207"/>
  <c r="I147" i="207"/>
  <c r="I141" i="207"/>
  <c r="I139" i="207"/>
  <c r="K41" i="231"/>
  <c r="Q41" i="231" s="1"/>
  <c r="G41" i="231"/>
  <c r="L207" i="213"/>
  <c r="I146" i="207"/>
  <c r="M174" i="209"/>
  <c r="M141" i="209"/>
  <c r="N141" i="209" s="1"/>
  <c r="I141" i="209"/>
  <c r="I138" i="209"/>
  <c r="L237" i="213"/>
  <c r="M256" i="213"/>
  <c r="M146" i="209"/>
  <c r="N146" i="209" s="1"/>
  <c r="I146" i="209"/>
  <c r="M178" i="209"/>
  <c r="I138" i="207"/>
  <c r="M227" i="213"/>
  <c r="M149" i="209"/>
  <c r="N149" i="209" s="1"/>
  <c r="I149" i="209"/>
  <c r="M151" i="209"/>
  <c r="N151" i="209" s="1"/>
  <c r="I151" i="209"/>
  <c r="M179" i="209"/>
  <c r="M255" i="213"/>
  <c r="M160" i="209"/>
  <c r="I130" i="207"/>
  <c r="M233" i="213"/>
  <c r="K34" i="231"/>
  <c r="Q34" i="231" s="1"/>
  <c r="M177" i="236"/>
  <c r="I177" i="236"/>
  <c r="M172" i="209"/>
  <c r="M139" i="209"/>
  <c r="N139" i="209" s="1"/>
  <c r="I139" i="209"/>
  <c r="M161" i="209"/>
  <c r="M175" i="209"/>
  <c r="K44" i="232"/>
  <c r="Q44" i="232" s="1"/>
  <c r="I142" i="209"/>
  <c r="M142" i="209"/>
  <c r="N142" i="209" s="1"/>
  <c r="I152" i="209"/>
  <c r="M152" i="209"/>
  <c r="N152" i="209" s="1"/>
  <c r="M162" i="209"/>
  <c r="I150" i="209"/>
  <c r="M144" i="209"/>
  <c r="N144" i="209" s="1"/>
  <c r="I144" i="209"/>
  <c r="M158" i="209"/>
  <c r="M171" i="209"/>
  <c r="M177" i="209"/>
  <c r="M147" i="209"/>
  <c r="N147" i="209" s="1"/>
  <c r="I147" i="209"/>
  <c r="M159" i="209"/>
  <c r="M169" i="209"/>
  <c r="M173" i="209"/>
  <c r="L22" i="244"/>
  <c r="L24" i="244" s="1"/>
  <c r="F23" i="137" s="1"/>
  <c r="P44" i="202"/>
  <c r="K31" i="215"/>
  <c r="I134" i="209"/>
  <c r="M134" i="209"/>
  <c r="N134" i="209" s="1"/>
  <c r="I136" i="209"/>
  <c r="M136" i="209"/>
  <c r="N136" i="209" s="1"/>
  <c r="M181" i="213"/>
  <c r="M135" i="209"/>
  <c r="N135" i="209" s="1"/>
  <c r="I135" i="209"/>
  <c r="M254" i="213"/>
  <c r="M260" i="236"/>
  <c r="K32" i="232"/>
  <c r="M246" i="213"/>
  <c r="M255" i="207"/>
  <c r="L234" i="213"/>
  <c r="J34" i="232"/>
  <c r="Q34" i="232" s="1"/>
  <c r="J24" i="232"/>
  <c r="Q24" i="232" s="1"/>
  <c r="L194" i="213"/>
  <c r="L208" i="213"/>
  <c r="L187" i="213"/>
  <c r="L188" i="213"/>
  <c r="E29" i="37"/>
  <c r="E31" i="37" s="1"/>
  <c r="E34" i="37" s="1"/>
  <c r="G28" i="1" s="1"/>
  <c r="L193" i="213"/>
  <c r="L197" i="213"/>
  <c r="L209" i="213"/>
  <c r="L254" i="207"/>
  <c r="M156" i="213"/>
  <c r="L235" i="207"/>
  <c r="M158" i="236"/>
  <c r="M166" i="236"/>
  <c r="H35" i="30"/>
  <c r="K33" i="30"/>
  <c r="I142" i="207"/>
  <c r="I140" i="207"/>
  <c r="I135" i="207"/>
  <c r="M250" i="213"/>
  <c r="M249" i="213"/>
  <c r="L196" i="213"/>
  <c r="M252" i="213"/>
  <c r="L198" i="213"/>
  <c r="L210" i="213"/>
  <c r="L250" i="207"/>
  <c r="M235" i="213"/>
  <c r="L203" i="213"/>
  <c r="L213" i="213"/>
  <c r="M131" i="213"/>
  <c r="N131" i="213" s="1"/>
  <c r="I131" i="213"/>
  <c r="I145" i="207"/>
  <c r="I144" i="207"/>
  <c r="M251" i="213"/>
  <c r="M247" i="213"/>
  <c r="L191" i="213"/>
  <c r="M136" i="213"/>
  <c r="N136" i="213" s="1"/>
  <c r="I136" i="213"/>
  <c r="M258" i="213"/>
  <c r="L200" i="213"/>
  <c r="L211" i="213"/>
  <c r="L205" i="213"/>
  <c r="M139" i="213"/>
  <c r="N139" i="213" s="1"/>
  <c r="I139" i="213"/>
  <c r="J26" i="231"/>
  <c r="Q26" i="231" s="1"/>
  <c r="H19" i="202"/>
  <c r="I131" i="207"/>
  <c r="I132" i="207"/>
  <c r="I148" i="207"/>
  <c r="I143" i="207"/>
  <c r="M245" i="213"/>
  <c r="L192" i="213"/>
  <c r="M143" i="213"/>
  <c r="N143" i="213" s="1"/>
  <c r="I143" i="213"/>
  <c r="L201" i="213"/>
  <c r="L212" i="213"/>
  <c r="M253" i="207"/>
  <c r="L206" i="213"/>
  <c r="M147" i="213"/>
  <c r="N147" i="213" s="1"/>
  <c r="I147" i="213"/>
  <c r="M234" i="207"/>
  <c r="N152" i="207"/>
  <c r="I134" i="207"/>
  <c r="I137" i="207"/>
  <c r="D152" i="106" l="1"/>
  <c r="H19" i="35"/>
  <c r="N19" i="35"/>
  <c r="D155" i="51"/>
  <c r="D177" i="45"/>
  <c r="H193" i="207"/>
  <c r="M192" i="207"/>
  <c r="F35" i="215"/>
  <c r="F28" i="30"/>
  <c r="F37" i="30" s="1"/>
  <c r="D22" i="3" s="1"/>
  <c r="Q32" i="232"/>
  <c r="G22" i="95"/>
  <c r="G41" i="10" s="1"/>
  <c r="G193" i="207"/>
  <c r="L192" i="207"/>
  <c r="D45" i="190"/>
  <c r="F28" i="215"/>
  <c r="K22" i="95"/>
  <c r="G72" i="10" s="1"/>
  <c r="T44" i="202"/>
  <c r="E31" i="212"/>
  <c r="T19" i="202"/>
  <c r="K35" i="30"/>
  <c r="E20" i="31" s="1"/>
  <c r="J66" i="10"/>
  <c r="J64" i="10"/>
  <c r="M64" i="10"/>
  <c r="L62" i="10"/>
  <c r="L66" i="10" s="1"/>
  <c r="K62" i="10"/>
  <c r="K64" i="10" s="1"/>
  <c r="N64" i="10"/>
  <c r="N66" i="10"/>
  <c r="J26" i="34"/>
  <c r="J32" i="34" s="1"/>
  <c r="L26" i="34"/>
  <c r="L32" i="34" s="1"/>
  <c r="L41" i="231"/>
  <c r="H45" i="233"/>
  <c r="K24" i="30"/>
  <c r="K28" i="30" s="1"/>
  <c r="E18" i="31" s="1"/>
  <c r="H28" i="30"/>
  <c r="H37" i="30" s="1"/>
  <c r="K24" i="215"/>
  <c r="K28" i="215" s="1"/>
  <c r="E18" i="67" s="1"/>
  <c r="H28" i="215"/>
  <c r="H37" i="215" s="1"/>
  <c r="K21" i="215"/>
  <c r="E16" i="67" s="1"/>
  <c r="Q36" i="41"/>
  <c r="K35" i="215"/>
  <c r="E20" i="67" s="1"/>
  <c r="D157" i="51"/>
  <c r="E27" i="103"/>
  <c r="E58" i="100"/>
  <c r="E57" i="100"/>
  <c r="P15" i="222"/>
  <c r="I27" i="103"/>
  <c r="I56" i="100"/>
  <c r="L19" i="35"/>
  <c r="I153" i="236"/>
  <c r="I155" i="209"/>
  <c r="N155" i="209"/>
  <c r="I152" i="207"/>
  <c r="L44" i="202"/>
  <c r="L19" i="202"/>
  <c r="I152" i="213"/>
  <c r="N152" i="213"/>
  <c r="H44" i="202"/>
  <c r="D159" i="51" l="1"/>
  <c r="H196" i="207"/>
  <c r="M193" i="207"/>
  <c r="K21" i="4"/>
  <c r="F37" i="215"/>
  <c r="D22" i="137" s="1"/>
  <c r="G196" i="207"/>
  <c r="L193" i="207"/>
  <c r="L64" i="10"/>
  <c r="K66" i="10"/>
  <c r="I45" i="233"/>
  <c r="K37" i="30"/>
  <c r="F22" i="3" s="1"/>
  <c r="K37" i="215"/>
  <c r="F22" i="137" s="1"/>
  <c r="Q22" i="41"/>
  <c r="I57" i="100"/>
  <c r="I58" i="100"/>
  <c r="H197" i="207" l="1"/>
  <c r="M196" i="207"/>
  <c r="G197" i="207"/>
  <c r="L196" i="207"/>
  <c r="J45" i="233"/>
  <c r="H72" i="10"/>
  <c r="H198" i="207" l="1"/>
  <c r="M197" i="207"/>
  <c r="G198" i="207"/>
  <c r="L197" i="207"/>
  <c r="K45" i="233"/>
  <c r="H200" i="207" l="1"/>
  <c r="M198" i="207"/>
  <c r="G200" i="207"/>
  <c r="L198" i="207"/>
  <c r="L45" i="233"/>
  <c r="E22" i="239"/>
  <c r="H37" i="103"/>
  <c r="I37" i="103" s="1"/>
  <c r="D40" i="103"/>
  <c r="D38" i="103"/>
  <c r="E37" i="103"/>
  <c r="D39" i="103"/>
  <c r="D33" i="102"/>
  <c r="I22" i="239"/>
  <c r="E42" i="100"/>
  <c r="E41" i="100"/>
  <c r="E40" i="100"/>
  <c r="E69" i="100"/>
  <c r="F69" i="100" s="1"/>
  <c r="H201" i="207" l="1"/>
  <c r="M200" i="207"/>
  <c r="G201" i="207"/>
  <c r="L200" i="207"/>
  <c r="M45" i="233"/>
  <c r="E70" i="100"/>
  <c r="F70" i="100" s="1"/>
  <c r="I20" i="239"/>
  <c r="E20" i="239"/>
  <c r="E24" i="239" s="1"/>
  <c r="E33" i="100"/>
  <c r="F32" i="100"/>
  <c r="E62" i="100"/>
  <c r="E35" i="100"/>
  <c r="E34" i="100"/>
  <c r="E71" i="100"/>
  <c r="F71" i="100" s="1"/>
  <c r="H38" i="103"/>
  <c r="I38" i="103" s="1"/>
  <c r="E38" i="103"/>
  <c r="I69" i="100"/>
  <c r="J69" i="100" s="1"/>
  <c r="E72" i="100"/>
  <c r="F72" i="100" s="1"/>
  <c r="E40" i="103"/>
  <c r="H40" i="103"/>
  <c r="I40" i="103" s="1"/>
  <c r="I30" i="103"/>
  <c r="D32" i="103"/>
  <c r="D33" i="103"/>
  <c r="E30" i="103"/>
  <c r="D31" i="103"/>
  <c r="H39" i="103"/>
  <c r="I39" i="103" s="1"/>
  <c r="E39" i="103"/>
  <c r="H203" i="207" l="1"/>
  <c r="M201" i="207"/>
  <c r="G203" i="207"/>
  <c r="L201" i="207"/>
  <c r="I24" i="239"/>
  <c r="N45" i="233"/>
  <c r="M224" i="236"/>
  <c r="I41" i="103"/>
  <c r="E41" i="103"/>
  <c r="E33" i="103"/>
  <c r="H33" i="103"/>
  <c r="I33" i="103" s="1"/>
  <c r="E64" i="100"/>
  <c r="F34" i="100"/>
  <c r="E32" i="103"/>
  <c r="H32" i="103"/>
  <c r="I32" i="103" s="1"/>
  <c r="F73" i="100"/>
  <c r="I71" i="100"/>
  <c r="J71" i="100" s="1"/>
  <c r="E65" i="100"/>
  <c r="F65" i="100" s="1"/>
  <c r="E63" i="100"/>
  <c r="F33" i="100"/>
  <c r="I70" i="100"/>
  <c r="J70" i="100" s="1"/>
  <c r="E31" i="103"/>
  <c r="H31" i="103"/>
  <c r="I31" i="103" s="1"/>
  <c r="I72" i="100"/>
  <c r="J72" i="100" s="1"/>
  <c r="I62" i="100"/>
  <c r="J32" i="100"/>
  <c r="H205" i="207" l="1"/>
  <c r="M203" i="207"/>
  <c r="O45" i="233"/>
  <c r="G205" i="207"/>
  <c r="L203" i="207"/>
  <c r="J73" i="100"/>
  <c r="J34" i="100"/>
  <c r="I64" i="100"/>
  <c r="J64" i="100" s="1"/>
  <c r="I34" i="103"/>
  <c r="I43" i="103" s="1"/>
  <c r="J33" i="100"/>
  <c r="I63" i="100"/>
  <c r="I65" i="100"/>
  <c r="J65" i="100" s="1"/>
  <c r="E34" i="103"/>
  <c r="E43" i="103" s="1"/>
  <c r="H206" i="207" l="1"/>
  <c r="M205" i="207"/>
  <c r="P45" i="233"/>
  <c r="D40" i="232" s="1"/>
  <c r="G40" i="232" s="1"/>
  <c r="G206" i="207"/>
  <c r="L205" i="207"/>
  <c r="H207" i="207" l="1"/>
  <c r="M206" i="207"/>
  <c r="I40" i="232"/>
  <c r="L40" i="232" s="1"/>
  <c r="G207" i="207"/>
  <c r="L206" i="207"/>
  <c r="H208" i="207" l="1"/>
  <c r="M207" i="207"/>
  <c r="G208" i="207"/>
  <c r="L207" i="207"/>
  <c r="R34" i="41"/>
  <c r="H209" i="207" l="1"/>
  <c r="M208" i="207"/>
  <c r="G209" i="207"/>
  <c r="L208" i="207"/>
  <c r="R35" i="41"/>
  <c r="H210" i="207" l="1"/>
  <c r="M209" i="207"/>
  <c r="L224" i="236"/>
  <c r="G210" i="207"/>
  <c r="L209" i="207"/>
  <c r="R33" i="41"/>
  <c r="H211" i="207" l="1"/>
  <c r="M210" i="207"/>
  <c r="G211" i="207"/>
  <c r="L210" i="207"/>
  <c r="H212" i="207" l="1"/>
  <c r="M211" i="207"/>
  <c r="G212" i="207"/>
  <c r="L211" i="207"/>
  <c r="R36" i="41"/>
  <c r="R22" i="41"/>
  <c r="M212" i="207" l="1"/>
  <c r="H214" i="207"/>
  <c r="M214" i="207" s="1"/>
  <c r="H213" i="207"/>
  <c r="G214" i="207"/>
  <c r="G213" i="207"/>
  <c r="L212" i="207"/>
  <c r="N22" i="42"/>
  <c r="H218" i="207" l="1"/>
  <c r="M213" i="207"/>
  <c r="L214" i="207"/>
  <c r="G218" i="207"/>
  <c r="L213" i="207"/>
  <c r="H227" i="207" l="1"/>
  <c r="M227" i="207" s="1"/>
  <c r="M218" i="207"/>
  <c r="G227" i="207"/>
  <c r="L227" i="207" s="1"/>
  <c r="L218" i="207"/>
  <c r="J27" i="42" l="1"/>
  <c r="D26" i="46"/>
  <c r="D20" i="47" l="1"/>
  <c r="H136" i="237" l="1"/>
  <c r="H141" i="237"/>
  <c r="H138" i="237"/>
  <c r="H135" i="237"/>
  <c r="H149" i="237"/>
  <c r="H132" i="237"/>
  <c r="H133" i="237"/>
  <c r="H139" i="237"/>
  <c r="H151" i="237"/>
  <c r="H143" i="237"/>
  <c r="H150" i="237"/>
  <c r="H146" i="237"/>
  <c r="H137" i="237"/>
  <c r="H144" i="237"/>
  <c r="H131" i="237"/>
  <c r="H148" i="237"/>
  <c r="H147" i="237"/>
  <c r="H140" i="237"/>
  <c r="H145" i="237"/>
  <c r="H142" i="237"/>
  <c r="H134" i="237"/>
  <c r="H153" i="237" l="1"/>
  <c r="F40" i="100" l="1"/>
  <c r="F41" i="100"/>
  <c r="J41" i="100"/>
  <c r="J40" i="100"/>
  <c r="F58" i="100" l="1"/>
  <c r="F27" i="100"/>
  <c r="D79" i="51"/>
  <c r="J27" i="100"/>
  <c r="J58" i="100"/>
  <c r="F64" i="100" l="1"/>
  <c r="J21" i="100"/>
  <c r="D118" i="51"/>
  <c r="F51" i="100"/>
  <c r="J18" i="100"/>
  <c r="D112" i="51"/>
  <c r="F19" i="100"/>
  <c r="F26" i="100"/>
  <c r="F21" i="100"/>
  <c r="F39" i="100"/>
  <c r="F62" i="100"/>
  <c r="J51" i="100"/>
  <c r="J26" i="100"/>
  <c r="J39" i="100"/>
  <c r="J19" i="100"/>
  <c r="J62" i="100"/>
  <c r="D111" i="51" l="1"/>
  <c r="F18" i="100"/>
  <c r="O33" i="238" l="1"/>
  <c r="O61" i="238" l="1"/>
  <c r="O59" i="238" l="1"/>
  <c r="M16" i="238" l="1"/>
  <c r="N16" i="238"/>
  <c r="O18" i="238" l="1"/>
  <c r="O17" i="171"/>
  <c r="O18" i="171"/>
  <c r="O19" i="238"/>
  <c r="O32" i="238" l="1"/>
  <c r="O31" i="171"/>
  <c r="D52" i="171"/>
  <c r="E52" i="171"/>
  <c r="F52" i="171"/>
  <c r="G52" i="171"/>
  <c r="H52" i="171"/>
  <c r="D39" i="171"/>
  <c r="E39" i="171"/>
  <c r="F39" i="171"/>
  <c r="G39" i="171"/>
  <c r="H39" i="171"/>
  <c r="D67" i="171"/>
  <c r="E67" i="171"/>
  <c r="F67" i="171"/>
  <c r="G67" i="171"/>
  <c r="H67" i="171"/>
  <c r="O16" i="171" l="1"/>
  <c r="G34" i="171"/>
  <c r="F34" i="171"/>
  <c r="H47" i="171"/>
  <c r="D47" i="171"/>
  <c r="F62" i="171"/>
  <c r="G24" i="171"/>
  <c r="G47" i="171"/>
  <c r="E62" i="171"/>
  <c r="F24" i="171"/>
  <c r="E34" i="171"/>
  <c r="O32" i="171"/>
  <c r="H34" i="171"/>
  <c r="D34" i="171"/>
  <c r="F47" i="171"/>
  <c r="H62" i="171"/>
  <c r="D62" i="171"/>
  <c r="E24" i="171"/>
  <c r="E47" i="171"/>
  <c r="G62" i="171"/>
  <c r="H24" i="171"/>
  <c r="D24" i="171"/>
  <c r="C67" i="171"/>
  <c r="C39" i="171"/>
  <c r="C52" i="171"/>
  <c r="O19" i="171"/>
  <c r="O60" i="171"/>
  <c r="O58" i="171"/>
  <c r="O15" i="171" l="1"/>
  <c r="O16" i="238"/>
  <c r="C24" i="171"/>
  <c r="C47" i="171" l="1"/>
  <c r="C34" i="171"/>
  <c r="C62" i="171"/>
  <c r="O15" i="238" l="1"/>
  <c r="O14" i="171"/>
  <c r="M43" i="35" l="1"/>
  <c r="L43" i="35" s="1"/>
  <c r="O43" i="35"/>
  <c r="O45" i="171"/>
  <c r="O59" i="171" l="1"/>
  <c r="O30" i="171"/>
  <c r="N43" i="35" l="1"/>
  <c r="D46" i="238"/>
  <c r="C48" i="238"/>
  <c r="C53" i="238" s="1"/>
  <c r="C21" i="238" s="1"/>
  <c r="E46" i="238" l="1"/>
  <c r="D48" i="238"/>
  <c r="D53" i="238" s="1"/>
  <c r="D21" i="238" s="1"/>
  <c r="C35" i="238"/>
  <c r="C40" i="238" s="1"/>
  <c r="C63" i="238"/>
  <c r="D63" i="238" l="1"/>
  <c r="D68" i="238" s="1"/>
  <c r="D23" i="238" s="1"/>
  <c r="D35" i="238"/>
  <c r="D40" i="238" s="1"/>
  <c r="D22" i="238" s="1"/>
  <c r="C68" i="238"/>
  <c r="F46" i="238"/>
  <c r="E48" i="238"/>
  <c r="E35" i="238" l="1"/>
  <c r="E63" i="238"/>
  <c r="E53" i="238"/>
  <c r="C23" i="238"/>
  <c r="C22" i="238"/>
  <c r="G46" i="238"/>
  <c r="H46" i="238" l="1"/>
  <c r="E68" i="238"/>
  <c r="E21" i="238"/>
  <c r="E40" i="238"/>
  <c r="E22" i="238" l="1"/>
  <c r="E23" i="238"/>
  <c r="I46" i="238"/>
  <c r="J46" i="238" l="1"/>
  <c r="K46" i="238" l="1"/>
  <c r="L46" i="238" l="1"/>
  <c r="M46" i="238" l="1"/>
  <c r="L48" i="238"/>
  <c r="L53" i="238" s="1"/>
  <c r="L21" i="238" s="1"/>
  <c r="N46" i="238" l="1"/>
  <c r="M48" i="238"/>
  <c r="M53" i="238" s="1"/>
  <c r="M21" i="238" s="1"/>
  <c r="L63" i="238"/>
  <c r="L68" i="238" s="1"/>
  <c r="L23" i="238" s="1"/>
  <c r="N48" i="238" l="1"/>
  <c r="N53" i="238" s="1"/>
  <c r="O46" i="238"/>
  <c r="M63" i="238"/>
  <c r="M68" i="238" s="1"/>
  <c r="N63" i="238" l="1"/>
  <c r="N68" i="238" s="1"/>
  <c r="N23" i="238" s="1"/>
  <c r="O60" i="238"/>
  <c r="N21" i="238"/>
  <c r="M23" i="238"/>
  <c r="P26" i="222" l="1"/>
  <c r="D23" i="79" l="1"/>
  <c r="D43" i="50" s="1"/>
  <c r="D45" i="50" s="1"/>
  <c r="D46" i="50" s="1"/>
  <c r="H25" i="51" l="1"/>
  <c r="P25" i="51" s="1"/>
  <c r="P27" i="222"/>
  <c r="D24" i="79" l="1"/>
  <c r="D48" i="50" l="1"/>
  <c r="L17" i="42"/>
  <c r="P17" i="222"/>
  <c r="D15" i="79" l="1"/>
  <c r="D13" i="50" s="1"/>
  <c r="P23" i="222"/>
  <c r="O16" i="41" l="1"/>
  <c r="O33" i="41" s="1"/>
  <c r="D18" i="79"/>
  <c r="D28" i="50" s="1"/>
  <c r="P20" i="222"/>
  <c r="P19" i="222"/>
  <c r="O19" i="41" l="1"/>
  <c r="O36" i="41" s="1"/>
  <c r="D17" i="79"/>
  <c r="D16" i="79"/>
  <c r="D18" i="50" s="1"/>
  <c r="P94" i="222"/>
  <c r="P25" i="222"/>
  <c r="O20" i="238" s="1"/>
  <c r="O17" i="41" l="1"/>
  <c r="O34" i="41" s="1"/>
  <c r="D19" i="79"/>
  <c r="O18" i="41"/>
  <c r="O35" i="41" s="1"/>
  <c r="D23" i="50"/>
  <c r="D134" i="79"/>
  <c r="D22" i="79"/>
  <c r="C20" i="238"/>
  <c r="L16" i="42" l="1"/>
  <c r="O22" i="41"/>
  <c r="D20" i="238"/>
  <c r="L18" i="42"/>
  <c r="L19" i="42" s="1"/>
  <c r="D26" i="79"/>
  <c r="D38" i="50"/>
  <c r="G48" i="10" l="1"/>
  <c r="D70" i="50"/>
  <c r="D28" i="79"/>
  <c r="E20" i="238"/>
  <c r="F20" i="238" l="1"/>
  <c r="K14" i="46"/>
  <c r="O14" i="46" l="1"/>
  <c r="F15" i="47" s="1"/>
  <c r="G20" i="238"/>
  <c r="G42" i="1" l="1"/>
  <c r="H20" i="238"/>
  <c r="I20" i="238" l="1"/>
  <c r="J20" i="238" l="1"/>
  <c r="K20" i="238" l="1"/>
  <c r="L20" i="238" l="1"/>
  <c r="M20" i="238" l="1"/>
  <c r="N20" i="238" l="1"/>
  <c r="P40" i="44" l="1"/>
  <c r="D96" i="45" s="1"/>
  <c r="P43" i="44"/>
  <c r="D99" i="45" s="1"/>
  <c r="P45" i="44"/>
  <c r="D102" i="45" s="1"/>
  <c r="P37" i="44"/>
  <c r="D92" i="45" s="1"/>
  <c r="P34" i="44"/>
  <c r="D88" i="45" s="1"/>
  <c r="P42" i="44"/>
  <c r="D98" i="45" s="1"/>
  <c r="P33" i="44"/>
  <c r="D87" i="45" s="1"/>
  <c r="P36" i="44"/>
  <c r="D91" i="45" s="1"/>
  <c r="P35" i="44"/>
  <c r="D90" i="45" s="1"/>
  <c r="P41" i="44"/>
  <c r="D97" i="45" s="1"/>
  <c r="P44" i="44"/>
  <c r="D100" i="45" s="1"/>
  <c r="P39" i="44"/>
  <c r="D94" i="45" s="1"/>
  <c r="P38" i="44"/>
  <c r="D93" i="45" s="1"/>
  <c r="P32" i="44" l="1"/>
  <c r="D86" i="45" l="1"/>
  <c r="P32" i="222" l="1"/>
  <c r="D81" i="79" l="1"/>
  <c r="P40" i="222"/>
  <c r="D91" i="79" s="1"/>
  <c r="P35" i="222"/>
  <c r="D85" i="79" s="1"/>
  <c r="P46" i="222"/>
  <c r="D99" i="79" s="1"/>
  <c r="P45" i="222"/>
  <c r="D97" i="79" s="1"/>
  <c r="P42" i="222"/>
  <c r="D93" i="79" s="1"/>
  <c r="P36" i="222"/>
  <c r="P33" i="222"/>
  <c r="D82" i="79" s="1"/>
  <c r="P39" i="222"/>
  <c r="D89" i="79" s="1"/>
  <c r="P37" i="222"/>
  <c r="D87" i="79" s="1"/>
  <c r="P41" i="222"/>
  <c r="D92" i="79" s="1"/>
  <c r="P38" i="222"/>
  <c r="D88" i="79" s="1"/>
  <c r="P34" i="222"/>
  <c r="D83" i="79" s="1"/>
  <c r="P43" i="222"/>
  <c r="D94" i="79" s="1"/>
  <c r="P44" i="222"/>
  <c r="D95" i="79" s="1"/>
  <c r="D86" i="79" l="1"/>
  <c r="D100" i="79" s="1"/>
  <c r="L21" i="42" l="1"/>
  <c r="L22" i="42" s="1"/>
  <c r="D58" i="50"/>
  <c r="K17" i="46"/>
  <c r="O17" i="46" l="1"/>
  <c r="D71" i="50"/>
  <c r="D72" i="50" s="1"/>
  <c r="F18" i="47" l="1"/>
  <c r="J18" i="47" l="1"/>
  <c r="P27" i="44" l="1"/>
  <c r="D28" i="45" s="1"/>
  <c r="D54" i="50"/>
  <c r="D27" i="51"/>
  <c r="D55" i="50" l="1"/>
  <c r="H27" i="51" s="1"/>
  <c r="P27" i="51" s="1"/>
  <c r="J17" i="42"/>
  <c r="D26" i="51"/>
  <c r="D49" i="50"/>
  <c r="D50" i="50" s="1"/>
  <c r="D56" i="50" l="1"/>
  <c r="H26" i="51"/>
  <c r="P26" i="51" s="1"/>
  <c r="D51" i="50"/>
  <c r="P17" i="44" l="1"/>
  <c r="D15" i="45" l="1"/>
  <c r="M16" i="41" l="1"/>
  <c r="D15" i="51"/>
  <c r="D14" i="50"/>
  <c r="P23" i="44"/>
  <c r="D15" i="50" l="1"/>
  <c r="D21" i="45"/>
  <c r="M33" i="41"/>
  <c r="D18" i="51" l="1"/>
  <c r="D29" i="50"/>
  <c r="D30" i="50" s="1"/>
  <c r="M19" i="41"/>
  <c r="M36" i="41" s="1"/>
  <c r="D16" i="50"/>
  <c r="F15" i="51"/>
  <c r="P25" i="44"/>
  <c r="D26" i="45" l="1"/>
  <c r="F18" i="51"/>
  <c r="P18" i="51" s="1"/>
  <c r="D31" i="50"/>
  <c r="P15" i="51"/>
  <c r="D31" i="45" l="1"/>
  <c r="D39" i="50"/>
  <c r="D40" i="50" s="1"/>
  <c r="D24" i="51"/>
  <c r="D29" i="51" s="1"/>
  <c r="J18" i="42"/>
  <c r="H24" i="51" l="1"/>
  <c r="D41" i="50"/>
  <c r="P24" i="51" l="1"/>
  <c r="H29" i="51"/>
  <c r="P29" i="51" l="1"/>
  <c r="H31" i="51"/>
  <c r="H38" i="51" s="1"/>
  <c r="H40" i="51" s="1"/>
  <c r="H42" i="51" s="1"/>
  <c r="P19" i="44" l="1"/>
  <c r="D17" i="45" l="1"/>
  <c r="M17" i="41" l="1"/>
  <c r="D16" i="51"/>
  <c r="D19" i="50"/>
  <c r="P20" i="44"/>
  <c r="D20" i="50" l="1"/>
  <c r="D18" i="45"/>
  <c r="M34" i="41"/>
  <c r="M18" i="41" l="1"/>
  <c r="D24" i="50"/>
  <c r="D17" i="51"/>
  <c r="D21" i="51" s="1"/>
  <c r="D31" i="51" s="1"/>
  <c r="D23" i="45"/>
  <c r="F16" i="51"/>
  <c r="D21" i="50"/>
  <c r="D25" i="50" l="1"/>
  <c r="D66" i="50"/>
  <c r="P16" i="51"/>
  <c r="M35" i="41"/>
  <c r="M22" i="41"/>
  <c r="J16" i="42"/>
  <c r="J19" i="42" s="1"/>
  <c r="D33" i="45"/>
  <c r="H48" i="10" l="1"/>
  <c r="D14" i="46"/>
  <c r="F17" i="51"/>
  <c r="D26" i="50"/>
  <c r="P17" i="51" l="1"/>
  <c r="F21" i="51"/>
  <c r="D15" i="47"/>
  <c r="F14" i="46"/>
  <c r="F31" i="51" l="1"/>
  <c r="P21" i="51"/>
  <c r="F38" i="51" l="1"/>
  <c r="P31" i="51"/>
  <c r="F40" i="51" l="1"/>
  <c r="F42" i="51" s="1"/>
  <c r="P22" i="42" l="1"/>
  <c r="H61" i="192" l="1"/>
  <c r="H63" i="192" s="1"/>
  <c r="G61" i="192"/>
  <c r="G63" i="192" s="1"/>
  <c r="F61" i="192"/>
  <c r="F63" i="192" s="1"/>
  <c r="E61" i="192"/>
  <c r="E63" i="192" s="1"/>
  <c r="H64" i="192" l="1"/>
  <c r="E64" i="192"/>
  <c r="I61" i="192"/>
  <c r="F64" i="192"/>
  <c r="G64" i="192"/>
  <c r="D61" i="192"/>
  <c r="D63" i="192" s="1"/>
  <c r="I64" i="192" l="1"/>
  <c r="D64" i="192" l="1"/>
  <c r="H43" i="100" l="1"/>
  <c r="J42" i="100"/>
  <c r="J43" i="100" s="1"/>
  <c r="F42" i="100"/>
  <c r="F43" i="100" s="1"/>
  <c r="D43" i="100"/>
  <c r="I27" i="247" l="1"/>
  <c r="K27" i="247" s="1"/>
  <c r="E27" i="247"/>
  <c r="G27" i="247" s="1"/>
  <c r="I21" i="247" l="1"/>
  <c r="E21" i="247"/>
  <c r="G21" i="247" s="1"/>
  <c r="K21" i="247" l="1"/>
  <c r="D29" i="247"/>
  <c r="I24" i="247" l="1"/>
  <c r="K24" i="247" s="1"/>
  <c r="E24" i="247"/>
  <c r="G24" i="247" s="1"/>
  <c r="I18" i="247"/>
  <c r="E18" i="247"/>
  <c r="C29" i="247"/>
  <c r="K18" i="247" l="1"/>
  <c r="I29" i="247"/>
  <c r="G18" i="247"/>
  <c r="G29" i="247" s="1"/>
  <c r="E29" i="247"/>
  <c r="K29" i="247" l="1"/>
  <c r="M24" i="46" s="1"/>
  <c r="N96" i="236" l="1"/>
  <c r="P46" i="44" l="1"/>
  <c r="D104" i="45" l="1"/>
  <c r="D105" i="45" s="1"/>
  <c r="J21" i="42" s="1"/>
  <c r="J22" i="42" s="1"/>
  <c r="D59" i="50" l="1"/>
  <c r="D67" i="50" s="1"/>
  <c r="D68" i="50" s="1"/>
  <c r="D17" i="46"/>
  <c r="F17" i="46" s="1"/>
  <c r="D34" i="51"/>
  <c r="D36" i="51" s="1"/>
  <c r="D38" i="51" s="1"/>
  <c r="D60" i="50" l="1"/>
  <c r="J34" i="51" s="1"/>
  <c r="D18" i="47"/>
  <c r="D61" i="50" l="1"/>
  <c r="J36" i="51"/>
  <c r="P34" i="51"/>
  <c r="P36" i="51" l="1"/>
  <c r="J38" i="51"/>
  <c r="P38" i="51" l="1"/>
  <c r="P40" i="51" s="1"/>
  <c r="P42" i="51" s="1"/>
  <c r="J40" i="51"/>
  <c r="J42" i="51" s="1"/>
  <c r="F16" i="98" l="1"/>
  <c r="F20" i="98" s="1"/>
  <c r="F20" i="5"/>
  <c r="H16" i="98"/>
  <c r="J20" i="5"/>
  <c r="J16" i="98" l="1"/>
  <c r="J20" i="98" s="1"/>
  <c r="L20" i="98" s="1"/>
  <c r="L20" i="5"/>
  <c r="L17" i="202" s="1"/>
  <c r="K19" i="4" s="1"/>
  <c r="H42" i="202"/>
  <c r="H17" i="202"/>
  <c r="P17" i="202"/>
  <c r="P42" i="202"/>
  <c r="E29" i="212" l="1"/>
  <c r="T42" i="202"/>
  <c r="K20" i="95"/>
  <c r="G71" i="10" s="1"/>
  <c r="T17" i="202"/>
  <c r="L42" i="202"/>
  <c r="G20" i="95"/>
  <c r="G40" i="10" s="1"/>
  <c r="P21" i="202"/>
  <c r="P29" i="202" s="1"/>
  <c r="G19" i="4"/>
  <c r="H40" i="10" s="1"/>
  <c r="H21" i="202"/>
  <c r="H29" i="202" s="1"/>
  <c r="J17" i="202" s="1"/>
  <c r="P46" i="202"/>
  <c r="P54" i="202" s="1"/>
  <c r="H46" i="202"/>
  <c r="H54" i="202" s="1"/>
  <c r="J42" i="202" s="1"/>
  <c r="R42" i="202" l="1"/>
  <c r="V42" i="202" s="1"/>
  <c r="R50" i="202"/>
  <c r="R17" i="202"/>
  <c r="V17" i="202" s="1"/>
  <c r="R25" i="202"/>
  <c r="V25" i="202" s="1"/>
  <c r="G28" i="95"/>
  <c r="J44" i="202"/>
  <c r="N44" i="202" s="1"/>
  <c r="J50" i="202"/>
  <c r="J48" i="202"/>
  <c r="N48" i="202" s="1"/>
  <c r="R52" i="202"/>
  <c r="V52" i="202" s="1"/>
  <c r="G27" i="4"/>
  <c r="N42" i="202"/>
  <c r="J19" i="202"/>
  <c r="R27" i="202"/>
  <c r="V27" i="202" s="1"/>
  <c r="J27" i="202"/>
  <c r="N27" i="202" s="1"/>
  <c r="J25" i="202"/>
  <c r="J23" i="202"/>
  <c r="N23" i="202" s="1"/>
  <c r="J52" i="202"/>
  <c r="N52" i="202" s="1"/>
  <c r="N17" i="202"/>
  <c r="R44" i="202"/>
  <c r="V44" i="202" s="1"/>
  <c r="R48" i="202"/>
  <c r="V48" i="202" s="1"/>
  <c r="R19" i="202"/>
  <c r="V19" i="202" s="1"/>
  <c r="R23" i="202"/>
  <c r="V23" i="202" s="1"/>
  <c r="H71" i="10"/>
  <c r="I19" i="4" l="1"/>
  <c r="M19" i="4" s="1"/>
  <c r="H45" i="10"/>
  <c r="I20" i="95"/>
  <c r="M20" i="95" s="1"/>
  <c r="G45" i="10"/>
  <c r="N46" i="202"/>
  <c r="R21" i="202"/>
  <c r="R29" i="202" s="1"/>
  <c r="V21" i="202"/>
  <c r="N19" i="202"/>
  <c r="N21" i="202" s="1"/>
  <c r="I22" i="95"/>
  <c r="M22" i="95" s="1"/>
  <c r="I24" i="95"/>
  <c r="M24" i="95" s="1"/>
  <c r="I26" i="95"/>
  <c r="M26" i="95" s="1"/>
  <c r="V46" i="202"/>
  <c r="J46" i="202"/>
  <c r="J54" i="202" s="1"/>
  <c r="N25" i="202"/>
  <c r="I21" i="4"/>
  <c r="M21" i="4" s="1"/>
  <c r="I25" i="4"/>
  <c r="M25" i="4" s="1"/>
  <c r="I23" i="4"/>
  <c r="M23" i="4" s="1"/>
  <c r="J21" i="202"/>
  <c r="J29" i="202" s="1"/>
  <c r="R46" i="202"/>
  <c r="R54" i="202" s="1"/>
  <c r="V29" i="202" l="1"/>
  <c r="G30" i="84"/>
  <c r="N29" i="202"/>
  <c r="E30" i="84"/>
  <c r="M27" i="4"/>
  <c r="E22" i="1" s="1"/>
  <c r="M28" i="95"/>
  <c r="G22" i="1" s="1"/>
  <c r="I27" i="4"/>
  <c r="I28" i="95"/>
  <c r="J19" i="230" l="1"/>
  <c r="I47" i="230" l="1"/>
  <c r="J47" i="230"/>
  <c r="I19" i="230"/>
  <c r="I36" i="230"/>
  <c r="J36" i="230"/>
  <c r="D24" i="231" l="1"/>
  <c r="G24" i="231" s="1"/>
  <c r="Q24" i="230" l="1"/>
  <c r="I24" i="231" s="1"/>
  <c r="L24" i="231" s="1"/>
  <c r="D26" i="231" l="1"/>
  <c r="G26" i="231" s="1"/>
  <c r="Q26" i="230"/>
  <c r="I26" i="231" s="1"/>
  <c r="L26" i="231" s="1"/>
  <c r="D24" i="232" l="1"/>
  <c r="G24" i="232" s="1"/>
  <c r="I24" i="232"/>
  <c r="L24" i="232" s="1"/>
  <c r="D26" i="232" l="1"/>
  <c r="G26" i="232" s="1"/>
  <c r="I26" i="232"/>
  <c r="L26" i="232" s="1"/>
  <c r="J28" i="230" l="1"/>
  <c r="G28" i="230"/>
  <c r="D28" i="230" l="1"/>
  <c r="J49" i="230"/>
  <c r="G49" i="230"/>
  <c r="D49" i="230" l="1"/>
  <c r="D28" i="105" l="1"/>
  <c r="F26" i="105"/>
  <c r="F28" i="105" s="1"/>
  <c r="H28" i="105" l="1"/>
  <c r="J26" i="105"/>
  <c r="J28" i="105" s="1"/>
  <c r="I63" i="238" l="1"/>
  <c r="I68" i="238" s="1"/>
  <c r="I23" i="238" s="1"/>
  <c r="L62" i="171"/>
  <c r="L67" i="171" s="1"/>
  <c r="G63" i="238"/>
  <c r="G68" i="238" s="1"/>
  <c r="G23" i="238" s="1"/>
  <c r="J62" i="171"/>
  <c r="J67" i="171" s="1"/>
  <c r="J22" i="171" s="1"/>
  <c r="O45" i="238"/>
  <c r="O44" i="171"/>
  <c r="J63" i="238"/>
  <c r="J68" i="238" s="1"/>
  <c r="J23" i="238" s="1"/>
  <c r="M62" i="171"/>
  <c r="M67" i="171" s="1"/>
  <c r="H48" i="238"/>
  <c r="H53" i="238" s="1"/>
  <c r="H21" i="238" s="1"/>
  <c r="K47" i="171"/>
  <c r="G48" i="238"/>
  <c r="G53" i="238" s="1"/>
  <c r="G21" i="238" s="1"/>
  <c r="J47" i="171"/>
  <c r="K48" i="238"/>
  <c r="K53" i="238" s="1"/>
  <c r="K21" i="238" s="1"/>
  <c r="N47" i="171"/>
  <c r="I62" i="171"/>
  <c r="I67" i="171" s="1"/>
  <c r="I22" i="171" s="1"/>
  <c r="I47" i="171"/>
  <c r="J48" i="238"/>
  <c r="J53" i="238" s="1"/>
  <c r="J21" i="238" s="1"/>
  <c r="M47" i="171"/>
  <c r="I48" i="238"/>
  <c r="I53" i="238" s="1"/>
  <c r="I21" i="238" s="1"/>
  <c r="L47" i="171"/>
  <c r="K63" i="238"/>
  <c r="K68" i="238" s="1"/>
  <c r="K23" i="238" s="1"/>
  <c r="N62" i="171"/>
  <c r="N67" i="171" s="1"/>
  <c r="O58" i="238"/>
  <c r="O57" i="171"/>
  <c r="H63" i="238"/>
  <c r="H68" i="238" s="1"/>
  <c r="H23" i="238" s="1"/>
  <c r="K62" i="171"/>
  <c r="K67" i="171" s="1"/>
  <c r="K22" i="171" s="1"/>
  <c r="M52" i="171" l="1"/>
  <c r="M20" i="171" s="1"/>
  <c r="N52" i="171"/>
  <c r="N20" i="171" s="1"/>
  <c r="K52" i="171"/>
  <c r="K20" i="171" s="1"/>
  <c r="L52" i="171"/>
  <c r="L20" i="171" s="1"/>
  <c r="I52" i="171"/>
  <c r="I20" i="171" s="1"/>
  <c r="J52" i="171"/>
  <c r="J20" i="171" s="1"/>
  <c r="L34" i="171"/>
  <c r="L39" i="171" s="1"/>
  <c r="O29" i="171"/>
  <c r="M34" i="171"/>
  <c r="M39" i="171" s="1"/>
  <c r="G35" i="238"/>
  <c r="G40" i="238" s="1"/>
  <c r="G22" i="238" s="1"/>
  <c r="J34" i="171"/>
  <c r="J39" i="171" s="1"/>
  <c r="J21" i="171" s="1"/>
  <c r="O47" i="171"/>
  <c r="I34" i="171"/>
  <c r="I39" i="171" s="1"/>
  <c r="I21" i="171" s="1"/>
  <c r="H35" i="238"/>
  <c r="H40" i="238" s="1"/>
  <c r="H22" i="238" s="1"/>
  <c r="K34" i="171"/>
  <c r="K39" i="171" s="1"/>
  <c r="K21" i="171" s="1"/>
  <c r="N22" i="171"/>
  <c r="F48" i="238"/>
  <c r="O62" i="171"/>
  <c r="M22" i="171"/>
  <c r="L22" i="171"/>
  <c r="O67" i="171"/>
  <c r="N34" i="171"/>
  <c r="N39" i="171" s="1"/>
  <c r="F63" i="238"/>
  <c r="K24" i="171" l="1"/>
  <c r="L16" i="44" s="1"/>
  <c r="O52" i="171"/>
  <c r="I24" i="171"/>
  <c r="J16" i="44" s="1"/>
  <c r="J24" i="171"/>
  <c r="K16" i="44" s="1"/>
  <c r="K35" i="238"/>
  <c r="K40" i="238" s="1"/>
  <c r="K22" i="238" s="1"/>
  <c r="L35" i="238"/>
  <c r="L40" i="238" s="1"/>
  <c r="L22" i="238" s="1"/>
  <c r="M35" i="238"/>
  <c r="M40" i="238" s="1"/>
  <c r="M22" i="238" s="1"/>
  <c r="M21" i="171"/>
  <c r="M24" i="171" s="1"/>
  <c r="N16" i="44" s="1"/>
  <c r="F68" i="238"/>
  <c r="O63" i="238"/>
  <c r="J35" i="238"/>
  <c r="J40" i="238" s="1"/>
  <c r="J22" i="238" s="1"/>
  <c r="O30" i="238"/>
  <c r="O34" i="171"/>
  <c r="L21" i="171"/>
  <c r="L24" i="171" s="1"/>
  <c r="O39" i="171"/>
  <c r="N21" i="171"/>
  <c r="F53" i="238"/>
  <c r="O48" i="238"/>
  <c r="O22" i="171"/>
  <c r="F35" i="238"/>
  <c r="O20" i="171"/>
  <c r="N35" i="238"/>
  <c r="N40" i="238" s="1"/>
  <c r="N22" i="238" s="1"/>
  <c r="I35" i="238"/>
  <c r="I40" i="238" s="1"/>
  <c r="I22" i="238" s="1"/>
  <c r="O21" i="171" l="1"/>
  <c r="F40" i="238"/>
  <c r="O35" i="238"/>
  <c r="F21" i="238"/>
  <c r="O53" i="238"/>
  <c r="F23" i="238"/>
  <c r="O23" i="238" s="1"/>
  <c r="O68" i="238"/>
  <c r="M16" i="44"/>
  <c r="N24" i="171"/>
  <c r="O16" i="44" s="1"/>
  <c r="F22" i="238" l="1"/>
  <c r="O22" i="238" s="1"/>
  <c r="O40" i="238"/>
  <c r="O24" i="171"/>
  <c r="P16" i="44"/>
  <c r="O21" i="238"/>
  <c r="D19" i="48" l="1"/>
  <c r="D178" i="45"/>
  <c r="D168" i="51"/>
  <c r="D27" i="46" l="1"/>
  <c r="J28" i="42"/>
  <c r="D21" i="47" l="1"/>
  <c r="D44" i="232" l="1"/>
  <c r="G44" i="232" s="1"/>
  <c r="D45" i="231"/>
  <c r="G45" i="231" s="1"/>
  <c r="D42" i="232"/>
  <c r="G42" i="232" s="1"/>
  <c r="D43" i="231"/>
  <c r="G43" i="231" s="1"/>
  <c r="D17" i="232"/>
  <c r="G17" i="232" s="1"/>
  <c r="D17" i="231"/>
  <c r="G17" i="231" s="1"/>
  <c r="D15" i="232"/>
  <c r="G15" i="232" s="1"/>
  <c r="D15" i="231"/>
  <c r="G15" i="231" s="1"/>
  <c r="M19" i="230"/>
  <c r="D34" i="232"/>
  <c r="G34" i="232" s="1"/>
  <c r="D34" i="231"/>
  <c r="G34" i="231" s="1"/>
  <c r="D32" i="232"/>
  <c r="G32" i="232" s="1"/>
  <c r="D32" i="231"/>
  <c r="G32" i="231" s="1"/>
  <c r="L36" i="233"/>
  <c r="H36" i="233"/>
  <c r="K47" i="233" l="1"/>
  <c r="O47" i="233"/>
  <c r="Q17" i="230"/>
  <c r="I17" i="231" s="1"/>
  <c r="L17" i="231" s="1"/>
  <c r="G47" i="233"/>
  <c r="E36" i="233"/>
  <c r="I36" i="233"/>
  <c r="M36" i="233"/>
  <c r="N19" i="230"/>
  <c r="O36" i="230"/>
  <c r="F19" i="233"/>
  <c r="J19" i="233"/>
  <c r="N19" i="233"/>
  <c r="I17" i="232"/>
  <c r="L17" i="232" s="1"/>
  <c r="N47" i="230"/>
  <c r="L47" i="233"/>
  <c r="L36" i="230"/>
  <c r="G19" i="233"/>
  <c r="K19" i="233"/>
  <c r="O19" i="233"/>
  <c r="K47" i="230"/>
  <c r="O47" i="230"/>
  <c r="H47" i="233"/>
  <c r="L47" i="230"/>
  <c r="D39" i="231"/>
  <c r="P47" i="230"/>
  <c r="E47" i="233"/>
  <c r="I47" i="233"/>
  <c r="M47" i="233"/>
  <c r="Q41" i="230"/>
  <c r="I43" i="231" s="1"/>
  <c r="L43" i="231" s="1"/>
  <c r="I42" i="232"/>
  <c r="L42" i="232" s="1"/>
  <c r="M47" i="230"/>
  <c r="F47" i="233"/>
  <c r="J47" i="233"/>
  <c r="N47" i="233"/>
  <c r="Q43" i="230"/>
  <c r="I45" i="231" s="1"/>
  <c r="L45" i="231" s="1"/>
  <c r="I44" i="232"/>
  <c r="L44" i="232" s="1"/>
  <c r="K36" i="230"/>
  <c r="Q30" i="230"/>
  <c r="I30" i="231" s="1"/>
  <c r="D30" i="232"/>
  <c r="P36" i="233"/>
  <c r="Q36" i="233" s="1"/>
  <c r="Q32" i="230"/>
  <c r="I32" i="231" s="1"/>
  <c r="L32" i="231" s="1"/>
  <c r="D36" i="233"/>
  <c r="I30" i="232"/>
  <c r="M36" i="230"/>
  <c r="F36" i="233"/>
  <c r="J36" i="233"/>
  <c r="N36" i="233"/>
  <c r="Q34" i="230"/>
  <c r="I34" i="231" s="1"/>
  <c r="L34" i="231" s="1"/>
  <c r="I34" i="232"/>
  <c r="L34" i="232" s="1"/>
  <c r="P36" i="230"/>
  <c r="D30" i="231"/>
  <c r="I32" i="232"/>
  <c r="L32" i="232" s="1"/>
  <c r="N36" i="230"/>
  <c r="G36" i="233"/>
  <c r="K36" i="233"/>
  <c r="O36" i="233"/>
  <c r="O19" i="230"/>
  <c r="D19" i="233"/>
  <c r="I13" i="232"/>
  <c r="H19" i="233"/>
  <c r="L19" i="233"/>
  <c r="D13" i="232"/>
  <c r="P19" i="233"/>
  <c r="Q19" i="233" s="1"/>
  <c r="L19" i="230"/>
  <c r="Q13" i="230"/>
  <c r="I13" i="231" s="1"/>
  <c r="D13" i="231"/>
  <c r="P19" i="230"/>
  <c r="E19" i="233"/>
  <c r="I19" i="233"/>
  <c r="M19" i="233"/>
  <c r="Q15" i="230"/>
  <c r="I15" i="231" s="1"/>
  <c r="L15" i="231" s="1"/>
  <c r="K19" i="230"/>
  <c r="I15" i="232"/>
  <c r="L15" i="232" s="1"/>
  <c r="D38" i="232" l="1"/>
  <c r="P47" i="233"/>
  <c r="Q47" i="233" s="1"/>
  <c r="D47" i="233"/>
  <c r="I38" i="232"/>
  <c r="Q47" i="230"/>
  <c r="D47" i="231"/>
  <c r="G39" i="231"/>
  <c r="G47" i="231" s="1"/>
  <c r="Q39" i="230"/>
  <c r="I39" i="231" s="1"/>
  <c r="D36" i="231"/>
  <c r="G30" i="231"/>
  <c r="G36" i="231" s="1"/>
  <c r="G30" i="232"/>
  <c r="G36" i="232" s="1"/>
  <c r="D36" i="232"/>
  <c r="L30" i="231"/>
  <c r="L36" i="231" s="1"/>
  <c r="I36" i="231"/>
  <c r="L30" i="232"/>
  <c r="L36" i="232" s="1"/>
  <c r="I36" i="232"/>
  <c r="Q36" i="230"/>
  <c r="G13" i="231"/>
  <c r="G19" i="231" s="1"/>
  <c r="D19" i="231"/>
  <c r="L13" i="232"/>
  <c r="L19" i="232" s="1"/>
  <c r="I19" i="232"/>
  <c r="L13" i="231"/>
  <c r="L19" i="231" s="1"/>
  <c r="I19" i="231"/>
  <c r="G13" i="232"/>
  <c r="G19" i="232" s="1"/>
  <c r="D19" i="232"/>
  <c r="Q19" i="230"/>
  <c r="G38" i="232" l="1"/>
  <c r="G46" i="232" s="1"/>
  <c r="D46" i="232"/>
  <c r="L39" i="231"/>
  <c r="L47" i="231" s="1"/>
  <c r="I47" i="231"/>
  <c r="L38" i="232"/>
  <c r="L46" i="232" s="1"/>
  <c r="I46" i="232"/>
  <c r="D48" i="106" l="1"/>
  <c r="C48" i="106" l="1"/>
  <c r="C81" i="106" l="1"/>
  <c r="C141" i="106" s="1"/>
  <c r="C82" i="106" l="1"/>
  <c r="D92" i="106"/>
  <c r="C83" i="106" l="1"/>
  <c r="C143" i="106" s="1"/>
  <c r="C142" i="106"/>
  <c r="C84" i="106"/>
  <c r="C144" i="106" s="1"/>
  <c r="C85" i="106" l="1"/>
  <c r="C145" i="106" s="1"/>
  <c r="C86" i="106" l="1"/>
  <c r="C146" i="106" s="1"/>
  <c r="C87" i="106" l="1"/>
  <c r="C147" i="106" s="1"/>
  <c r="C88" i="106" l="1"/>
  <c r="C148" i="106" s="1"/>
  <c r="C89" i="106" l="1"/>
  <c r="C149" i="106" s="1"/>
  <c r="C90" i="106" l="1"/>
  <c r="C150" i="106" s="1"/>
  <c r="C91" i="106" l="1"/>
  <c r="C151" i="106" s="1"/>
  <c r="D24" i="137" s="1"/>
  <c r="C96" i="106" l="1"/>
  <c r="C155" i="106" s="1"/>
  <c r="C92" i="106"/>
  <c r="C97" i="106" l="1"/>
  <c r="C156" i="106" s="1"/>
  <c r="C98" i="106" l="1"/>
  <c r="C157" i="106" s="1"/>
  <c r="C99" i="106" l="1"/>
  <c r="C158" i="106" s="1"/>
  <c r="C100" i="106" l="1"/>
  <c r="C159" i="106" s="1"/>
  <c r="C101" i="106" l="1"/>
  <c r="C160" i="106" s="1"/>
  <c r="C102" i="106" l="1"/>
  <c r="C161" i="106" s="1"/>
  <c r="C103" i="106" l="1"/>
  <c r="C162" i="106" s="1"/>
  <c r="C104" i="106" l="1"/>
  <c r="C163" i="106" s="1"/>
  <c r="C105" i="106" l="1"/>
  <c r="C164" i="106" s="1"/>
  <c r="C106" i="106" l="1"/>
  <c r="C165" i="106" s="1"/>
  <c r="C107" i="106" l="1"/>
  <c r="C166" i="106" s="1"/>
  <c r="C108" i="106" l="1"/>
  <c r="C167" i="106" s="1"/>
  <c r="C109" i="106" l="1"/>
  <c r="C168" i="106" s="1"/>
  <c r="C110" i="106" l="1"/>
  <c r="C169" i="106" s="1"/>
  <c r="C111" i="106" l="1"/>
  <c r="C170" i="106" s="1"/>
  <c r="C152" i="106"/>
  <c r="F24" i="137" s="1"/>
  <c r="C112" i="106" l="1"/>
  <c r="C171" i="106" s="1"/>
  <c r="C113" i="106" l="1"/>
  <c r="C172" i="106" s="1"/>
  <c r="C114" i="106" l="1"/>
  <c r="C173" i="106" s="1"/>
  <c r="C115" i="106" l="1"/>
  <c r="C174" i="106" s="1"/>
  <c r="C116" i="106" l="1"/>
  <c r="C175" i="106" s="1"/>
  <c r="C117" i="106" l="1"/>
  <c r="C176" i="106" s="1"/>
  <c r="C118" i="106" l="1"/>
  <c r="C177" i="106" s="1"/>
  <c r="C119" i="106" l="1"/>
  <c r="C178" i="106" s="1"/>
  <c r="H74" i="237" l="1"/>
  <c r="H75" i="237"/>
  <c r="F262" i="209" l="1"/>
  <c r="I262" i="209" s="1"/>
  <c r="F260" i="236"/>
  <c r="I260" i="236" s="1"/>
  <c r="N260" i="236" l="1"/>
  <c r="N262" i="209" l="1"/>
  <c r="F119" i="207" l="1"/>
  <c r="I119" i="207" s="1"/>
  <c r="F181" i="213" l="1"/>
  <c r="I181" i="213" s="1"/>
  <c r="F181" i="207"/>
  <c r="I181" i="207" s="1"/>
  <c r="F227" i="207"/>
  <c r="I227" i="207" l="1"/>
  <c r="F264" i="207"/>
  <c r="I264" i="207" s="1"/>
  <c r="I268" i="207" s="1"/>
  <c r="D268" i="207"/>
  <c r="N181" i="213"/>
  <c r="F119" i="213"/>
  <c r="I119" i="213" s="1"/>
  <c r="D16" i="3" l="1"/>
  <c r="F268" i="207"/>
  <c r="N119" i="213"/>
  <c r="F227" i="213"/>
  <c r="I227" i="213" s="1"/>
  <c r="H29" i="10" l="1"/>
  <c r="H31" i="10" s="1"/>
  <c r="D268" i="213"/>
  <c r="F264" i="213"/>
  <c r="N227" i="213"/>
  <c r="N264" i="213" l="1"/>
  <c r="N268" i="213" s="1"/>
  <c r="F16" i="137" s="1"/>
  <c r="K268" i="213"/>
  <c r="F268" i="213"/>
  <c r="I264" i="213"/>
  <c r="I268" i="213" s="1"/>
  <c r="D16" i="137" l="1"/>
  <c r="G29" i="10" s="1"/>
  <c r="G31" i="10" s="1"/>
  <c r="N227" i="207"/>
  <c r="N119" i="207"/>
  <c r="N181" i="207"/>
  <c r="K268" i="207" l="1"/>
  <c r="N264" i="207"/>
  <c r="N268" i="207" s="1"/>
  <c r="F16" i="3" s="1"/>
  <c r="F96" i="207" l="1"/>
  <c r="I96" i="207" s="1"/>
  <c r="F105" i="207"/>
  <c r="I105" i="207" s="1"/>
  <c r="F109" i="207" l="1"/>
  <c r="I109" i="207" s="1"/>
  <c r="N109" i="207"/>
  <c r="F96" i="236"/>
  <c r="I96" i="236" s="1"/>
  <c r="F96" i="213"/>
  <c r="I96" i="213" s="1"/>
  <c r="N96" i="207"/>
  <c r="N105" i="207"/>
  <c r="F105" i="213"/>
  <c r="I105" i="213" s="1"/>
  <c r="F109" i="213" l="1"/>
  <c r="I109" i="213" s="1"/>
  <c r="N96" i="213"/>
  <c r="N105" i="213"/>
  <c r="N109" i="213" l="1"/>
  <c r="F104" i="207" l="1"/>
  <c r="I104" i="207" s="1"/>
  <c r="F104" i="236"/>
  <c r="I104" i="236" s="1"/>
  <c r="F108" i="207" l="1"/>
  <c r="I108" i="207" s="1"/>
  <c r="N108" i="207"/>
  <c r="N104" i="236"/>
  <c r="N104" i="207"/>
  <c r="F108" i="236"/>
  <c r="I108" i="236" s="1"/>
  <c r="N108" i="236" l="1"/>
  <c r="H96" i="237" l="1"/>
  <c r="F96" i="209" l="1"/>
  <c r="I96" i="209" s="1"/>
  <c r="F259" i="207" l="1"/>
  <c r="I259" i="207" s="1"/>
  <c r="N259" i="207" l="1"/>
  <c r="F244" i="207"/>
  <c r="I244" i="207" s="1"/>
  <c r="F242" i="207"/>
  <c r="I242" i="207" s="1"/>
  <c r="F243" i="207"/>
  <c r="I243" i="207" s="1"/>
  <c r="F241" i="207"/>
  <c r="I241" i="207" s="1"/>
  <c r="F239" i="207"/>
  <c r="I239" i="207" s="1"/>
  <c r="F248" i="207"/>
  <c r="I248" i="207" s="1"/>
  <c r="F260" i="207"/>
  <c r="I260" i="207" s="1"/>
  <c r="F238" i="207"/>
  <c r="I238" i="207" s="1"/>
  <c r="N248" i="207" l="1"/>
  <c r="N260" i="207"/>
  <c r="F245" i="207"/>
  <c r="I245" i="207" s="1"/>
  <c r="F247" i="207"/>
  <c r="I247" i="207" s="1"/>
  <c r="F253" i="207"/>
  <c r="I253" i="207" s="1"/>
  <c r="F256" i="207"/>
  <c r="I256" i="207" s="1"/>
  <c r="F249" i="207"/>
  <c r="I249" i="207" s="1"/>
  <c r="N243" i="207"/>
  <c r="N244" i="207"/>
  <c r="F251" i="207"/>
  <c r="I251" i="207" s="1"/>
  <c r="F255" i="207"/>
  <c r="I255" i="207" s="1"/>
  <c r="F257" i="207"/>
  <c r="I257" i="207" s="1"/>
  <c r="F250" i="207"/>
  <c r="I250" i="207" s="1"/>
  <c r="F246" i="207"/>
  <c r="I246" i="207" s="1"/>
  <c r="F254" i="207"/>
  <c r="I254" i="207" s="1"/>
  <c r="N238" i="207"/>
  <c r="N239" i="207"/>
  <c r="N241" i="207"/>
  <c r="N242" i="207"/>
  <c r="F245" i="213" l="1"/>
  <c r="I245" i="213" s="1"/>
  <c r="N250" i="207"/>
  <c r="N255" i="207"/>
  <c r="N249" i="207"/>
  <c r="N254" i="207"/>
  <c r="N253" i="207"/>
  <c r="F258" i="207"/>
  <c r="I258" i="207" s="1"/>
  <c r="N257" i="207"/>
  <c r="N251" i="207"/>
  <c r="N256" i="207"/>
  <c r="F252" i="207"/>
  <c r="I252" i="207" s="1"/>
  <c r="N247" i="207"/>
  <c r="N245" i="207"/>
  <c r="N246" i="207"/>
  <c r="F246" i="213"/>
  <c r="I246" i="213" s="1"/>
  <c r="F240" i="207"/>
  <c r="I240" i="207" s="1"/>
  <c r="F247" i="213"/>
  <c r="I247" i="213" s="1"/>
  <c r="N245" i="213" l="1"/>
  <c r="F252" i="213"/>
  <c r="I252" i="213" s="1"/>
  <c r="F240" i="213"/>
  <c r="I240" i="213" s="1"/>
  <c r="F258" i="213"/>
  <c r="I258" i="213" s="1"/>
  <c r="N252" i="207"/>
  <c r="F257" i="213"/>
  <c r="I257" i="213" s="1"/>
  <c r="F254" i="213"/>
  <c r="I254" i="213" s="1"/>
  <c r="F249" i="213"/>
  <c r="I249" i="213" s="1"/>
  <c r="F250" i="213"/>
  <c r="I250" i="213" s="1"/>
  <c r="N258" i="207"/>
  <c r="F256" i="213"/>
  <c r="I256" i="213" s="1"/>
  <c r="F251" i="213"/>
  <c r="I251" i="213" s="1"/>
  <c r="F253" i="213"/>
  <c r="I253" i="213" s="1"/>
  <c r="F255" i="213"/>
  <c r="I255" i="213" s="1"/>
  <c r="N240" i="207"/>
  <c r="N247" i="213"/>
  <c r="N246" i="213"/>
  <c r="N250" i="213" l="1"/>
  <c r="N254" i="213"/>
  <c r="N255" i="213"/>
  <c r="N253" i="213"/>
  <c r="N251" i="213"/>
  <c r="N249" i="213"/>
  <c r="F104" i="213"/>
  <c r="I104" i="213" s="1"/>
  <c r="H104" i="237"/>
  <c r="N257" i="213"/>
  <c r="N252" i="213"/>
  <c r="N258" i="213"/>
  <c r="N256" i="213"/>
  <c r="N240" i="213"/>
  <c r="F233" i="207"/>
  <c r="I233" i="207" s="1"/>
  <c r="F234" i="207"/>
  <c r="I234" i="207" s="1"/>
  <c r="F232" i="207" l="1"/>
  <c r="F108" i="213"/>
  <c r="I108" i="213" s="1"/>
  <c r="N108" i="213"/>
  <c r="H108" i="237"/>
  <c r="F104" i="209"/>
  <c r="I104" i="209" s="1"/>
  <c r="N104" i="213"/>
  <c r="N233" i="207"/>
  <c r="F237" i="207"/>
  <c r="I237" i="207" s="1"/>
  <c r="N234" i="207"/>
  <c r="F235" i="207"/>
  <c r="I235" i="207" s="1"/>
  <c r="F236" i="207"/>
  <c r="I236" i="207" s="1"/>
  <c r="N232" i="207" l="1"/>
  <c r="D262" i="207"/>
  <c r="I232" i="207"/>
  <c r="I262" i="207" s="1"/>
  <c r="F262" i="207"/>
  <c r="N104" i="209"/>
  <c r="N108" i="209"/>
  <c r="N235" i="207"/>
  <c r="N236" i="207"/>
  <c r="N237" i="207"/>
  <c r="F108" i="209" l="1"/>
  <c r="I108" i="209" s="1"/>
  <c r="K262" i="207"/>
  <c r="N262" i="207"/>
  <c r="F259" i="213" l="1"/>
  <c r="I259" i="213" s="1"/>
  <c r="F238" i="213" l="1"/>
  <c r="I238" i="213" s="1"/>
  <c r="F242" i="213"/>
  <c r="I242" i="213" s="1"/>
  <c r="N259" i="213"/>
  <c r="F239" i="213"/>
  <c r="I239" i="213" s="1"/>
  <c r="F243" i="213"/>
  <c r="I243" i="213" s="1"/>
  <c r="F244" i="213"/>
  <c r="I244" i="213" s="1"/>
  <c r="F260" i="213"/>
  <c r="I260" i="213" s="1"/>
  <c r="F248" i="213"/>
  <c r="I248" i="213" s="1"/>
  <c r="F241" i="213"/>
  <c r="I241" i="213" s="1"/>
  <c r="N241" i="213" l="1"/>
  <c r="N260" i="213"/>
  <c r="N243" i="213"/>
  <c r="N238" i="213"/>
  <c r="N248" i="213"/>
  <c r="N244" i="213"/>
  <c r="N239" i="213"/>
  <c r="N242" i="213"/>
  <c r="F232" i="213" l="1"/>
  <c r="F234" i="213"/>
  <c r="I234" i="213" s="1"/>
  <c r="N232" i="213" l="1"/>
  <c r="I232" i="213"/>
  <c r="N234" i="213"/>
  <c r="F237" i="213" l="1"/>
  <c r="I237" i="213" s="1"/>
  <c r="F233" i="213" l="1"/>
  <c r="N237" i="213"/>
  <c r="F236" i="213"/>
  <c r="I236" i="213" s="1"/>
  <c r="F235" i="213"/>
  <c r="I235" i="213" s="1"/>
  <c r="I233" i="213" l="1"/>
  <c r="I262" i="213" s="1"/>
  <c r="F262" i="213"/>
  <c r="N233" i="213"/>
  <c r="D262" i="213"/>
  <c r="N235" i="213"/>
  <c r="N236" i="213"/>
  <c r="K262" i="213" l="1"/>
  <c r="N262" i="213"/>
  <c r="F167" i="207" l="1"/>
  <c r="I167" i="207" s="1"/>
  <c r="F167" i="213" l="1"/>
  <c r="I167" i="213" s="1"/>
  <c r="N167" i="207"/>
  <c r="N167" i="213" l="1"/>
  <c r="F163" i="207" l="1"/>
  <c r="I163" i="207" s="1"/>
  <c r="F164" i="207"/>
  <c r="I164" i="207" s="1"/>
  <c r="F159" i="207"/>
  <c r="I159" i="207" s="1"/>
  <c r="F160" i="236"/>
  <c r="I160" i="236" s="1"/>
  <c r="F161" i="207"/>
  <c r="I161" i="207" s="1"/>
  <c r="F160" i="207"/>
  <c r="I160" i="207" s="1"/>
  <c r="F161" i="236"/>
  <c r="I161" i="236" s="1"/>
  <c r="F166" i="207"/>
  <c r="I166" i="207" s="1"/>
  <c r="F167" i="236"/>
  <c r="I167" i="236" s="1"/>
  <c r="F162" i="207"/>
  <c r="I162" i="207" s="1"/>
  <c r="F163" i="236"/>
  <c r="I163" i="236" s="1"/>
  <c r="F165" i="207"/>
  <c r="I165" i="207" s="1"/>
  <c r="N163" i="236" l="1"/>
  <c r="N160" i="236"/>
  <c r="F164" i="213"/>
  <c r="I164" i="213" s="1"/>
  <c r="F163" i="213"/>
  <c r="I163" i="213" s="1"/>
  <c r="N167" i="236"/>
  <c r="N161" i="236"/>
  <c r="F165" i="213"/>
  <c r="I165" i="213" s="1"/>
  <c r="F161" i="213"/>
  <c r="I161" i="213" s="1"/>
  <c r="N166" i="207"/>
  <c r="N162" i="207"/>
  <c r="N160" i="207"/>
  <c r="N159" i="207"/>
  <c r="N165" i="207"/>
  <c r="N164" i="207"/>
  <c r="N161" i="207"/>
  <c r="N163" i="207"/>
  <c r="N164" i="213" l="1"/>
  <c r="N161" i="213"/>
  <c r="N163" i="213"/>
  <c r="N165" i="213"/>
  <c r="F155" i="207" l="1"/>
  <c r="F125" i="207"/>
  <c r="I125" i="207" s="1"/>
  <c r="F124" i="207" l="1"/>
  <c r="D127" i="207"/>
  <c r="N155" i="207"/>
  <c r="I155" i="207"/>
  <c r="F172" i="207"/>
  <c r="I172" i="207" s="1"/>
  <c r="F171" i="207"/>
  <c r="I171" i="207" s="1"/>
  <c r="N125" i="207"/>
  <c r="F173" i="207"/>
  <c r="I173" i="207" s="1"/>
  <c r="F174" i="207"/>
  <c r="I174" i="207" s="1"/>
  <c r="F170" i="207"/>
  <c r="I170" i="207" s="1"/>
  <c r="F169" i="207"/>
  <c r="I169" i="207" s="1"/>
  <c r="F157" i="207"/>
  <c r="I157" i="207" s="1"/>
  <c r="F168" i="207"/>
  <c r="I168" i="207" s="1"/>
  <c r="F156" i="207" l="1"/>
  <c r="K127" i="207"/>
  <c r="N124" i="207"/>
  <c r="N127" i="207" s="1"/>
  <c r="I124" i="207"/>
  <c r="I127" i="207" s="1"/>
  <c r="F127" i="207"/>
  <c r="F173" i="236"/>
  <c r="I173" i="236" s="1"/>
  <c r="F168" i="236"/>
  <c r="I168" i="236" s="1"/>
  <c r="N172" i="207"/>
  <c r="F162" i="236"/>
  <c r="I162" i="236" s="1"/>
  <c r="F166" i="236"/>
  <c r="I166" i="236" s="1"/>
  <c r="N168" i="236"/>
  <c r="F126" i="236"/>
  <c r="I126" i="236" s="1"/>
  <c r="F156" i="236"/>
  <c r="N174" i="207"/>
  <c r="N173" i="207"/>
  <c r="N171" i="207"/>
  <c r="N170" i="207"/>
  <c r="N157" i="207"/>
  <c r="N168" i="207"/>
  <c r="F175" i="207"/>
  <c r="I175" i="207" s="1"/>
  <c r="F158" i="207"/>
  <c r="I158" i="207" s="1"/>
  <c r="F158" i="236"/>
  <c r="I158" i="236" s="1"/>
  <c r="N169" i="207"/>
  <c r="I156" i="236" l="1"/>
  <c r="D177" i="207"/>
  <c r="D179" i="207" s="1"/>
  <c r="N156" i="207"/>
  <c r="I156" i="207"/>
  <c r="I177" i="207" s="1"/>
  <c r="I179" i="207" s="1"/>
  <c r="F177" i="207"/>
  <c r="F179" i="207" s="1"/>
  <c r="F171" i="236"/>
  <c r="I171" i="236" s="1"/>
  <c r="F172" i="236"/>
  <c r="I172" i="236" s="1"/>
  <c r="N166" i="236"/>
  <c r="N162" i="236"/>
  <c r="N126" i="236"/>
  <c r="F157" i="236"/>
  <c r="I157" i="236" s="1"/>
  <c r="F174" i="236"/>
  <c r="I174" i="236" s="1"/>
  <c r="F170" i="236"/>
  <c r="I170" i="236" s="1"/>
  <c r="N173" i="236"/>
  <c r="F175" i="236"/>
  <c r="I175" i="236" s="1"/>
  <c r="N158" i="236"/>
  <c r="N158" i="207"/>
  <c r="N175" i="207"/>
  <c r="N171" i="236" l="1"/>
  <c r="N177" i="207"/>
  <c r="N179" i="207" s="1"/>
  <c r="N156" i="236"/>
  <c r="K177" i="207"/>
  <c r="K179" i="207" s="1"/>
  <c r="F164" i="236"/>
  <c r="I164" i="236" s="1"/>
  <c r="F165" i="236"/>
  <c r="I165" i="236" s="1"/>
  <c r="N175" i="236"/>
  <c r="N174" i="236"/>
  <c r="N157" i="236"/>
  <c r="N170" i="236"/>
  <c r="F159" i="236"/>
  <c r="I159" i="236" s="1"/>
  <c r="F176" i="236"/>
  <c r="I176" i="236" s="1"/>
  <c r="N172" i="236"/>
  <c r="F169" i="236"/>
  <c r="I169" i="236" s="1"/>
  <c r="I179" i="236" l="1"/>
  <c r="F179" i="236"/>
  <c r="N176" i="236"/>
  <c r="N164" i="236"/>
  <c r="N165" i="236"/>
  <c r="N159" i="236"/>
  <c r="N169" i="236"/>
  <c r="D179" i="236" l="1"/>
  <c r="D128" i="236" l="1"/>
  <c r="D181" i="236" s="1"/>
  <c r="F125" i="236"/>
  <c r="K128" i="236" l="1"/>
  <c r="N125" i="236"/>
  <c r="N128" i="236" s="1"/>
  <c r="F128" i="236"/>
  <c r="F181" i="236" s="1"/>
  <c r="I125" i="236"/>
  <c r="I128" i="236" s="1"/>
  <c r="I181" i="236" s="1"/>
  <c r="N177" i="236"/>
  <c r="N179" i="236" s="1"/>
  <c r="K179" i="236"/>
  <c r="F162" i="213"/>
  <c r="I162" i="213" s="1"/>
  <c r="H163" i="237"/>
  <c r="F166" i="213"/>
  <c r="I166" i="213" s="1"/>
  <c r="H167" i="237"/>
  <c r="F159" i="213"/>
  <c r="I159" i="213" s="1"/>
  <c r="H160" i="237"/>
  <c r="F160" i="213"/>
  <c r="I160" i="213" s="1"/>
  <c r="H161" i="237"/>
  <c r="N181" i="236" l="1"/>
  <c r="K181" i="236"/>
  <c r="F169" i="209"/>
  <c r="I169" i="209" s="1"/>
  <c r="F165" i="209"/>
  <c r="I165" i="209" s="1"/>
  <c r="F162" i="209"/>
  <c r="I162" i="209" s="1"/>
  <c r="N159" i="213"/>
  <c r="N162" i="213"/>
  <c r="N160" i="213"/>
  <c r="N166" i="213"/>
  <c r="F163" i="209"/>
  <c r="I163" i="209" s="1"/>
  <c r="N162" i="209" l="1"/>
  <c r="N165" i="209"/>
  <c r="N163" i="209"/>
  <c r="N169" i="209"/>
  <c r="F124" i="213" l="1"/>
  <c r="I124" i="213" l="1"/>
  <c r="N124" i="213"/>
  <c r="F169" i="213"/>
  <c r="I169" i="213" s="1"/>
  <c r="H126" i="237" l="1"/>
  <c r="N169" i="213"/>
  <c r="F171" i="213"/>
  <c r="I171" i="213" s="1"/>
  <c r="F125" i="213" l="1"/>
  <c r="D127" i="213"/>
  <c r="F155" i="213"/>
  <c r="F157" i="213"/>
  <c r="I157" i="213" s="1"/>
  <c r="N171" i="213"/>
  <c r="N125" i="213" l="1"/>
  <c r="N127" i="213" s="1"/>
  <c r="K127" i="213"/>
  <c r="I155" i="213"/>
  <c r="N155" i="213"/>
  <c r="I125" i="213"/>
  <c r="I127" i="213" s="1"/>
  <c r="F127" i="213"/>
  <c r="H158" i="237"/>
  <c r="H166" i="237"/>
  <c r="F158" i="209"/>
  <c r="N157" i="213"/>
  <c r="F174" i="213"/>
  <c r="I174" i="213" s="1"/>
  <c r="F128" i="209"/>
  <c r="I128" i="209" s="1"/>
  <c r="I158" i="209" l="1"/>
  <c r="F156" i="213"/>
  <c r="H156" i="237"/>
  <c r="H172" i="237"/>
  <c r="H170" i="237"/>
  <c r="F168" i="209"/>
  <c r="I168" i="209" s="1"/>
  <c r="N174" i="213"/>
  <c r="F160" i="209"/>
  <c r="I160" i="209" s="1"/>
  <c r="F170" i="213"/>
  <c r="I170" i="213" s="1"/>
  <c r="N128" i="209"/>
  <c r="F172" i="213"/>
  <c r="I172" i="213" s="1"/>
  <c r="F158" i="213"/>
  <c r="I158" i="213" s="1"/>
  <c r="N156" i="213" l="1"/>
  <c r="I156" i="213"/>
  <c r="N158" i="209"/>
  <c r="F174" i="209"/>
  <c r="I174" i="209" s="1"/>
  <c r="H171" i="237"/>
  <c r="F172" i="209"/>
  <c r="I172" i="209" s="1"/>
  <c r="H168" i="237"/>
  <c r="H173" i="237"/>
  <c r="N168" i="209"/>
  <c r="H159" i="237"/>
  <c r="N160" i="209"/>
  <c r="F168" i="213"/>
  <c r="I168" i="213" s="1"/>
  <c r="N158" i="213"/>
  <c r="N170" i="213"/>
  <c r="N172" i="213"/>
  <c r="F159" i="209"/>
  <c r="F173" i="213"/>
  <c r="I173" i="213" s="1"/>
  <c r="N174" i="209" l="1"/>
  <c r="H157" i="237"/>
  <c r="I159" i="209"/>
  <c r="F173" i="209"/>
  <c r="I173" i="209" s="1"/>
  <c r="N172" i="209"/>
  <c r="F170" i="209"/>
  <c r="I170" i="209" s="1"/>
  <c r="H169" i="237"/>
  <c r="F175" i="209"/>
  <c r="I175" i="209" s="1"/>
  <c r="H174" i="237"/>
  <c r="H165" i="237"/>
  <c r="F167" i="209"/>
  <c r="I167" i="209" s="1"/>
  <c r="N168" i="213"/>
  <c r="N173" i="213"/>
  <c r="F175" i="213"/>
  <c r="I175" i="213" s="1"/>
  <c r="I177" i="213" s="1"/>
  <c r="I179" i="213" s="1"/>
  <c r="F161" i="209"/>
  <c r="I161" i="209" s="1"/>
  <c r="N173" i="209" l="1"/>
  <c r="N159" i="209"/>
  <c r="D177" i="213"/>
  <c r="D179" i="213" s="1"/>
  <c r="F177" i="213"/>
  <c r="F179" i="213" s="1"/>
  <c r="N170" i="209"/>
  <c r="F171" i="209"/>
  <c r="I171" i="209" s="1"/>
  <c r="N175" i="209"/>
  <c r="H175" i="237"/>
  <c r="H176" i="237"/>
  <c r="F176" i="209"/>
  <c r="I176" i="209" s="1"/>
  <c r="N167" i="209"/>
  <c r="N175" i="213"/>
  <c r="N177" i="213" s="1"/>
  <c r="N179" i="213" s="1"/>
  <c r="N161" i="209"/>
  <c r="K177" i="213" l="1"/>
  <c r="K179" i="213" s="1"/>
  <c r="F177" i="209"/>
  <c r="I177" i="209" s="1"/>
  <c r="N176" i="209"/>
  <c r="N171" i="209"/>
  <c r="F164" i="209"/>
  <c r="I164" i="209" s="1"/>
  <c r="F178" i="209"/>
  <c r="I178" i="209" s="1"/>
  <c r="H162" i="237" l="1"/>
  <c r="N177" i="209"/>
  <c r="N164" i="209"/>
  <c r="H164" i="237"/>
  <c r="N178" i="209"/>
  <c r="D179" i="237" l="1"/>
  <c r="H179" i="237"/>
  <c r="F166" i="209"/>
  <c r="I166" i="209" l="1"/>
  <c r="N166" i="209"/>
  <c r="D128" i="237" l="1"/>
  <c r="D181" i="237" s="1"/>
  <c r="H125" i="237"/>
  <c r="H128" i="237" s="1"/>
  <c r="H181" i="237" s="1"/>
  <c r="F127" i="209" l="1"/>
  <c r="D130" i="209"/>
  <c r="D181" i="209" l="1"/>
  <c r="D183" i="209" s="1"/>
  <c r="F179" i="209"/>
  <c r="K130" i="209"/>
  <c r="N127" i="209"/>
  <c r="N130" i="209" s="1"/>
  <c r="I127" i="209"/>
  <c r="I130" i="209" s="1"/>
  <c r="F130" i="209"/>
  <c r="I179" i="209" l="1"/>
  <c r="I181" i="209" s="1"/>
  <c r="I183" i="209" s="1"/>
  <c r="F181" i="209"/>
  <c r="F183" i="209" s="1"/>
  <c r="N179" i="209"/>
  <c r="N181" i="209" s="1"/>
  <c r="N183" i="209" s="1"/>
  <c r="K181" i="209"/>
  <c r="K183" i="209" s="1"/>
  <c r="F195" i="207" l="1"/>
  <c r="I195" i="207" s="1"/>
  <c r="N195" i="207" l="1"/>
  <c r="F195" i="213"/>
  <c r="I195" i="213" s="1"/>
  <c r="F199" i="207"/>
  <c r="I199" i="207" s="1"/>
  <c r="F193" i="207"/>
  <c r="I193" i="207" s="1"/>
  <c r="F210" i="207"/>
  <c r="I210" i="207" s="1"/>
  <c r="F206" i="207"/>
  <c r="I206" i="207" s="1"/>
  <c r="F201" i="207"/>
  <c r="I201" i="207" s="1"/>
  <c r="F202" i="207"/>
  <c r="I202" i="207" s="1"/>
  <c r="F215" i="207"/>
  <c r="I215" i="207" s="1"/>
  <c r="F209" i="207"/>
  <c r="I209" i="207" s="1"/>
  <c r="F213" i="207"/>
  <c r="I213" i="207" s="1"/>
  <c r="F198" i="207"/>
  <c r="I198" i="207" s="1"/>
  <c r="F194" i="207"/>
  <c r="I194" i="207" s="1"/>
  <c r="F219" i="207"/>
  <c r="I219" i="207" s="1"/>
  <c r="F191" i="207"/>
  <c r="I191" i="207" s="1"/>
  <c r="F197" i="207"/>
  <c r="I197" i="207" s="1"/>
  <c r="F214" i="207"/>
  <c r="I214" i="207" s="1"/>
  <c r="F212" i="207"/>
  <c r="I212" i="207" s="1"/>
  <c r="F204" i="207"/>
  <c r="I204" i="207" s="1"/>
  <c r="F211" i="207"/>
  <c r="I211" i="207" s="1"/>
  <c r="F207" i="207"/>
  <c r="I207" i="207" s="1"/>
  <c r="F208" i="207"/>
  <c r="I208" i="207" s="1"/>
  <c r="F214" i="213" l="1"/>
  <c r="I214" i="213" s="1"/>
  <c r="F209" i="213"/>
  <c r="I209" i="213" s="1"/>
  <c r="F208" i="213"/>
  <c r="I208" i="213" s="1"/>
  <c r="F211" i="213"/>
  <c r="I211" i="213" s="1"/>
  <c r="F204" i="213"/>
  <c r="I204" i="213" s="1"/>
  <c r="F219" i="213"/>
  <c r="I219" i="213" s="1"/>
  <c r="F198" i="213"/>
  <c r="I198" i="213" s="1"/>
  <c r="F201" i="213"/>
  <c r="I201" i="213" s="1"/>
  <c r="F215" i="213"/>
  <c r="I215" i="213" s="1"/>
  <c r="F210" i="213"/>
  <c r="I210" i="213" s="1"/>
  <c r="F199" i="213"/>
  <c r="I199" i="213" s="1"/>
  <c r="F212" i="213"/>
  <c r="I212" i="213" s="1"/>
  <c r="F194" i="213"/>
  <c r="I194" i="213" s="1"/>
  <c r="F213" i="213"/>
  <c r="I213" i="213" s="1"/>
  <c r="F202" i="213"/>
  <c r="I202" i="213" s="1"/>
  <c r="F206" i="213"/>
  <c r="I206" i="213" s="1"/>
  <c r="N195" i="213"/>
  <c r="N215" i="207"/>
  <c r="N202" i="207"/>
  <c r="N204" i="207"/>
  <c r="N214" i="207"/>
  <c r="N197" i="207"/>
  <c r="N193" i="207"/>
  <c r="N208" i="207"/>
  <c r="N206" i="207"/>
  <c r="N194" i="207"/>
  <c r="N211" i="207"/>
  <c r="N212" i="207"/>
  <c r="F197" i="213"/>
  <c r="I197" i="213" s="1"/>
  <c r="N198" i="207"/>
  <c r="N213" i="207"/>
  <c r="N201" i="207"/>
  <c r="N210" i="207"/>
  <c r="N199" i="207"/>
  <c r="N207" i="207"/>
  <c r="N191" i="207"/>
  <c r="N219" i="207"/>
  <c r="N209" i="207"/>
  <c r="F193" i="213"/>
  <c r="I193" i="213" s="1"/>
  <c r="N204" i="213" l="1"/>
  <c r="N206" i="213"/>
  <c r="N209" i="213"/>
  <c r="N211" i="213"/>
  <c r="N215" i="213"/>
  <c r="N202" i="213"/>
  <c r="N214" i="213"/>
  <c r="F207" i="213"/>
  <c r="I207" i="213" s="1"/>
  <c r="N194" i="213"/>
  <c r="F191" i="213"/>
  <c r="I191" i="213" s="1"/>
  <c r="N199" i="213"/>
  <c r="N213" i="213"/>
  <c r="N198" i="213"/>
  <c r="N197" i="213"/>
  <c r="N212" i="213"/>
  <c r="N193" i="213"/>
  <c r="N210" i="213"/>
  <c r="N201" i="213"/>
  <c r="N208" i="213"/>
  <c r="N219" i="213"/>
  <c r="N207" i="213" l="1"/>
  <c r="N191" i="213"/>
  <c r="F223" i="236" l="1"/>
  <c r="I223" i="236" s="1"/>
  <c r="F190" i="207"/>
  <c r="I190" i="207" s="1"/>
  <c r="F222" i="207"/>
  <c r="I222" i="207" s="1"/>
  <c r="F217" i="207"/>
  <c r="I217" i="207" s="1"/>
  <c r="F196" i="207"/>
  <c r="I196" i="207" s="1"/>
  <c r="F216" i="207"/>
  <c r="I216" i="207" s="1"/>
  <c r="F189" i="207"/>
  <c r="I189" i="207" s="1"/>
  <c r="F221" i="207"/>
  <c r="I221" i="207" s="1"/>
  <c r="F205" i="207"/>
  <c r="I205" i="207" s="1"/>
  <c r="F218" i="207"/>
  <c r="I218" i="207" s="1"/>
  <c r="F223" i="207"/>
  <c r="I223" i="207" s="1"/>
  <c r="F220" i="207"/>
  <c r="I220" i="207" s="1"/>
  <c r="F200" i="207"/>
  <c r="I200" i="207" s="1"/>
  <c r="F203" i="207"/>
  <c r="I203" i="207" s="1"/>
  <c r="F192" i="207"/>
  <c r="I192" i="207" s="1"/>
  <c r="N203" i="207" l="1"/>
  <c r="F190" i="236"/>
  <c r="I190" i="236" s="1"/>
  <c r="N200" i="207"/>
  <c r="F189" i="236"/>
  <c r="I189" i="236" s="1"/>
  <c r="N192" i="207"/>
  <c r="N205" i="207"/>
  <c r="N189" i="207"/>
  <c r="N196" i="207"/>
  <c r="N222" i="207"/>
  <c r="N220" i="207"/>
  <c r="N217" i="207"/>
  <c r="N223" i="207"/>
  <c r="N218" i="207"/>
  <c r="N221" i="207"/>
  <c r="N216" i="207"/>
  <c r="N190" i="207"/>
  <c r="F222" i="236" l="1"/>
  <c r="I222" i="236" s="1"/>
  <c r="F221" i="236"/>
  <c r="I221" i="236" s="1"/>
  <c r="F220" i="236"/>
  <c r="I220" i="236" s="1"/>
  <c r="N190" i="236"/>
  <c r="N221" i="236"/>
  <c r="N222" i="236"/>
  <c r="N220" i="236"/>
  <c r="N189" i="236"/>
  <c r="F192" i="213" l="1"/>
  <c r="I192" i="213" s="1"/>
  <c r="F203" i="213"/>
  <c r="I203" i="213" s="1"/>
  <c r="F189" i="213"/>
  <c r="I189" i="213" s="1"/>
  <c r="F216" i="213"/>
  <c r="I216" i="213" s="1"/>
  <c r="F200" i="213"/>
  <c r="I200" i="213" s="1"/>
  <c r="F222" i="213"/>
  <c r="I222" i="213" s="1"/>
  <c r="F190" i="213"/>
  <c r="I190" i="213" s="1"/>
  <c r="F218" i="213"/>
  <c r="I218" i="213" s="1"/>
  <c r="F221" i="213"/>
  <c r="I221" i="213" s="1"/>
  <c r="F205" i="213"/>
  <c r="I205" i="213" s="1"/>
  <c r="F217" i="213"/>
  <c r="I217" i="213" s="1"/>
  <c r="F223" i="213"/>
  <c r="I223" i="213" s="1"/>
  <c r="F220" i="213"/>
  <c r="I220" i="213" s="1"/>
  <c r="F196" i="213"/>
  <c r="I196" i="213" s="1"/>
  <c r="H190" i="237" l="1"/>
  <c r="H189" i="237"/>
  <c r="N223" i="213"/>
  <c r="N205" i="213"/>
  <c r="N222" i="213"/>
  <c r="N216" i="213"/>
  <c r="N203" i="213"/>
  <c r="N217" i="213"/>
  <c r="N220" i="213"/>
  <c r="N221" i="213"/>
  <c r="N190" i="213"/>
  <c r="N200" i="213"/>
  <c r="N189" i="213"/>
  <c r="N192" i="213"/>
  <c r="N196" i="213"/>
  <c r="N218" i="213"/>
  <c r="F191" i="209" l="1"/>
  <c r="I191" i="209" s="1"/>
  <c r="F192" i="209"/>
  <c r="I192" i="209" s="1"/>
  <c r="N192" i="209"/>
  <c r="N191" i="209"/>
  <c r="F219" i="236" l="1"/>
  <c r="I219" i="236" s="1"/>
  <c r="N219" i="236"/>
  <c r="F218" i="236" l="1"/>
  <c r="I218" i="236" s="1"/>
  <c r="N218" i="236"/>
  <c r="F213" i="236" l="1"/>
  <c r="I213" i="236" s="1"/>
  <c r="N213" i="236"/>
  <c r="F187" i="207"/>
  <c r="I187" i="207" s="1"/>
  <c r="F188" i="207"/>
  <c r="I188" i="207" s="1"/>
  <c r="F211" i="236" l="1"/>
  <c r="I211" i="236" s="1"/>
  <c r="F212" i="236"/>
  <c r="I212" i="236" s="1"/>
  <c r="F216" i="236"/>
  <c r="I216" i="236" s="1"/>
  <c r="F217" i="236"/>
  <c r="I217" i="236" s="1"/>
  <c r="N211" i="236"/>
  <c r="N212" i="236"/>
  <c r="N217" i="236"/>
  <c r="N216" i="236"/>
  <c r="F187" i="236"/>
  <c r="I187" i="236" s="1"/>
  <c r="N188" i="207"/>
  <c r="N187" i="207"/>
  <c r="F192" i="236" l="1"/>
  <c r="I192" i="236" s="1"/>
  <c r="F209" i="236"/>
  <c r="I209" i="236" s="1"/>
  <c r="F215" i="236"/>
  <c r="I215" i="236" s="1"/>
  <c r="F200" i="236"/>
  <c r="I200" i="236" s="1"/>
  <c r="F210" i="236"/>
  <c r="I210" i="236" s="1"/>
  <c r="F205" i="236"/>
  <c r="I205" i="236" s="1"/>
  <c r="F196" i="236"/>
  <c r="I196" i="236" s="1"/>
  <c r="F193" i="236"/>
  <c r="I193" i="236" s="1"/>
  <c r="F214" i="236"/>
  <c r="I214" i="236" s="1"/>
  <c r="N215" i="236"/>
  <c r="N210" i="236"/>
  <c r="F191" i="236"/>
  <c r="I191" i="236" s="1"/>
  <c r="N209" i="236"/>
  <c r="N214" i="236"/>
  <c r="N205" i="236"/>
  <c r="N196" i="236"/>
  <c r="N200" i="236"/>
  <c r="N193" i="236"/>
  <c r="N192" i="236"/>
  <c r="F188" i="236"/>
  <c r="I188" i="236" s="1"/>
  <c r="N187" i="236"/>
  <c r="F202" i="236" l="1"/>
  <c r="I202" i="236" s="1"/>
  <c r="F194" i="236"/>
  <c r="I194" i="236" s="1"/>
  <c r="F204" i="236"/>
  <c r="I204" i="236" s="1"/>
  <c r="F195" i="236"/>
  <c r="I195" i="236" s="1"/>
  <c r="F197" i="236"/>
  <c r="I197" i="236" s="1"/>
  <c r="F201" i="236"/>
  <c r="I201" i="236" s="1"/>
  <c r="F199" i="236"/>
  <c r="I199" i="236" s="1"/>
  <c r="F203" i="236"/>
  <c r="I203" i="236" s="1"/>
  <c r="N202" i="236"/>
  <c r="N199" i="236"/>
  <c r="N195" i="236"/>
  <c r="N204" i="236"/>
  <c r="N201" i="236"/>
  <c r="N194" i="236"/>
  <c r="N197" i="236"/>
  <c r="N203" i="236"/>
  <c r="N191" i="236"/>
  <c r="N188" i="236"/>
  <c r="F206" i="236" l="1"/>
  <c r="I206" i="236" s="1"/>
  <c r="F198" i="236"/>
  <c r="I198" i="236" s="1"/>
  <c r="F207" i="236"/>
  <c r="I207" i="236" s="1"/>
  <c r="F208" i="236"/>
  <c r="I208" i="236" s="1"/>
  <c r="N206" i="236"/>
  <c r="N198" i="236"/>
  <c r="N208" i="236"/>
  <c r="N207" i="236"/>
  <c r="H223" i="237" l="1"/>
  <c r="H222" i="237" l="1"/>
  <c r="H219" i="237"/>
  <c r="F225" i="209" l="1"/>
  <c r="I225" i="209" s="1"/>
  <c r="H221" i="237"/>
  <c r="N223" i="209"/>
  <c r="N225" i="209"/>
  <c r="H220" i="237"/>
  <c r="F224" i="209" l="1"/>
  <c r="I224" i="209" s="1"/>
  <c r="F221" i="209"/>
  <c r="I221" i="209" s="1"/>
  <c r="F223" i="209"/>
  <c r="I223" i="209" s="1"/>
  <c r="F222" i="209"/>
  <c r="I222" i="209" s="1"/>
  <c r="N221" i="209"/>
  <c r="N224" i="209"/>
  <c r="N222" i="209"/>
  <c r="H218" i="237"/>
  <c r="F187" i="213"/>
  <c r="I187" i="213" s="1"/>
  <c r="F220" i="209" l="1"/>
  <c r="I220" i="209" s="1"/>
  <c r="N220" i="209"/>
  <c r="N187" i="213"/>
  <c r="F188" i="213"/>
  <c r="I188" i="213" s="1"/>
  <c r="F190" i="209" l="1"/>
  <c r="I190" i="209" s="1"/>
  <c r="H212" i="237"/>
  <c r="N188" i="213"/>
  <c r="F189" i="209"/>
  <c r="I189" i="209" s="1"/>
  <c r="H187" i="237"/>
  <c r="H188" i="237" l="1"/>
  <c r="H217" i="237"/>
  <c r="F219" i="209"/>
  <c r="I219" i="209" s="1"/>
  <c r="H213" i="237"/>
  <c r="H193" i="237"/>
  <c r="H215" i="237"/>
  <c r="H214" i="237"/>
  <c r="H211" i="237"/>
  <c r="H216" i="237"/>
  <c r="H207" i="237"/>
  <c r="H206" i="237"/>
  <c r="N190" i="209"/>
  <c r="H191" i="237"/>
  <c r="N189" i="209"/>
  <c r="F213" i="209" l="1"/>
  <c r="I213" i="209" s="1"/>
  <c r="F214" i="209"/>
  <c r="I214" i="209" s="1"/>
  <c r="F218" i="209"/>
  <c r="I218" i="209" s="1"/>
  <c r="N215" i="209"/>
  <c r="F215" i="209"/>
  <c r="I215" i="209" s="1"/>
  <c r="N217" i="209"/>
  <c r="N219" i="209"/>
  <c r="H203" i="237"/>
  <c r="H204" i="237"/>
  <c r="H205" i="237"/>
  <c r="N214" i="209"/>
  <c r="H202" i="237"/>
  <c r="H201" i="237"/>
  <c r="N213" i="209"/>
  <c r="N218" i="209"/>
  <c r="H192" i="237"/>
  <c r="H208" i="237"/>
  <c r="F209" i="209" l="1"/>
  <c r="I209" i="209" s="1"/>
  <c r="F216" i="209"/>
  <c r="I216" i="209" s="1"/>
  <c r="F194" i="209"/>
  <c r="I194" i="209" s="1"/>
  <c r="F206" i="209"/>
  <c r="I206" i="209" s="1"/>
  <c r="F208" i="209"/>
  <c r="I208" i="209" s="1"/>
  <c r="F195" i="209"/>
  <c r="I195" i="209" s="1"/>
  <c r="F210" i="209"/>
  <c r="I210" i="209" s="1"/>
  <c r="F207" i="209"/>
  <c r="I207" i="209" s="1"/>
  <c r="F205" i="209"/>
  <c r="I205" i="209" s="1"/>
  <c r="F217" i="209"/>
  <c r="I217" i="209" s="1"/>
  <c r="N204" i="209"/>
  <c r="N195" i="209"/>
  <c r="N205" i="209"/>
  <c r="N194" i="209"/>
  <c r="N210" i="209"/>
  <c r="H210" i="237"/>
  <c r="N208" i="209"/>
  <c r="N207" i="209"/>
  <c r="H195" i="237"/>
  <c r="H194" i="237"/>
  <c r="N206" i="209"/>
  <c r="H200" i="237"/>
  <c r="N216" i="209"/>
  <c r="N209" i="209"/>
  <c r="F193" i="209"/>
  <c r="I193" i="209" s="1"/>
  <c r="F202" i="209" l="1"/>
  <c r="I202" i="209" s="1"/>
  <c r="F203" i="209"/>
  <c r="I203" i="209" s="1"/>
  <c r="F204" i="209"/>
  <c r="I204" i="209" s="1"/>
  <c r="N203" i="209"/>
  <c r="H199" i="237"/>
  <c r="H198" i="237"/>
  <c r="N202" i="209"/>
  <c r="N212" i="209"/>
  <c r="H209" i="237"/>
  <c r="H197" i="237"/>
  <c r="N193" i="209"/>
  <c r="F212" i="209" l="1"/>
  <c r="I212" i="209" s="1"/>
  <c r="F196" i="209"/>
  <c r="I196" i="209" s="1"/>
  <c r="F211" i="209"/>
  <c r="I211" i="209" s="1"/>
  <c r="F197" i="209"/>
  <c r="I197" i="209" s="1"/>
  <c r="N197" i="209"/>
  <c r="N211" i="209"/>
  <c r="N196" i="209"/>
  <c r="F200" i="209" l="1"/>
  <c r="I200" i="209" s="1"/>
  <c r="F199" i="209"/>
  <c r="I199" i="209" s="1"/>
  <c r="F201" i="209"/>
  <c r="I201" i="209" s="1"/>
  <c r="N201" i="209"/>
  <c r="H196" i="237"/>
  <c r="N200" i="209"/>
  <c r="N199" i="209"/>
  <c r="F198" i="209" l="1"/>
  <c r="I198" i="209" s="1"/>
  <c r="N198" i="209"/>
  <c r="F16" i="207" l="1"/>
  <c r="N16" i="207" l="1"/>
  <c r="I16" i="207"/>
  <c r="F16" i="236" l="1"/>
  <c r="N16" i="236" l="1"/>
  <c r="I16" i="236"/>
  <c r="F101" i="207" l="1"/>
  <c r="I101" i="207" s="1"/>
  <c r="F103" i="207"/>
  <c r="I103" i="207" s="1"/>
  <c r="F99" i="207" l="1"/>
  <c r="I99" i="207" s="1"/>
  <c r="N103" i="207"/>
  <c r="F97" i="207"/>
  <c r="I97" i="207" s="1"/>
  <c r="F100" i="207"/>
  <c r="I100" i="207" s="1"/>
  <c r="F102" i="207"/>
  <c r="I102" i="207" s="1"/>
  <c r="F98" i="207"/>
  <c r="I98" i="207" s="1"/>
  <c r="N101" i="207"/>
  <c r="N99" i="207" l="1"/>
  <c r="N100" i="207"/>
  <c r="N98" i="207"/>
  <c r="N102" i="207"/>
  <c r="N97" i="207"/>
  <c r="F55" i="207"/>
  <c r="I55" i="207" s="1"/>
  <c r="F51" i="207"/>
  <c r="I51" i="207" s="1"/>
  <c r="F64" i="207" l="1"/>
  <c r="I64" i="207" s="1"/>
  <c r="F43" i="207"/>
  <c r="I43" i="207" s="1"/>
  <c r="F81" i="207"/>
  <c r="I81" i="207" s="1"/>
  <c r="F57" i="207"/>
  <c r="I57" i="207" s="1"/>
  <c r="F37" i="207"/>
  <c r="I37" i="207" s="1"/>
  <c r="F36" i="207"/>
  <c r="I36" i="207" s="1"/>
  <c r="F73" i="207"/>
  <c r="I73" i="207" s="1"/>
  <c r="F72" i="207"/>
  <c r="I72" i="207" s="1"/>
  <c r="F92" i="207"/>
  <c r="I92" i="207" s="1"/>
  <c r="F79" i="207"/>
  <c r="I79" i="207" s="1"/>
  <c r="F83" i="207"/>
  <c r="I83" i="207" s="1"/>
  <c r="F94" i="207"/>
  <c r="I94" i="207" s="1"/>
  <c r="F111" i="207"/>
  <c r="I111" i="207" s="1"/>
  <c r="F52" i="207"/>
  <c r="I52" i="207" s="1"/>
  <c r="F40" i="207"/>
  <c r="I40" i="207" s="1"/>
  <c r="F66" i="207"/>
  <c r="I66" i="207" s="1"/>
  <c r="N55" i="207"/>
  <c r="N51" i="207"/>
  <c r="F113" i="207"/>
  <c r="I113" i="207" s="1"/>
  <c r="F31" i="207"/>
  <c r="I31" i="207" s="1"/>
  <c r="F41" i="207"/>
  <c r="I41" i="207" s="1"/>
  <c r="F42" i="207"/>
  <c r="I42" i="207" s="1"/>
  <c r="F44" i="207"/>
  <c r="I44" i="207" s="1"/>
  <c r="F77" i="207"/>
  <c r="I77" i="207" s="1"/>
  <c r="F71" i="207"/>
  <c r="I71" i="207" s="1"/>
  <c r="F45" i="207"/>
  <c r="I45" i="207" s="1"/>
  <c r="F17" i="207" l="1"/>
  <c r="D19" i="207"/>
  <c r="N45" i="207"/>
  <c r="N36" i="207"/>
  <c r="N43" i="207"/>
  <c r="N42" i="207"/>
  <c r="N111" i="207"/>
  <c r="N72" i="207"/>
  <c r="N64" i="207"/>
  <c r="F73" i="236"/>
  <c r="I73" i="236" s="1"/>
  <c r="F79" i="236"/>
  <c r="I79" i="236" s="1"/>
  <c r="F55" i="236"/>
  <c r="I55" i="236" s="1"/>
  <c r="N52" i="207"/>
  <c r="F91" i="207"/>
  <c r="I91" i="207" s="1"/>
  <c r="N94" i="207"/>
  <c r="N79" i="207"/>
  <c r="N92" i="207"/>
  <c r="F69" i="207"/>
  <c r="I69" i="207" s="1"/>
  <c r="F76" i="207"/>
  <c r="I76" i="207" s="1"/>
  <c r="F53" i="207"/>
  <c r="I53" i="207" s="1"/>
  <c r="F112" i="207"/>
  <c r="I112" i="207" s="1"/>
  <c r="F70" i="207"/>
  <c r="I70" i="207" s="1"/>
  <c r="N71" i="207"/>
  <c r="N44" i="207"/>
  <c r="F78" i="207"/>
  <c r="I78" i="207" s="1"/>
  <c r="F35" i="207"/>
  <c r="I35" i="207" s="1"/>
  <c r="F24" i="207"/>
  <c r="I24" i="207" s="1"/>
  <c r="F84" i="207"/>
  <c r="I84" i="207" s="1"/>
  <c r="F68" i="207"/>
  <c r="I68" i="207" s="1"/>
  <c r="N66" i="207"/>
  <c r="F23" i="207"/>
  <c r="I23" i="207" s="1"/>
  <c r="F32" i="207"/>
  <c r="I32" i="207" s="1"/>
  <c r="F34" i="207"/>
  <c r="I34" i="207" s="1"/>
  <c r="F80" i="207"/>
  <c r="I80" i="207" s="1"/>
  <c r="N41" i="207"/>
  <c r="F65" i="207"/>
  <c r="I65" i="207" s="1"/>
  <c r="N31" i="207"/>
  <c r="F67" i="207"/>
  <c r="I67" i="207" s="1"/>
  <c r="F58" i="207"/>
  <c r="I58" i="207" s="1"/>
  <c r="F110" i="207"/>
  <c r="I110" i="207" s="1"/>
  <c r="F95" i="207"/>
  <c r="I95" i="207" s="1"/>
  <c r="F93" i="207"/>
  <c r="I93" i="207" s="1"/>
  <c r="N77" i="207"/>
  <c r="F82" i="207"/>
  <c r="I82" i="207" s="1"/>
  <c r="F54" i="207"/>
  <c r="I54" i="207" s="1"/>
  <c r="F90" i="207"/>
  <c r="I90" i="207" s="1"/>
  <c r="N83" i="207"/>
  <c r="F38" i="207"/>
  <c r="I38" i="207" s="1"/>
  <c r="F39" i="207"/>
  <c r="I39" i="207" s="1"/>
  <c r="N37" i="207"/>
  <c r="F30" i="207"/>
  <c r="I30" i="207" s="1"/>
  <c r="N113" i="207"/>
  <c r="N40" i="207"/>
  <c r="F107" i="207"/>
  <c r="I107" i="207" s="1"/>
  <c r="N73" i="207"/>
  <c r="F33" i="207"/>
  <c r="I33" i="207" s="1"/>
  <c r="N57" i="207"/>
  <c r="N81" i="207"/>
  <c r="F106" i="207"/>
  <c r="I106" i="207" s="1"/>
  <c r="F89" i="207" l="1"/>
  <c r="D115" i="207"/>
  <c r="F22" i="207"/>
  <c r="D26" i="207"/>
  <c r="F63" i="207"/>
  <c r="D86" i="207"/>
  <c r="I17" i="207"/>
  <c r="I19" i="207" s="1"/>
  <c r="F19" i="207"/>
  <c r="D47" i="207"/>
  <c r="F29" i="207"/>
  <c r="N17" i="207"/>
  <c r="N19" i="207" s="1"/>
  <c r="K19" i="207"/>
  <c r="D60" i="207"/>
  <c r="F50" i="207"/>
  <c r="F109" i="236"/>
  <c r="I109" i="236" s="1"/>
  <c r="F110" i="236"/>
  <c r="I110" i="236" s="1"/>
  <c r="N30" i="207"/>
  <c r="N91" i="207"/>
  <c r="N107" i="207"/>
  <c r="N93" i="207"/>
  <c r="N70" i="207"/>
  <c r="N69" i="207"/>
  <c r="N106" i="207"/>
  <c r="N110" i="207"/>
  <c r="F30" i="236"/>
  <c r="I30" i="236" s="1"/>
  <c r="F69" i="236"/>
  <c r="I69" i="236" s="1"/>
  <c r="F41" i="236"/>
  <c r="I41" i="236" s="1"/>
  <c r="F43" i="236"/>
  <c r="I43" i="236" s="1"/>
  <c r="F67" i="236"/>
  <c r="I67" i="236" s="1"/>
  <c r="F23" i="236"/>
  <c r="I23" i="236" s="1"/>
  <c r="F65" i="236"/>
  <c r="I65" i="236" s="1"/>
  <c r="F34" i="236"/>
  <c r="I34" i="236" s="1"/>
  <c r="F82" i="236"/>
  <c r="I82" i="236" s="1"/>
  <c r="F70" i="236"/>
  <c r="I70" i="236" s="1"/>
  <c r="F58" i="236"/>
  <c r="I58" i="236" s="1"/>
  <c r="F53" i="236"/>
  <c r="I53" i="236" s="1"/>
  <c r="F68" i="236"/>
  <c r="I68" i="236" s="1"/>
  <c r="F31" i="236"/>
  <c r="I31" i="236" s="1"/>
  <c r="F36" i="236"/>
  <c r="I36" i="236" s="1"/>
  <c r="F44" i="236"/>
  <c r="I44" i="236" s="1"/>
  <c r="F90" i="236"/>
  <c r="I90" i="236" s="1"/>
  <c r="F80" i="236"/>
  <c r="I80" i="236" s="1"/>
  <c r="F76" i="236"/>
  <c r="I76" i="236" s="1"/>
  <c r="F95" i="236"/>
  <c r="I95" i="236" s="1"/>
  <c r="F78" i="236"/>
  <c r="I78" i="236" s="1"/>
  <c r="F91" i="236"/>
  <c r="I91" i="236" s="1"/>
  <c r="F33" i="236"/>
  <c r="I33" i="236" s="1"/>
  <c r="F32" i="236"/>
  <c r="I32" i="236" s="1"/>
  <c r="F39" i="236"/>
  <c r="I39" i="236" s="1"/>
  <c r="F38" i="236"/>
  <c r="I38" i="236" s="1"/>
  <c r="F35" i="236"/>
  <c r="I35" i="236" s="1"/>
  <c r="F93" i="236"/>
  <c r="I93" i="236" s="1"/>
  <c r="F54" i="236"/>
  <c r="I54" i="236" s="1"/>
  <c r="F42" i="236"/>
  <c r="I42" i="236" s="1"/>
  <c r="F37" i="236"/>
  <c r="I37" i="236" s="1"/>
  <c r="F45" i="236"/>
  <c r="I45" i="236" s="1"/>
  <c r="F83" i="236"/>
  <c r="I83" i="236" s="1"/>
  <c r="F66" i="236"/>
  <c r="I66" i="236" s="1"/>
  <c r="N55" i="236"/>
  <c r="F40" i="236"/>
  <c r="I40" i="236" s="1"/>
  <c r="N79" i="236"/>
  <c r="N73" i="236"/>
  <c r="F24" i="236"/>
  <c r="I24" i="236" s="1"/>
  <c r="F51" i="236"/>
  <c r="I51" i="236" s="1"/>
  <c r="N38" i="207"/>
  <c r="N54" i="207"/>
  <c r="N67" i="207"/>
  <c r="N23" i="207"/>
  <c r="N78" i="207"/>
  <c r="N112" i="207"/>
  <c r="N95" i="207"/>
  <c r="N39" i="207"/>
  <c r="N90" i="207"/>
  <c r="N35" i="207"/>
  <c r="N76" i="207"/>
  <c r="N58" i="207"/>
  <c r="N33" i="207"/>
  <c r="N65" i="207"/>
  <c r="N68" i="207"/>
  <c r="N82" i="207"/>
  <c r="N80" i="207"/>
  <c r="N34" i="207"/>
  <c r="N32" i="207"/>
  <c r="N84" i="207"/>
  <c r="N24" i="207"/>
  <c r="N53" i="207"/>
  <c r="D117" i="207" l="1"/>
  <c r="H17" i="10"/>
  <c r="N29" i="207"/>
  <c r="N47" i="207" s="1"/>
  <c r="K47" i="207"/>
  <c r="K26" i="207"/>
  <c r="N22" i="207"/>
  <c r="N26" i="207" s="1"/>
  <c r="N50" i="207"/>
  <c r="N60" i="207" s="1"/>
  <c r="K60" i="207"/>
  <c r="F50" i="236"/>
  <c r="F63" i="236"/>
  <c r="I29" i="207"/>
  <c r="I47" i="207" s="1"/>
  <c r="H19" i="10" s="1"/>
  <c r="F47" i="207"/>
  <c r="I22" i="207"/>
  <c r="I26" i="207" s="1"/>
  <c r="H18" i="10" s="1"/>
  <c r="F26" i="207"/>
  <c r="K86" i="207"/>
  <c r="N63" i="207"/>
  <c r="N86" i="207" s="1"/>
  <c r="F89" i="236"/>
  <c r="F86" i="207"/>
  <c r="I63" i="207"/>
  <c r="I86" i="207" s="1"/>
  <c r="H21" i="10" s="1"/>
  <c r="K115" i="207"/>
  <c r="N89" i="207"/>
  <c r="N115" i="207" s="1"/>
  <c r="F29" i="236"/>
  <c r="D47" i="236"/>
  <c r="F60" i="207"/>
  <c r="I50" i="207"/>
  <c r="I60" i="207" s="1"/>
  <c r="H20" i="10" s="1"/>
  <c r="I89" i="207"/>
  <c r="I115" i="207" s="1"/>
  <c r="F115" i="207"/>
  <c r="N109" i="236"/>
  <c r="N54" i="236"/>
  <c r="N36" i="236"/>
  <c r="N31" i="236"/>
  <c r="N65" i="236"/>
  <c r="N41" i="236"/>
  <c r="N33" i="236"/>
  <c r="N44" i="236"/>
  <c r="N23" i="236"/>
  <c r="N30" i="236"/>
  <c r="N42" i="236"/>
  <c r="N43" i="236"/>
  <c r="N37" i="236"/>
  <c r="F52" i="236"/>
  <c r="I52" i="236" s="1"/>
  <c r="F92" i="236"/>
  <c r="I92" i="236" s="1"/>
  <c r="F81" i="236"/>
  <c r="I81" i="236" s="1"/>
  <c r="F94" i="236"/>
  <c r="I94" i="236" s="1"/>
  <c r="F64" i="236"/>
  <c r="I64" i="236" s="1"/>
  <c r="N45" i="236"/>
  <c r="N83" i="236"/>
  <c r="N66" i="236"/>
  <c r="F77" i="236"/>
  <c r="I77" i="236" s="1"/>
  <c r="N53" i="236"/>
  <c r="N78" i="236"/>
  <c r="N24" i="236"/>
  <c r="N95" i="236"/>
  <c r="N90" i="236"/>
  <c r="N91" i="236"/>
  <c r="N82" i="236"/>
  <c r="N32" i="236"/>
  <c r="N68" i="236"/>
  <c r="N51" i="236"/>
  <c r="N40" i="236"/>
  <c r="N70" i="236"/>
  <c r="N69" i="236"/>
  <c r="N80" i="236"/>
  <c r="N76" i="236"/>
  <c r="N93" i="236"/>
  <c r="F111" i="236"/>
  <c r="I111" i="236" s="1"/>
  <c r="N34" i="236"/>
  <c r="N58" i="236"/>
  <c r="N35" i="236"/>
  <c r="N38" i="236"/>
  <c r="N67" i="236"/>
  <c r="N39" i="236"/>
  <c r="N110" i="236"/>
  <c r="K117" i="207" l="1"/>
  <c r="N117" i="207"/>
  <c r="F117" i="207"/>
  <c r="K47" i="236"/>
  <c r="N29" i="236"/>
  <c r="N47" i="236" s="1"/>
  <c r="I89" i="236"/>
  <c r="N63" i="236"/>
  <c r="F47" i="236"/>
  <c r="I29" i="236"/>
  <c r="I47" i="236" s="1"/>
  <c r="I63" i="236"/>
  <c r="N89" i="236"/>
  <c r="I117" i="207"/>
  <c r="N50" i="236"/>
  <c r="I50" i="236"/>
  <c r="N77" i="236"/>
  <c r="N64" i="236"/>
  <c r="F100" i="236"/>
  <c r="I100" i="236" s="1"/>
  <c r="F98" i="236"/>
  <c r="I98" i="236" s="1"/>
  <c r="F105" i="236"/>
  <c r="I105" i="236" s="1"/>
  <c r="F103" i="236"/>
  <c r="I103" i="236" s="1"/>
  <c r="F99" i="236"/>
  <c r="I99" i="236" s="1"/>
  <c r="F112" i="236"/>
  <c r="I112" i="236" s="1"/>
  <c r="F102" i="236"/>
  <c r="I102" i="236" s="1"/>
  <c r="N81" i="236"/>
  <c r="N52" i="236"/>
  <c r="N92" i="236"/>
  <c r="N94" i="236"/>
  <c r="F57" i="236"/>
  <c r="I57" i="236" s="1"/>
  <c r="F84" i="236"/>
  <c r="I84" i="236" s="1"/>
  <c r="N111" i="236"/>
  <c r="D26" i="236" l="1"/>
  <c r="F22" i="236"/>
  <c r="F60" i="236"/>
  <c r="I60" i="236"/>
  <c r="D60" i="236"/>
  <c r="N105" i="236"/>
  <c r="N100" i="236"/>
  <c r="F113" i="236"/>
  <c r="I113" i="236" s="1"/>
  <c r="N99" i="236"/>
  <c r="N103" i="236"/>
  <c r="N112" i="236"/>
  <c r="F101" i="236"/>
  <c r="I101" i="236" s="1"/>
  <c r="F107" i="236"/>
  <c r="I107" i="236" s="1"/>
  <c r="N102" i="236"/>
  <c r="N98" i="236"/>
  <c r="F106" i="236"/>
  <c r="I106" i="236" s="1"/>
  <c r="N57" i="236"/>
  <c r="N60" i="236" s="1"/>
  <c r="N84" i="236"/>
  <c r="F72" i="236"/>
  <c r="I72" i="236" s="1"/>
  <c r="F26" i="236" l="1"/>
  <c r="I22" i="236"/>
  <c r="I26" i="236" s="1"/>
  <c r="F71" i="236"/>
  <c r="D86" i="236"/>
  <c r="N22" i="236"/>
  <c r="N26" i="236" s="1"/>
  <c r="K26" i="236"/>
  <c r="K60" i="236"/>
  <c r="N113" i="236"/>
  <c r="N101" i="236"/>
  <c r="N106" i="236"/>
  <c r="N107" i="236"/>
  <c r="N72" i="236"/>
  <c r="F114" i="236" l="1"/>
  <c r="I114" i="236" s="1"/>
  <c r="F97" i="236"/>
  <c r="I71" i="236"/>
  <c r="I86" i="236" s="1"/>
  <c r="F86" i="236"/>
  <c r="N71" i="236"/>
  <c r="N86" i="236" s="1"/>
  <c r="K86" i="236"/>
  <c r="N114" i="236"/>
  <c r="N97" i="236" l="1"/>
  <c r="I97" i="236"/>
  <c r="N115" i="236" l="1"/>
  <c r="F115" i="236"/>
  <c r="F116" i="236"/>
  <c r="I116" i="236" s="1"/>
  <c r="F17" i="236" l="1"/>
  <c r="D19" i="236"/>
  <c r="D118" i="236"/>
  <c r="I115" i="236"/>
  <c r="I118" i="236" s="1"/>
  <c r="F118" i="236"/>
  <c r="D120" i="236" l="1"/>
  <c r="I17" i="236"/>
  <c r="I19" i="236" s="1"/>
  <c r="I120" i="236" s="1"/>
  <c r="F19" i="236"/>
  <c r="F120" i="236" s="1"/>
  <c r="N17" i="236"/>
  <c r="N19" i="236" s="1"/>
  <c r="K19" i="236"/>
  <c r="N116" i="236"/>
  <c r="N118" i="236" s="1"/>
  <c r="K118" i="236"/>
  <c r="K120" i="236" l="1"/>
  <c r="N120" i="236"/>
  <c r="F224" i="236"/>
  <c r="I224" i="236" s="1"/>
  <c r="F226" i="209" l="1"/>
  <c r="I226" i="209" s="1"/>
  <c r="N224" i="236"/>
  <c r="N226" i="209" l="1"/>
  <c r="D225" i="207" l="1"/>
  <c r="D266" i="207" s="1"/>
  <c r="F186" i="207"/>
  <c r="I186" i="207" l="1"/>
  <c r="I225" i="207" s="1"/>
  <c r="F225" i="207"/>
  <c r="F266" i="207" s="1"/>
  <c r="K225" i="207"/>
  <c r="K266" i="207" s="1"/>
  <c r="N186" i="207"/>
  <c r="N225" i="207" s="1"/>
  <c r="N266" i="207" s="1"/>
  <c r="F15" i="3" s="1"/>
  <c r="I266" i="207" l="1"/>
  <c r="D15" i="3" s="1"/>
  <c r="H22" i="10"/>
  <c r="H25" i="10" s="1"/>
  <c r="D226" i="236" l="1"/>
  <c r="F186" i="236"/>
  <c r="K226" i="236" l="1"/>
  <c r="N186" i="236"/>
  <c r="N226" i="236" s="1"/>
  <c r="I186" i="236"/>
  <c r="I226" i="236" s="1"/>
  <c r="F226" i="236"/>
  <c r="D225" i="213" l="1"/>
  <c r="F186" i="213"/>
  <c r="N186" i="213" l="1"/>
  <c r="N225" i="213" s="1"/>
  <c r="K225" i="213"/>
  <c r="F225" i="213"/>
  <c r="I186" i="213"/>
  <c r="I225" i="213" s="1"/>
  <c r="H186" i="237" l="1"/>
  <c r="H226" i="237" s="1"/>
  <c r="D226" i="237"/>
  <c r="D228" i="209"/>
  <c r="F188" i="209"/>
  <c r="I188" i="209" s="1"/>
  <c r="I228" i="209" l="1"/>
  <c r="F228" i="209"/>
  <c r="N188" i="209"/>
  <c r="N228" i="209" s="1"/>
  <c r="K228" i="209"/>
  <c r="F98" i="213" l="1"/>
  <c r="I98" i="213" s="1"/>
  <c r="F97" i="213" l="1"/>
  <c r="I97" i="213" s="1"/>
  <c r="F102" i="213"/>
  <c r="I102" i="213" s="1"/>
  <c r="N98" i="213"/>
  <c r="F99" i="213"/>
  <c r="I99" i="213" s="1"/>
  <c r="F103" i="213"/>
  <c r="I103" i="213" s="1"/>
  <c r="F100" i="213"/>
  <c r="I100" i="213" s="1"/>
  <c r="F101" i="213"/>
  <c r="I101" i="213" s="1"/>
  <c r="N100" i="213" l="1"/>
  <c r="N99" i="213"/>
  <c r="N102" i="213"/>
  <c r="N101" i="213"/>
  <c r="N97" i="213"/>
  <c r="N103" i="213"/>
  <c r="F113" i="213" l="1"/>
  <c r="I113" i="213" s="1"/>
  <c r="F65" i="213" l="1"/>
  <c r="I65" i="213" s="1"/>
  <c r="F53" i="213"/>
  <c r="I53" i="213" s="1"/>
  <c r="F81" i="213"/>
  <c r="I81" i="213" s="1"/>
  <c r="N113" i="213"/>
  <c r="F110" i="213"/>
  <c r="I110" i="213" s="1"/>
  <c r="F54" i="213"/>
  <c r="I54" i="213" s="1"/>
  <c r="F93" i="213"/>
  <c r="I93" i="213" s="1"/>
  <c r="F91" i="213"/>
  <c r="I91" i="213" s="1"/>
  <c r="F70" i="213"/>
  <c r="I70" i="213" s="1"/>
  <c r="F35" i="213"/>
  <c r="I35" i="213" s="1"/>
  <c r="F42" i="213"/>
  <c r="I42" i="213" s="1"/>
  <c r="F95" i="213"/>
  <c r="I95" i="213" s="1"/>
  <c r="F72" i="213"/>
  <c r="I72" i="213" s="1"/>
  <c r="F78" i="213"/>
  <c r="I78" i="213" s="1"/>
  <c r="F41" i="213"/>
  <c r="I41" i="213" s="1"/>
  <c r="F17" i="213"/>
  <c r="I17" i="213" s="1"/>
  <c r="F30" i="213"/>
  <c r="I30" i="213" s="1"/>
  <c r="F71" i="213"/>
  <c r="I71" i="213" s="1"/>
  <c r="F37" i="213"/>
  <c r="I37" i="213" s="1"/>
  <c r="F31" i="213"/>
  <c r="I31" i="213" s="1"/>
  <c r="F57" i="213"/>
  <c r="I57" i="213" s="1"/>
  <c r="F45" i="213"/>
  <c r="I45" i="213" s="1"/>
  <c r="F106" i="213"/>
  <c r="I106" i="213" s="1"/>
  <c r="F77" i="213"/>
  <c r="I77" i="213" s="1"/>
  <c r="F55" i="213"/>
  <c r="I55" i="213" s="1"/>
  <c r="F73" i="213"/>
  <c r="I73" i="213" s="1"/>
  <c r="F83" i="213"/>
  <c r="I83" i="213" s="1"/>
  <c r="F39" i="213"/>
  <c r="I39" i="213" s="1"/>
  <c r="F36" i="213"/>
  <c r="I36" i="213" s="1"/>
  <c r="F84" i="213"/>
  <c r="I84" i="213" s="1"/>
  <c r="F64" i="213"/>
  <c r="I64" i="213" s="1"/>
  <c r="F66" i="213"/>
  <c r="I66" i="213" s="1"/>
  <c r="F107" i="213"/>
  <c r="I107" i="213" s="1"/>
  <c r="F22" i="213" l="1"/>
  <c r="F50" i="213"/>
  <c r="F16" i="213"/>
  <c r="D19" i="213"/>
  <c r="N54" i="213"/>
  <c r="N30" i="213"/>
  <c r="N93" i="213"/>
  <c r="N84" i="213"/>
  <c r="N37" i="213"/>
  <c r="N39" i="213"/>
  <c r="N55" i="213"/>
  <c r="N17" i="213"/>
  <c r="H42" i="237"/>
  <c r="N36" i="213"/>
  <c r="N83" i="213"/>
  <c r="F44" i="213"/>
  <c r="I44" i="213" s="1"/>
  <c r="N71" i="213"/>
  <c r="F90" i="213"/>
  <c r="I90" i="213" s="1"/>
  <c r="N35" i="213"/>
  <c r="N45" i="213"/>
  <c r="N106" i="213"/>
  <c r="F58" i="213"/>
  <c r="I58" i="213" s="1"/>
  <c r="N78" i="213"/>
  <c r="N72" i="213"/>
  <c r="N42" i="213"/>
  <c r="N91" i="213"/>
  <c r="N110" i="213"/>
  <c r="N64" i="213"/>
  <c r="F67" i="213"/>
  <c r="I67" i="213" s="1"/>
  <c r="F51" i="213"/>
  <c r="I51" i="213" s="1"/>
  <c r="F38" i="213"/>
  <c r="I38" i="213" s="1"/>
  <c r="N57" i="213"/>
  <c r="F112" i="213"/>
  <c r="I112" i="213" s="1"/>
  <c r="F23" i="213"/>
  <c r="I23" i="213" s="1"/>
  <c r="N41" i="213"/>
  <c r="N70" i="213"/>
  <c r="F24" i="213"/>
  <c r="I24" i="213" s="1"/>
  <c r="F94" i="213"/>
  <c r="I94" i="213" s="1"/>
  <c r="N81" i="213"/>
  <c r="N107" i="213"/>
  <c r="N77" i="213"/>
  <c r="F52" i="213"/>
  <c r="I52" i="213" s="1"/>
  <c r="F80" i="213"/>
  <c r="I80" i="213" s="1"/>
  <c r="F68" i="213"/>
  <c r="I68" i="213" s="1"/>
  <c r="F69" i="213"/>
  <c r="I69" i="213" s="1"/>
  <c r="N66" i="213"/>
  <c r="F82" i="213"/>
  <c r="I82" i="213" s="1"/>
  <c r="N31" i="213"/>
  <c r="N95" i="213"/>
  <c r="F79" i="213"/>
  <c r="I79" i="213" s="1"/>
  <c r="N65" i="213"/>
  <c r="F92" i="213"/>
  <c r="I92" i="213" s="1"/>
  <c r="N73" i="213"/>
  <c r="F33" i="213"/>
  <c r="I33" i="213" s="1"/>
  <c r="F43" i="213"/>
  <c r="I43" i="213" s="1"/>
  <c r="F76" i="213"/>
  <c r="I76" i="213" s="1"/>
  <c r="F40" i="213"/>
  <c r="I40" i="213" s="1"/>
  <c r="F34" i="213"/>
  <c r="I34" i="213" s="1"/>
  <c r="F111" i="213"/>
  <c r="I111" i="213" s="1"/>
  <c r="F32" i="213"/>
  <c r="I32" i="213" s="1"/>
  <c r="N53" i="213"/>
  <c r="N50" i="213" l="1"/>
  <c r="N16" i="213"/>
  <c r="N19" i="213" s="1"/>
  <c r="K19" i="213"/>
  <c r="D60" i="213"/>
  <c r="H22" i="237"/>
  <c r="N22" i="213"/>
  <c r="F60" i="213"/>
  <c r="I50" i="213"/>
  <c r="I60" i="213" s="1"/>
  <c r="G20" i="10" s="1"/>
  <c r="D115" i="213"/>
  <c r="F89" i="213"/>
  <c r="D26" i="213"/>
  <c r="D86" i="213"/>
  <c r="F63" i="213"/>
  <c r="F29" i="213"/>
  <c r="D47" i="213"/>
  <c r="I16" i="213"/>
  <c r="I19" i="213" s="1"/>
  <c r="F19" i="213"/>
  <c r="I22" i="213"/>
  <c r="I26" i="213" s="1"/>
  <c r="G18" i="10" s="1"/>
  <c r="F26" i="213"/>
  <c r="F42" i="209"/>
  <c r="I42" i="209" s="1"/>
  <c r="N82" i="213"/>
  <c r="N80" i="213"/>
  <c r="N94" i="213"/>
  <c r="N58" i="213"/>
  <c r="N92" i="213"/>
  <c r="N44" i="213"/>
  <c r="N90" i="213"/>
  <c r="N52" i="213"/>
  <c r="N40" i="213"/>
  <c r="N112" i="213"/>
  <c r="H81" i="237"/>
  <c r="H78" i="237"/>
  <c r="H17" i="237"/>
  <c r="H65" i="237"/>
  <c r="H91" i="237"/>
  <c r="H30" i="237"/>
  <c r="N69" i="213"/>
  <c r="N67" i="213"/>
  <c r="N34" i="213"/>
  <c r="N68" i="213"/>
  <c r="N42" i="209"/>
  <c r="N23" i="213"/>
  <c r="N38" i="213"/>
  <c r="N51" i="213"/>
  <c r="N111" i="213"/>
  <c r="N76" i="213"/>
  <c r="H64" i="237"/>
  <c r="N79" i="213"/>
  <c r="N24" i="213"/>
  <c r="N32" i="213"/>
  <c r="N43" i="213"/>
  <c r="N33" i="213"/>
  <c r="H57" i="237"/>
  <c r="H45" i="237"/>
  <c r="H36" i="237"/>
  <c r="H54" i="237"/>
  <c r="H53" i="237"/>
  <c r="D117" i="213" l="1"/>
  <c r="D266" i="213" s="1"/>
  <c r="K115" i="213"/>
  <c r="N89" i="213"/>
  <c r="N115" i="213" s="1"/>
  <c r="G17" i="10"/>
  <c r="F47" i="213"/>
  <c r="I29" i="213"/>
  <c r="I47" i="213" s="1"/>
  <c r="G19" i="10" s="1"/>
  <c r="N26" i="213"/>
  <c r="I63" i="213"/>
  <c r="I86" i="213" s="1"/>
  <c r="G21" i="10" s="1"/>
  <c r="F86" i="213"/>
  <c r="I89" i="213"/>
  <c r="I115" i="213" s="1"/>
  <c r="G22" i="10" s="1"/>
  <c r="F115" i="213"/>
  <c r="F22" i="209"/>
  <c r="K60" i="213"/>
  <c r="N29" i="213"/>
  <c r="N47" i="213" s="1"/>
  <c r="K47" i="213"/>
  <c r="H50" i="237"/>
  <c r="K86" i="213"/>
  <c r="N63" i="213"/>
  <c r="N86" i="213" s="1"/>
  <c r="K26" i="213"/>
  <c r="N60" i="213"/>
  <c r="H107" i="237"/>
  <c r="F36" i="209"/>
  <c r="I36" i="209" s="1"/>
  <c r="F53" i="209"/>
  <c r="I53" i="209" s="1"/>
  <c r="F54" i="209"/>
  <c r="I54" i="209" s="1"/>
  <c r="F57" i="209"/>
  <c r="I57" i="209" s="1"/>
  <c r="F78" i="209"/>
  <c r="I78" i="209" s="1"/>
  <c r="F64" i="209"/>
  <c r="I64" i="209" s="1"/>
  <c r="F65" i="209"/>
  <c r="I65" i="209" s="1"/>
  <c r="H35" i="237"/>
  <c r="H73" i="237"/>
  <c r="H37" i="237"/>
  <c r="H77" i="237"/>
  <c r="H39" i="237"/>
  <c r="H55" i="237"/>
  <c r="H94" i="237"/>
  <c r="H31" i="237"/>
  <c r="H24" i="237"/>
  <c r="H68" i="237"/>
  <c r="H84" i="237"/>
  <c r="H71" i="237"/>
  <c r="F91" i="209"/>
  <c r="I91" i="209" s="1"/>
  <c r="H95" i="237"/>
  <c r="H82" i="237"/>
  <c r="H51" i="237"/>
  <c r="H83" i="237"/>
  <c r="H43" i="237"/>
  <c r="F45" i="209"/>
  <c r="I45" i="209" s="1"/>
  <c r="F30" i="209"/>
  <c r="I30" i="209" s="1"/>
  <c r="F17" i="209"/>
  <c r="I17" i="209" s="1"/>
  <c r="F81" i="209"/>
  <c r="I81" i="209" s="1"/>
  <c r="K117" i="213" l="1"/>
  <c r="K266" i="213" s="1"/>
  <c r="F117" i="213"/>
  <c r="F266" i="213" s="1"/>
  <c r="N117" i="213"/>
  <c r="N266" i="213" s="1"/>
  <c r="F15" i="137" s="1"/>
  <c r="F50" i="209"/>
  <c r="I22" i="209"/>
  <c r="H29" i="237"/>
  <c r="N22" i="209"/>
  <c r="I117" i="213"/>
  <c r="I266" i="213" s="1"/>
  <c r="D15" i="137" s="1"/>
  <c r="G25" i="10"/>
  <c r="H100" i="237"/>
  <c r="F100" i="209"/>
  <c r="I100" i="209" s="1"/>
  <c r="F105" i="209"/>
  <c r="I105" i="209" s="1"/>
  <c r="H106" i="237"/>
  <c r="H105" i="237"/>
  <c r="N36" i="209"/>
  <c r="N78" i="209"/>
  <c r="N53" i="209"/>
  <c r="N64" i="209"/>
  <c r="N54" i="209"/>
  <c r="N57" i="209"/>
  <c r="N65" i="209"/>
  <c r="F39" i="209"/>
  <c r="I39" i="209" s="1"/>
  <c r="F84" i="209"/>
  <c r="I84" i="209" s="1"/>
  <c r="F51" i="209"/>
  <c r="I51" i="209" s="1"/>
  <c r="F24" i="209"/>
  <c r="I24" i="209" s="1"/>
  <c r="F31" i="209"/>
  <c r="I31" i="209" s="1"/>
  <c r="F43" i="209"/>
  <c r="I43" i="209" s="1"/>
  <c r="F82" i="209"/>
  <c r="I82" i="209" s="1"/>
  <c r="F37" i="209"/>
  <c r="I37" i="209" s="1"/>
  <c r="H70" i="237"/>
  <c r="H93" i="237"/>
  <c r="H79" i="237"/>
  <c r="H40" i="237"/>
  <c r="H69" i="237"/>
  <c r="H38" i="237"/>
  <c r="H58" i="237"/>
  <c r="H72" i="237"/>
  <c r="H52" i="237"/>
  <c r="N45" i="209"/>
  <c r="F83" i="209"/>
  <c r="I83" i="209" s="1"/>
  <c r="F95" i="209"/>
  <c r="I95" i="209" s="1"/>
  <c r="F94" i="209"/>
  <c r="I94" i="209" s="1"/>
  <c r="F55" i="209"/>
  <c r="I55" i="209" s="1"/>
  <c r="F77" i="209"/>
  <c r="I77" i="209" s="1"/>
  <c r="F73" i="209"/>
  <c r="I73" i="209" s="1"/>
  <c r="F35" i="209"/>
  <c r="I35" i="209" s="1"/>
  <c r="N81" i="209"/>
  <c r="N91" i="209"/>
  <c r="H80" i="237"/>
  <c r="F71" i="209"/>
  <c r="I71" i="209" s="1"/>
  <c r="F68" i="209"/>
  <c r="I68" i="209" s="1"/>
  <c r="N17" i="209"/>
  <c r="N30" i="209"/>
  <c r="H66" i="237"/>
  <c r="H41" i="237"/>
  <c r="H44" i="237"/>
  <c r="H92" i="237"/>
  <c r="F17" i="238" l="1"/>
  <c r="F25" i="238" s="1"/>
  <c r="J17" i="238"/>
  <c r="J25" i="238" s="1"/>
  <c r="K16" i="222" s="1"/>
  <c r="N17" i="238"/>
  <c r="N25" i="238" s="1"/>
  <c r="O16" i="222" s="1"/>
  <c r="G17" i="238"/>
  <c r="G25" i="238" s="1"/>
  <c r="H16" i="222" s="1"/>
  <c r="K17" i="238"/>
  <c r="K25" i="238" s="1"/>
  <c r="L16" i="222" s="1"/>
  <c r="C17" i="238"/>
  <c r="D17" i="238"/>
  <c r="D25" i="238" s="1"/>
  <c r="E16" i="222" s="1"/>
  <c r="H17" i="238"/>
  <c r="H25" i="238" s="1"/>
  <c r="I16" i="222" s="1"/>
  <c r="L17" i="238"/>
  <c r="L25" i="238" s="1"/>
  <c r="M16" i="222" s="1"/>
  <c r="I17" i="238"/>
  <c r="I25" i="238" s="1"/>
  <c r="J16" i="222" s="1"/>
  <c r="E17" i="238"/>
  <c r="E25" i="238" s="1"/>
  <c r="F16" i="222" s="1"/>
  <c r="M17" i="238"/>
  <c r="M25" i="238" s="1"/>
  <c r="N16" i="222" s="1"/>
  <c r="H60" i="237"/>
  <c r="F29" i="209"/>
  <c r="N50" i="209"/>
  <c r="H63" i="237"/>
  <c r="F107" i="209"/>
  <c r="I107" i="209" s="1"/>
  <c r="D60" i="237"/>
  <c r="I50" i="209"/>
  <c r="H110" i="237"/>
  <c r="N82" i="209"/>
  <c r="N107" i="209"/>
  <c r="N105" i="209"/>
  <c r="N100" i="209"/>
  <c r="H102" i="237"/>
  <c r="F102" i="209"/>
  <c r="I102" i="209" s="1"/>
  <c r="F106" i="209"/>
  <c r="I106" i="209" s="1"/>
  <c r="H98" i="237"/>
  <c r="H109" i="237"/>
  <c r="N24" i="209"/>
  <c r="N84" i="209"/>
  <c r="N39" i="209"/>
  <c r="N31" i="209"/>
  <c r="N51" i="209"/>
  <c r="N37" i="209"/>
  <c r="F79" i="209"/>
  <c r="I79" i="209" s="1"/>
  <c r="F44" i="209"/>
  <c r="I44" i="209" s="1"/>
  <c r="N43" i="209"/>
  <c r="F66" i="209"/>
  <c r="I66" i="209" s="1"/>
  <c r="F80" i="209"/>
  <c r="I80" i="209" s="1"/>
  <c r="F72" i="209"/>
  <c r="I72" i="209" s="1"/>
  <c r="F38" i="209"/>
  <c r="I38" i="209" s="1"/>
  <c r="H33" i="237"/>
  <c r="H67" i="237"/>
  <c r="H76" i="237"/>
  <c r="H90" i="237"/>
  <c r="N77" i="209"/>
  <c r="N95" i="209"/>
  <c r="N55" i="209"/>
  <c r="N83" i="209"/>
  <c r="F52" i="209"/>
  <c r="I52" i="209" s="1"/>
  <c r="F92" i="209"/>
  <c r="I92" i="209" s="1"/>
  <c r="F41" i="209"/>
  <c r="I41" i="209" s="1"/>
  <c r="N68" i="209"/>
  <c r="N35" i="209"/>
  <c r="N94" i="209"/>
  <c r="F58" i="209"/>
  <c r="I58" i="209" s="1"/>
  <c r="F69" i="209"/>
  <c r="I69" i="209" s="1"/>
  <c r="F40" i="209"/>
  <c r="I40" i="209" s="1"/>
  <c r="F93" i="209"/>
  <c r="I93" i="209" s="1"/>
  <c r="N71" i="209"/>
  <c r="N73" i="209"/>
  <c r="F70" i="209"/>
  <c r="I70" i="209" s="1"/>
  <c r="O17" i="238" l="1"/>
  <c r="C25" i="238"/>
  <c r="D16" i="222" s="1"/>
  <c r="G16" i="222"/>
  <c r="H89" i="237"/>
  <c r="H32" i="237"/>
  <c r="F63" i="209"/>
  <c r="D86" i="237"/>
  <c r="N29" i="209"/>
  <c r="F60" i="209"/>
  <c r="D60" i="209"/>
  <c r="H86" i="237"/>
  <c r="I29" i="209"/>
  <c r="I60" i="209"/>
  <c r="F110" i="209"/>
  <c r="I110" i="209" s="1"/>
  <c r="N80" i="209"/>
  <c r="N106" i="209"/>
  <c r="N110" i="209"/>
  <c r="N102" i="209"/>
  <c r="H101" i="237"/>
  <c r="F101" i="209"/>
  <c r="I101" i="209" s="1"/>
  <c r="H103" i="237"/>
  <c r="F103" i="209"/>
  <c r="I103" i="209" s="1"/>
  <c r="H97" i="237"/>
  <c r="F97" i="209"/>
  <c r="I97" i="209" s="1"/>
  <c r="F98" i="209"/>
  <c r="I98" i="209" s="1"/>
  <c r="H99" i="237"/>
  <c r="F109" i="209"/>
  <c r="I109" i="209" s="1"/>
  <c r="N44" i="209"/>
  <c r="N72" i="209"/>
  <c r="N66" i="209"/>
  <c r="N38" i="209"/>
  <c r="N79" i="209"/>
  <c r="H34" i="237"/>
  <c r="F90" i="209"/>
  <c r="I90" i="209" s="1"/>
  <c r="N70" i="209"/>
  <c r="N69" i="209"/>
  <c r="N41" i="209"/>
  <c r="N93" i="209"/>
  <c r="N40" i="209"/>
  <c r="N52" i="209"/>
  <c r="F67" i="209"/>
  <c r="I67" i="209" s="1"/>
  <c r="N58" i="209"/>
  <c r="N92" i="209"/>
  <c r="F76" i="209"/>
  <c r="I76" i="209" s="1"/>
  <c r="F33" i="209"/>
  <c r="I33" i="209" s="1"/>
  <c r="P16" i="222" l="1"/>
  <c r="D18" i="48" s="1"/>
  <c r="D20" i="48" s="1"/>
  <c r="O25" i="238"/>
  <c r="N60" i="209"/>
  <c r="N63" i="209"/>
  <c r="D47" i="237"/>
  <c r="F89" i="209"/>
  <c r="K60" i="209"/>
  <c r="D86" i="209"/>
  <c r="H47" i="237"/>
  <c r="F86" i="209"/>
  <c r="I63" i="209"/>
  <c r="I86" i="209" s="1"/>
  <c r="F32" i="209"/>
  <c r="N97" i="209"/>
  <c r="N98" i="209"/>
  <c r="N101" i="209"/>
  <c r="N109" i="209"/>
  <c r="N103" i="209"/>
  <c r="F99" i="209"/>
  <c r="I99" i="209" s="1"/>
  <c r="H111" i="237"/>
  <c r="F111" i="209"/>
  <c r="I111" i="209" s="1"/>
  <c r="N33" i="209"/>
  <c r="F34" i="209"/>
  <c r="I34" i="209" s="1"/>
  <c r="N76" i="209"/>
  <c r="N90" i="209"/>
  <c r="N67" i="209"/>
  <c r="N99" i="209"/>
  <c r="D172" i="79" l="1"/>
  <c r="H168" i="51"/>
  <c r="D21" i="48"/>
  <c r="D47" i="209"/>
  <c r="N89" i="209"/>
  <c r="H23" i="237"/>
  <c r="H26" i="237" s="1"/>
  <c r="D26" i="237"/>
  <c r="I32" i="209"/>
  <c r="I47" i="209" s="1"/>
  <c r="F47" i="209"/>
  <c r="I89" i="209"/>
  <c r="K86" i="209"/>
  <c r="N32" i="209"/>
  <c r="N86" i="209"/>
  <c r="N111" i="209"/>
  <c r="H112" i="237"/>
  <c r="F112" i="209"/>
  <c r="I112" i="209" s="1"/>
  <c r="N34" i="209"/>
  <c r="L28" i="42" l="1"/>
  <c r="K27" i="46"/>
  <c r="H170" i="51"/>
  <c r="H172" i="51" s="1"/>
  <c r="P168" i="51"/>
  <c r="P170" i="51" s="1"/>
  <c r="P172" i="51" s="1"/>
  <c r="F23" i="209"/>
  <c r="D26" i="209"/>
  <c r="K47" i="209"/>
  <c r="N47" i="209"/>
  <c r="N112" i="209"/>
  <c r="F27" i="46" l="1"/>
  <c r="N23" i="209"/>
  <c r="N26" i="209" s="1"/>
  <c r="K26" i="209"/>
  <c r="I23" i="209"/>
  <c r="I26" i="209" s="1"/>
  <c r="F26" i="209"/>
  <c r="H113" i="237" l="1"/>
  <c r="F113" i="209"/>
  <c r="N113" i="209" l="1"/>
  <c r="I113" i="209"/>
  <c r="N114" i="209" l="1"/>
  <c r="F114" i="209"/>
  <c r="I114" i="209" l="1"/>
  <c r="F115" i="209"/>
  <c r="I115" i="209" s="1"/>
  <c r="N115" i="209"/>
  <c r="H114" i="237" l="1"/>
  <c r="H116" i="237" s="1"/>
  <c r="F116" i="209"/>
  <c r="D118" i="209"/>
  <c r="H16" i="237"/>
  <c r="H19" i="237" s="1"/>
  <c r="D19" i="237"/>
  <c r="D116" i="237"/>
  <c r="D19" i="209"/>
  <c r="F16" i="209"/>
  <c r="D118" i="237" l="1"/>
  <c r="D120" i="209"/>
  <c r="H118" i="237"/>
  <c r="F19" i="209"/>
  <c r="I16" i="209"/>
  <c r="I19" i="209" s="1"/>
  <c r="N116" i="209"/>
  <c r="N118" i="209" s="1"/>
  <c r="K118" i="209"/>
  <c r="N16" i="209"/>
  <c r="N19" i="209" s="1"/>
  <c r="K19" i="209"/>
  <c r="I116" i="209"/>
  <c r="I118" i="209" s="1"/>
  <c r="F118" i="209"/>
  <c r="I120" i="209" l="1"/>
  <c r="F120" i="209"/>
  <c r="K120" i="209"/>
  <c r="N120" i="209"/>
  <c r="F233" i="236" l="1"/>
  <c r="I233" i="236" s="1"/>
  <c r="F246" i="236"/>
  <c r="I246" i="236" s="1"/>
  <c r="F258" i="236"/>
  <c r="I258" i="236" s="1"/>
  <c r="F252" i="236"/>
  <c r="I252" i="236" s="1"/>
  <c r="F257" i="236"/>
  <c r="I257" i="236" s="1"/>
  <c r="F235" i="236"/>
  <c r="I235" i="236" s="1"/>
  <c r="F255" i="236"/>
  <c r="I255" i="236" s="1"/>
  <c r="F249" i="236"/>
  <c r="I249" i="236" s="1"/>
  <c r="F253" i="236"/>
  <c r="I253" i="236" s="1"/>
  <c r="F250" i="236"/>
  <c r="I250" i="236" s="1"/>
  <c r="F234" i="236"/>
  <c r="I234" i="236" s="1"/>
  <c r="F232" i="236"/>
  <c r="I232" i="236" s="1"/>
  <c r="F245" i="236"/>
  <c r="I245" i="236" s="1"/>
  <c r="F247" i="236"/>
  <c r="I247" i="236" s="1"/>
  <c r="F238" i="236"/>
  <c r="I238" i="236" s="1"/>
  <c r="F241" i="236"/>
  <c r="I241" i="236" s="1"/>
  <c r="F239" i="236"/>
  <c r="I239" i="236" s="1"/>
  <c r="F240" i="236"/>
  <c r="I240" i="236" s="1"/>
  <c r="F236" i="236"/>
  <c r="I236" i="236" s="1"/>
  <c r="F251" i="236"/>
  <c r="I251" i="236" s="1"/>
  <c r="F256" i="236"/>
  <c r="I256" i="236" s="1"/>
  <c r="F242" i="236"/>
  <c r="I242" i="236" s="1"/>
  <c r="F248" i="236"/>
  <c r="I248" i="236" s="1"/>
  <c r="F244" i="236"/>
  <c r="I244" i="236" s="1"/>
  <c r="F259" i="236"/>
  <c r="I259" i="236" s="1"/>
  <c r="F243" i="236"/>
  <c r="I243" i="236" s="1"/>
  <c r="F237" i="236"/>
  <c r="I237" i="236" s="1"/>
  <c r="N254" i="236" l="1"/>
  <c r="F254" i="236"/>
  <c r="I254" i="236" s="1"/>
  <c r="N248" i="236"/>
  <c r="N251" i="236"/>
  <c r="N241" i="236"/>
  <c r="N232" i="236"/>
  <c r="N249" i="236"/>
  <c r="N252" i="236"/>
  <c r="N242" i="236"/>
  <c r="N236" i="236"/>
  <c r="N238" i="236"/>
  <c r="N234" i="236"/>
  <c r="N255" i="236"/>
  <c r="N258" i="236"/>
  <c r="N237" i="236"/>
  <c r="N256" i="236"/>
  <c r="N247" i="236"/>
  <c r="N250" i="236"/>
  <c r="N235" i="236"/>
  <c r="N246" i="236"/>
  <c r="N243" i="236"/>
  <c r="N259" i="236"/>
  <c r="N240" i="236"/>
  <c r="N244" i="236"/>
  <c r="N239" i="236"/>
  <c r="N245" i="236"/>
  <c r="N253" i="236"/>
  <c r="N257" i="236"/>
  <c r="N233" i="236"/>
  <c r="D262" i="236" l="1"/>
  <c r="D264" i="236" s="1"/>
  <c r="F231" i="236"/>
  <c r="N231" i="236" l="1"/>
  <c r="N262" i="236" s="1"/>
  <c r="N264" i="236" s="1"/>
  <c r="F17" i="3" s="1"/>
  <c r="F19" i="3" s="1"/>
  <c r="K262" i="236"/>
  <c r="K264" i="236" s="1"/>
  <c r="F262" i="236"/>
  <c r="F264" i="236" s="1"/>
  <c r="I231" i="236"/>
  <c r="I262" i="236" s="1"/>
  <c r="I264" i="236" s="1"/>
  <c r="D17" i="3" s="1"/>
  <c r="D19" i="3" s="1"/>
  <c r="H26" i="10" l="1"/>
  <c r="H27" i="10" s="1"/>
  <c r="H33" i="10" s="1"/>
  <c r="H259" i="237" l="1"/>
  <c r="H240" i="237"/>
  <c r="H232" i="237"/>
  <c r="H246" i="237"/>
  <c r="H248" i="237"/>
  <c r="H237" i="237"/>
  <c r="H244" i="237"/>
  <c r="H242" i="237"/>
  <c r="H247" i="237"/>
  <c r="H251" i="237"/>
  <c r="H241" i="237"/>
  <c r="H233" i="237"/>
  <c r="H258" i="237"/>
  <c r="H257" i="237"/>
  <c r="H249" i="237"/>
  <c r="H235" i="237"/>
  <c r="H239" i="237" l="1"/>
  <c r="H255" i="237"/>
  <c r="H245" i="237"/>
  <c r="H234" i="237"/>
  <c r="H250" i="237"/>
  <c r="H256" i="237"/>
  <c r="H253" i="237"/>
  <c r="H236" i="237"/>
  <c r="F253" i="209"/>
  <c r="I253" i="209" s="1"/>
  <c r="F249" i="209"/>
  <c r="I249" i="209" s="1"/>
  <c r="F244" i="209"/>
  <c r="I244" i="209" s="1"/>
  <c r="F250" i="209"/>
  <c r="I250" i="209" s="1"/>
  <c r="F248" i="209"/>
  <c r="I248" i="209" s="1"/>
  <c r="F242" i="209"/>
  <c r="I242" i="209" s="1"/>
  <c r="H238" i="237"/>
  <c r="H243" i="237"/>
  <c r="H254" i="237"/>
  <c r="F260" i="209"/>
  <c r="I260" i="209" s="1"/>
  <c r="F243" i="209"/>
  <c r="I243" i="209" s="1"/>
  <c r="F239" i="209"/>
  <c r="I239" i="209" s="1"/>
  <c r="F261" i="209"/>
  <c r="I261" i="209" s="1"/>
  <c r="H252" i="237"/>
  <c r="F235" i="209" l="1"/>
  <c r="I235" i="209" s="1"/>
  <c r="N234" i="209"/>
  <c r="F234" i="209"/>
  <c r="I234" i="209" s="1"/>
  <c r="N246" i="209"/>
  <c r="F246" i="209"/>
  <c r="I246" i="209" s="1"/>
  <c r="F251" i="209"/>
  <c r="I251" i="209" s="1"/>
  <c r="N259" i="209"/>
  <c r="F259" i="209"/>
  <c r="I259" i="209" s="1"/>
  <c r="F237" i="209"/>
  <c r="I237" i="209" s="1"/>
  <c r="N237" i="209"/>
  <c r="N251" i="209"/>
  <c r="N235" i="209"/>
  <c r="F240" i="209"/>
  <c r="I240" i="209" s="1"/>
  <c r="N239" i="209"/>
  <c r="F245" i="209"/>
  <c r="I245" i="209" s="1"/>
  <c r="N242" i="209"/>
  <c r="N249" i="209"/>
  <c r="F238" i="209"/>
  <c r="I238" i="209" s="1"/>
  <c r="F236" i="209"/>
  <c r="I236" i="209" s="1"/>
  <c r="N243" i="209"/>
  <c r="N248" i="209"/>
  <c r="N253" i="209"/>
  <c r="F254" i="209"/>
  <c r="I254" i="209" s="1"/>
  <c r="N260" i="209"/>
  <c r="N250" i="209"/>
  <c r="F255" i="209"/>
  <c r="I255" i="209" s="1"/>
  <c r="F252" i="209"/>
  <c r="I252" i="209" s="1"/>
  <c r="F247" i="209"/>
  <c r="I247" i="209" s="1"/>
  <c r="F241" i="209"/>
  <c r="I241" i="209" s="1"/>
  <c r="N261" i="209"/>
  <c r="N244" i="209"/>
  <c r="F256" i="209" l="1"/>
  <c r="I256" i="209" s="1"/>
  <c r="N257" i="209"/>
  <c r="F257" i="209"/>
  <c r="I257" i="209" s="1"/>
  <c r="F258" i="209"/>
  <c r="I258" i="209" s="1"/>
  <c r="N256" i="209"/>
  <c r="N258" i="209"/>
  <c r="N240" i="209"/>
  <c r="N241" i="209"/>
  <c r="N247" i="209"/>
  <c r="N245" i="209"/>
  <c r="N252" i="209"/>
  <c r="N254" i="209"/>
  <c r="N255" i="209"/>
  <c r="N236" i="209"/>
  <c r="N238" i="209"/>
  <c r="F233" i="209" l="1"/>
  <c r="D264" i="209"/>
  <c r="D266" i="209" s="1"/>
  <c r="D262" i="237"/>
  <c r="D264" i="237" s="1"/>
  <c r="H231" i="237"/>
  <c r="H262" i="237" s="1"/>
  <c r="H264" i="237" s="1"/>
  <c r="M14" i="222" l="1"/>
  <c r="N14" i="222"/>
  <c r="F14" i="222"/>
  <c r="O14" i="222"/>
  <c r="K14" i="222"/>
  <c r="I14" i="222"/>
  <c r="J14" i="222"/>
  <c r="H14" i="222"/>
  <c r="E14" i="222"/>
  <c r="L14" i="222"/>
  <c r="G14" i="222"/>
  <c r="D14" i="222"/>
  <c r="K264" i="209"/>
  <c r="K266" i="209" s="1"/>
  <c r="N233" i="209"/>
  <c r="N264" i="209" s="1"/>
  <c r="N266" i="209" s="1"/>
  <c r="F17" i="137" s="1"/>
  <c r="F19" i="137" s="1"/>
  <c r="F264" i="209"/>
  <c r="F266" i="209" s="1"/>
  <c r="I233" i="209"/>
  <c r="I264" i="209" s="1"/>
  <c r="I266" i="209" s="1"/>
  <c r="D17" i="137" s="1"/>
  <c r="G26" i="10" l="1"/>
  <c r="G27" i="10" s="1"/>
  <c r="G33" i="10" s="1"/>
  <c r="D19" i="137"/>
  <c r="P14" i="222"/>
  <c r="D13" i="48" l="1"/>
  <c r="D15" i="48" s="1"/>
  <c r="D171" i="79"/>
  <c r="K26" i="46" l="1"/>
  <c r="O26" i="46"/>
  <c r="D16" i="48"/>
  <c r="F155" i="51"/>
  <c r="F159" i="51" l="1"/>
  <c r="P155" i="51"/>
  <c r="F20" i="47"/>
  <c r="M26" i="46"/>
  <c r="F26" i="46"/>
  <c r="L27" i="42"/>
  <c r="N31" i="42" s="1"/>
  <c r="N42" i="42" s="1"/>
  <c r="N43" i="42" l="1"/>
  <c r="N45" i="42" s="1"/>
  <c r="O31" i="42"/>
  <c r="O42" i="42" s="1"/>
  <c r="O43" i="42" s="1"/>
  <c r="J20" i="47"/>
  <c r="P159" i="51"/>
  <c r="P161" i="51" s="1"/>
  <c r="P163" i="51" s="1"/>
  <c r="F161" i="51"/>
  <c r="F163" i="51" s="1"/>
  <c r="O45" i="42" l="1"/>
  <c r="P31" i="42"/>
  <c r="P42" i="42" s="1"/>
  <c r="P43" i="42" s="1"/>
  <c r="P45" i="42" l="1"/>
  <c r="P60" i="51" l="1"/>
  <c r="P77" i="51"/>
  <c r="P79" i="51"/>
  <c r="P127" i="51"/>
  <c r="P50" i="51"/>
  <c r="P92" i="51"/>
  <c r="P132" i="51"/>
  <c r="P114" i="51"/>
  <c r="P111" i="51"/>
  <c r="P130" i="51"/>
  <c r="P64" i="51"/>
  <c r="P69" i="51"/>
  <c r="P82" i="51"/>
  <c r="P117" i="51"/>
  <c r="P105" i="51"/>
  <c r="P68" i="51"/>
  <c r="P74" i="51"/>
  <c r="P106" i="51"/>
  <c r="P67" i="51"/>
  <c r="P122" i="51"/>
  <c r="P89" i="51"/>
  <c r="P126" i="51"/>
  <c r="P120" i="51"/>
  <c r="P129" i="51"/>
  <c r="P49" i="51"/>
  <c r="P48" i="51"/>
  <c r="P75" i="51"/>
  <c r="P65" i="51"/>
  <c r="P59" i="51"/>
  <c r="P128" i="51"/>
  <c r="P73" i="51"/>
  <c r="P83" i="51"/>
  <c r="P123" i="51"/>
  <c r="P118" i="51"/>
  <c r="P112" i="51"/>
  <c r="D19" i="250" l="1"/>
  <c r="F19" i="250" s="1"/>
  <c r="H74" i="192"/>
  <c r="E74" i="192"/>
  <c r="G74" i="192"/>
  <c r="I74" i="192"/>
  <c r="F74" i="192"/>
  <c r="D74" i="192"/>
  <c r="D141" i="51" l="1"/>
  <c r="F33" i="250"/>
  <c r="F21" i="105" l="1"/>
  <c r="F23" i="105" s="1"/>
  <c r="E23" i="102"/>
  <c r="D23" i="105" l="1"/>
  <c r="P116" i="51"/>
  <c r="E22" i="102"/>
  <c r="E24" i="102" s="1"/>
  <c r="C24" i="102"/>
  <c r="P57" i="51" l="1"/>
  <c r="P131" i="51"/>
  <c r="I23" i="102"/>
  <c r="P93" i="51" l="1"/>
  <c r="G24" i="102"/>
  <c r="I22" i="102"/>
  <c r="I24" i="102" s="1"/>
  <c r="J21" i="105"/>
  <c r="J23" i="105" s="1"/>
  <c r="H23" i="105"/>
  <c r="P62" i="51" l="1"/>
  <c r="P107" i="51"/>
  <c r="P104" i="51"/>
  <c r="P78" i="51"/>
  <c r="P63" i="51"/>
  <c r="P101" i="51"/>
  <c r="P100" i="51" l="1"/>
  <c r="P124" i="51" l="1"/>
  <c r="I59" i="190" l="1"/>
  <c r="I61" i="190" s="1"/>
  <c r="H59" i="190"/>
  <c r="H61" i="190" s="1"/>
  <c r="G59" i="190"/>
  <c r="G61" i="190" s="1"/>
  <c r="F59" i="190"/>
  <c r="F61" i="190" s="1"/>
  <c r="E59" i="190"/>
  <c r="E61" i="190" s="1"/>
  <c r="D59" i="190" l="1"/>
  <c r="D61" i="190" s="1"/>
  <c r="E125" i="44" l="1"/>
  <c r="F125" i="44"/>
  <c r="D125" i="44"/>
  <c r="H125" i="44"/>
  <c r="G125" i="44"/>
  <c r="I125" i="44"/>
  <c r="M36" i="35"/>
  <c r="L36" i="35" l="1"/>
  <c r="D139" i="51"/>
  <c r="D20" i="49"/>
  <c r="D14" i="49"/>
  <c r="M30" i="35"/>
  <c r="D138" i="51"/>
  <c r="M59" i="190"/>
  <c r="M26" i="35" l="1"/>
  <c r="T27" i="35" s="1"/>
  <c r="T26" i="35"/>
  <c r="K59" i="190"/>
  <c r="O59" i="190"/>
  <c r="N59" i="190"/>
  <c r="J59" i="190"/>
  <c r="L59" i="190"/>
  <c r="H30" i="35"/>
  <c r="L30" i="35"/>
  <c r="D19" i="49"/>
  <c r="D21" i="49" s="1"/>
  <c r="E27" i="102" l="1"/>
  <c r="P38" i="190"/>
  <c r="P20" i="190"/>
  <c r="P16" i="190"/>
  <c r="E28" i="102"/>
  <c r="P24" i="190"/>
  <c r="E17" i="102"/>
  <c r="M32" i="35"/>
  <c r="L26" i="35"/>
  <c r="M25" i="35"/>
  <c r="D17" i="36"/>
  <c r="E18" i="102"/>
  <c r="D140" i="51"/>
  <c r="H144" i="51"/>
  <c r="H146" i="51" s="1"/>
  <c r="H148" i="51" s="1"/>
  <c r="D22" i="49"/>
  <c r="P36" i="190" l="1"/>
  <c r="P21" i="190"/>
  <c r="E29" i="102"/>
  <c r="P39" i="190"/>
  <c r="N33" i="190"/>
  <c r="N44" i="190" s="1"/>
  <c r="N46" i="190" s="1"/>
  <c r="P31" i="190"/>
  <c r="O33" i="190"/>
  <c r="O44" i="190" s="1"/>
  <c r="O46" i="190" s="1"/>
  <c r="P35" i="190"/>
  <c r="P25" i="190"/>
  <c r="P19" i="190"/>
  <c r="P29" i="190"/>
  <c r="D63" i="100" s="1"/>
  <c r="P41" i="190"/>
  <c r="P18" i="190"/>
  <c r="P30" i="190"/>
  <c r="C29" i="102"/>
  <c r="P37" i="190"/>
  <c r="M33" i="190"/>
  <c r="P28" i="190"/>
  <c r="D35" i="100" s="1"/>
  <c r="P32" i="190"/>
  <c r="P23" i="190"/>
  <c r="P40" i="190"/>
  <c r="P17" i="190"/>
  <c r="P34" i="190"/>
  <c r="C19" i="102"/>
  <c r="E19" i="102"/>
  <c r="D22" i="36"/>
  <c r="H22" i="36" s="1"/>
  <c r="D21" i="36"/>
  <c r="H21" i="36" s="1"/>
  <c r="D20" i="36"/>
  <c r="H20" i="36" s="1"/>
  <c r="D23" i="36"/>
  <c r="H23" i="36" s="1"/>
  <c r="H17" i="36"/>
  <c r="M24" i="35"/>
  <c r="L24" i="35" s="1"/>
  <c r="L25" i="35"/>
  <c r="M42" i="35"/>
  <c r="M35" i="35"/>
  <c r="O42" i="190" l="1"/>
  <c r="O60" i="190"/>
  <c r="O61" i="190" s="1"/>
  <c r="N42" i="190"/>
  <c r="N60" i="190"/>
  <c r="N61" i="190" s="1"/>
  <c r="L33" i="190"/>
  <c r="L44" i="190" s="1"/>
  <c r="L60" i="190" s="1"/>
  <c r="L61" i="190" s="1"/>
  <c r="K33" i="190"/>
  <c r="K42" i="190" s="1"/>
  <c r="K44" i="190" s="1"/>
  <c r="K60" i="190" s="1"/>
  <c r="K61" i="190" s="1"/>
  <c r="M44" i="190"/>
  <c r="M42" i="190"/>
  <c r="P26" i="190"/>
  <c r="D66" i="100"/>
  <c r="F63" i="100"/>
  <c r="F66" i="100" s="1"/>
  <c r="F35" i="100"/>
  <c r="F36" i="100" s="1"/>
  <c r="D36" i="100"/>
  <c r="J33" i="190"/>
  <c r="L35" i="35"/>
  <c r="D25" i="36"/>
  <c r="M39" i="35"/>
  <c r="D28" i="36"/>
  <c r="M46" i="35"/>
  <c r="L42" i="35"/>
  <c r="M28" i="35"/>
  <c r="P81" i="51"/>
  <c r="P90" i="51"/>
  <c r="P33" i="190" l="1"/>
  <c r="P42" i="190" s="1"/>
  <c r="L46" i="190"/>
  <c r="K46" i="190"/>
  <c r="L42" i="190"/>
  <c r="J42" i="190"/>
  <c r="J44" i="190" s="1"/>
  <c r="D31" i="226"/>
  <c r="M46" i="190"/>
  <c r="M60" i="190"/>
  <c r="M61" i="190" s="1"/>
  <c r="E31" i="226"/>
  <c r="H134" i="51"/>
  <c r="H28" i="36"/>
  <c r="D29" i="36"/>
  <c r="H29" i="36" s="1"/>
  <c r="H25" i="36"/>
  <c r="P91" i="51"/>
  <c r="J134" i="51"/>
  <c r="P87" i="51"/>
  <c r="P54" i="51"/>
  <c r="P58" i="51"/>
  <c r="J140" i="51"/>
  <c r="P140" i="51" s="1"/>
  <c r="H139" i="51"/>
  <c r="F31" i="226" l="1"/>
  <c r="F52" i="226" s="1"/>
  <c r="F54" i="226" s="1"/>
  <c r="D52" i="226"/>
  <c r="D54" i="226" s="1"/>
  <c r="D42" i="226"/>
  <c r="D44" i="226" s="1"/>
  <c r="D40" i="226"/>
  <c r="J46" i="190"/>
  <c r="P46" i="190" s="1"/>
  <c r="J60" i="190"/>
  <c r="J61" i="190" s="1"/>
  <c r="P44" i="190"/>
  <c r="E52" i="226"/>
  <c r="E54" i="226" s="1"/>
  <c r="E42" i="226"/>
  <c r="E44" i="226" s="1"/>
  <c r="E40" i="226"/>
  <c r="D31" i="36"/>
  <c r="H31" i="36" s="1"/>
  <c r="H142" i="51"/>
  <c r="P139" i="51"/>
  <c r="F40" i="226" l="1"/>
  <c r="F42" i="226"/>
  <c r="F44" i="226" s="1"/>
  <c r="P45" i="190"/>
  <c r="I28" i="102"/>
  <c r="P84" i="51"/>
  <c r="P61" i="51"/>
  <c r="P56" i="51"/>
  <c r="P119" i="51"/>
  <c r="P103" i="51"/>
  <c r="P115" i="51"/>
  <c r="P66" i="51"/>
  <c r="I27" i="102" l="1"/>
  <c r="I29" i="102" s="1"/>
  <c r="G29" i="102"/>
  <c r="P18" i="226"/>
  <c r="P36" i="226"/>
  <c r="P22" i="226"/>
  <c r="H31" i="226"/>
  <c r="P14" i="226"/>
  <c r="G31" i="226"/>
  <c r="P72" i="51"/>
  <c r="P113" i="51"/>
  <c r="P102" i="51"/>
  <c r="P80" i="51"/>
  <c r="P99" i="51"/>
  <c r="O30" i="35"/>
  <c r="P76" i="51"/>
  <c r="P51" i="51"/>
  <c r="P52" i="51"/>
  <c r="P109" i="51"/>
  <c r="P108" i="51"/>
  <c r="P53" i="51"/>
  <c r="P86" i="51"/>
  <c r="P85" i="51"/>
  <c r="P88" i="51"/>
  <c r="P55" i="51"/>
  <c r="P71" i="51"/>
  <c r="I18" i="102"/>
  <c r="O26" i="35" l="1"/>
  <c r="U26" i="35"/>
  <c r="P29" i="226"/>
  <c r="H52" i="226"/>
  <c r="H54" i="226" s="1"/>
  <c r="H42" i="226"/>
  <c r="H44" i="226" s="1"/>
  <c r="H40" i="226"/>
  <c r="P30" i="226"/>
  <c r="P28" i="226"/>
  <c r="P27" i="226"/>
  <c r="H63" i="100" s="1"/>
  <c r="P24" i="226"/>
  <c r="P21" i="226"/>
  <c r="P33" i="226"/>
  <c r="G52" i="226"/>
  <c r="G54" i="226" s="1"/>
  <c r="G42" i="226"/>
  <c r="G44" i="226" s="1"/>
  <c r="G40" i="226"/>
  <c r="P16" i="226"/>
  <c r="P39" i="226"/>
  <c r="P37" i="226"/>
  <c r="I31" i="226"/>
  <c r="P19" i="226"/>
  <c r="P23" i="226"/>
  <c r="P26" i="226"/>
  <c r="H35" i="100" s="1"/>
  <c r="P17" i="226"/>
  <c r="P38" i="226"/>
  <c r="I17" i="102"/>
  <c r="I19" i="102" s="1"/>
  <c r="G19" i="102"/>
  <c r="N30" i="35"/>
  <c r="J30" i="35"/>
  <c r="U27" i="35" l="1"/>
  <c r="J31" i="226"/>
  <c r="I42" i="226"/>
  <c r="I44" i="226" s="1"/>
  <c r="I52" i="226"/>
  <c r="I54" i="226" s="1"/>
  <c r="I40" i="226"/>
  <c r="J63" i="100"/>
  <c r="J66" i="100" s="1"/>
  <c r="H66" i="100"/>
  <c r="H36" i="100"/>
  <c r="J35" i="100"/>
  <c r="J36" i="100" s="1"/>
  <c r="P15" i="226"/>
  <c r="O32" i="35"/>
  <c r="O42" i="35" s="1"/>
  <c r="O25" i="35"/>
  <c r="N25" i="35" s="1"/>
  <c r="N26" i="35"/>
  <c r="L17" i="36"/>
  <c r="L21" i="36" s="1"/>
  <c r="J52" i="226" l="1"/>
  <c r="J54" i="226" s="1"/>
  <c r="J42" i="226"/>
  <c r="J44" i="226" s="1"/>
  <c r="J40" i="226"/>
  <c r="K31" i="226"/>
  <c r="O24" i="35"/>
  <c r="N24" i="35" s="1"/>
  <c r="J21" i="36"/>
  <c r="J17" i="36"/>
  <c r="L22" i="36"/>
  <c r="J22" i="36" s="1"/>
  <c r="L23" i="36"/>
  <c r="J23" i="36" s="1"/>
  <c r="L20" i="36"/>
  <c r="J20" i="36" s="1"/>
  <c r="L28" i="36"/>
  <c r="O46" i="35"/>
  <c r="N42" i="35"/>
  <c r="K42" i="226" l="1"/>
  <c r="K44" i="226" s="1"/>
  <c r="K52" i="226"/>
  <c r="K54" i="226" s="1"/>
  <c r="K40" i="226"/>
  <c r="L31" i="226"/>
  <c r="O28" i="35"/>
  <c r="J28" i="36"/>
  <c r="L29" i="36"/>
  <c r="J29" i="36" s="1"/>
  <c r="D37" i="250"/>
  <c r="F37" i="250" s="1"/>
  <c r="F36" i="250"/>
  <c r="P32" i="226" l="1"/>
  <c r="M31" i="226"/>
  <c r="L52" i="226"/>
  <c r="L54" i="226" s="1"/>
  <c r="L42" i="226"/>
  <c r="L44" i="226" s="1"/>
  <c r="L40" i="226"/>
  <c r="O36" i="35"/>
  <c r="D13" i="49"/>
  <c r="D15" i="49" s="1"/>
  <c r="P34" i="226" l="1"/>
  <c r="N31" i="226"/>
  <c r="M52" i="226"/>
  <c r="M54" i="226" s="1"/>
  <c r="M42" i="226"/>
  <c r="M44" i="226" s="1"/>
  <c r="M40" i="226"/>
  <c r="D16" i="49"/>
  <c r="F144" i="51"/>
  <c r="P125" i="51"/>
  <c r="F138" i="51"/>
  <c r="P138" i="51" s="1"/>
  <c r="F134" i="51"/>
  <c r="N36" i="35"/>
  <c r="O35" i="35"/>
  <c r="O39" i="35" s="1"/>
  <c r="P35" i="226" l="1"/>
  <c r="O31" i="226"/>
  <c r="N52" i="226"/>
  <c r="N54" i="226" s="1"/>
  <c r="N42" i="226"/>
  <c r="N44" i="226" s="1"/>
  <c r="N40" i="226"/>
  <c r="N35" i="35"/>
  <c r="L25" i="36"/>
  <c r="J25" i="36" s="1"/>
  <c r="J31" i="36" s="1"/>
  <c r="L31" i="36" s="1"/>
  <c r="F146" i="51"/>
  <c r="F148" i="51" s="1"/>
  <c r="F142" i="51"/>
  <c r="O52" i="226" l="1"/>
  <c r="O54" i="226" s="1"/>
  <c r="O42" i="226"/>
  <c r="O44" i="226" s="1"/>
  <c r="P44" i="226" s="1"/>
  <c r="O40" i="226"/>
  <c r="P31" i="226"/>
  <c r="P40" i="226" s="1"/>
  <c r="P68" i="44" l="1"/>
  <c r="D80" i="45" s="1"/>
  <c r="D77" i="51" s="1"/>
  <c r="P31" i="44"/>
  <c r="D38" i="45" s="1"/>
  <c r="D48" i="51" s="1"/>
  <c r="P60" i="44"/>
  <c r="D63" i="45" s="1"/>
  <c r="D64" i="51" s="1"/>
  <c r="P73" i="44"/>
  <c r="D111" i="45" s="1"/>
  <c r="D83" i="51" s="1"/>
  <c r="P63" i="44"/>
  <c r="D69" i="45" s="1"/>
  <c r="D69" i="51" s="1"/>
  <c r="P110" i="44" l="1"/>
  <c r="D167" i="45" s="1"/>
  <c r="D131" i="51" s="1"/>
  <c r="P47" i="44"/>
  <c r="P56" i="44"/>
  <c r="D58" i="45" s="1"/>
  <c r="P25" i="193" l="1"/>
  <c r="P103" i="44"/>
  <c r="D160" i="45" s="1"/>
  <c r="D122" i="51" s="1"/>
  <c r="P94" i="44"/>
  <c r="D139" i="45" s="1"/>
  <c r="D110" i="51" s="1"/>
  <c r="P79" i="44"/>
  <c r="D117" i="45" s="1"/>
  <c r="D89" i="51" s="1"/>
  <c r="P96" i="44"/>
  <c r="D146" i="45" s="1"/>
  <c r="D114" i="51" s="1"/>
  <c r="P111" i="44"/>
  <c r="D171" i="45" s="1"/>
  <c r="D132" i="51" s="1"/>
  <c r="P24" i="193"/>
  <c r="E33" i="102"/>
  <c r="P16" i="193"/>
  <c r="E32" i="102"/>
  <c r="P51" i="44"/>
  <c r="D50" i="45" s="1"/>
  <c r="D54" i="51" s="1"/>
  <c r="P91" i="44"/>
  <c r="D136" i="45" s="1"/>
  <c r="P54" i="44"/>
  <c r="D53" i="45" s="1"/>
  <c r="D57" i="51" s="1"/>
  <c r="P62" i="44"/>
  <c r="D68" i="45" s="1"/>
  <c r="D59" i="51"/>
  <c r="P30" i="44"/>
  <c r="D45" i="45"/>
  <c r="P82" i="44"/>
  <c r="D123" i="45" s="1"/>
  <c r="P59" i="44"/>
  <c r="D62" i="45" s="1"/>
  <c r="D63" i="51" s="1"/>
  <c r="P72" i="44"/>
  <c r="D110" i="45" s="1"/>
  <c r="D82" i="51" s="1"/>
  <c r="P89" i="44"/>
  <c r="D130" i="45" s="1"/>
  <c r="D104" i="51" s="1"/>
  <c r="P55" i="44"/>
  <c r="D54" i="45" s="1"/>
  <c r="D58" i="51" s="1"/>
  <c r="P69" i="44"/>
  <c r="D81" i="45" s="1"/>
  <c r="D78" i="51" s="1"/>
  <c r="P78" i="44" l="1"/>
  <c r="D116" i="45" s="1"/>
  <c r="D88" i="51" s="1"/>
  <c r="P71" i="44"/>
  <c r="D109" i="45" s="1"/>
  <c r="D81" i="51" s="1"/>
  <c r="P67" i="44"/>
  <c r="D79" i="45" s="1"/>
  <c r="D83" i="45" s="1"/>
  <c r="P48" i="44"/>
  <c r="D47" i="45" s="1"/>
  <c r="D51" i="51" s="1"/>
  <c r="P86" i="44"/>
  <c r="D127" i="45" s="1"/>
  <c r="D101" i="51" s="1"/>
  <c r="P105" i="44"/>
  <c r="D162" i="45" s="1"/>
  <c r="D124" i="51" s="1"/>
  <c r="P66" i="44"/>
  <c r="D72" i="45" s="1"/>
  <c r="D72" i="51" s="1"/>
  <c r="D172" i="45"/>
  <c r="O22" i="193"/>
  <c r="O32" i="193" s="1"/>
  <c r="O34" i="193" s="1"/>
  <c r="C34" i="102"/>
  <c r="P92" i="44"/>
  <c r="D137" i="45" s="1"/>
  <c r="D108" i="51" s="1"/>
  <c r="K22" i="193"/>
  <c r="K30" i="193" s="1"/>
  <c r="K32" i="193" s="1"/>
  <c r="K34" i="193" s="1"/>
  <c r="P81" i="44"/>
  <c r="D119" i="45" s="1"/>
  <c r="D91" i="51" s="1"/>
  <c r="P100" i="44"/>
  <c r="D157" i="45" s="1"/>
  <c r="D119" i="51" s="1"/>
  <c r="P64" i="44"/>
  <c r="D70" i="45" s="1"/>
  <c r="D70" i="51" s="1"/>
  <c r="P97" i="44"/>
  <c r="D150" i="45" s="1"/>
  <c r="O30" i="193"/>
  <c r="P27" i="193"/>
  <c r="P14" i="193"/>
  <c r="J22" i="193"/>
  <c r="J30" i="193" s="1"/>
  <c r="J32" i="193" s="1"/>
  <c r="P19" i="193"/>
  <c r="P26" i="193"/>
  <c r="E34" i="102"/>
  <c r="L22" i="193"/>
  <c r="L32" i="193" s="1"/>
  <c r="L34" i="193" s="1"/>
  <c r="P28" i="193"/>
  <c r="M22" i="193"/>
  <c r="M32" i="193" s="1"/>
  <c r="M34" i="193" s="1"/>
  <c r="P15" i="193"/>
  <c r="P21" i="193"/>
  <c r="P17" i="193"/>
  <c r="F31" i="105"/>
  <c r="F33" i="105" s="1"/>
  <c r="F35" i="105" s="1"/>
  <c r="D33" i="105"/>
  <c r="D35" i="105" s="1"/>
  <c r="P18" i="193"/>
  <c r="P20" i="193"/>
  <c r="P23" i="193"/>
  <c r="N22" i="193"/>
  <c r="P107" i="44"/>
  <c r="D164" i="45" s="1"/>
  <c r="D126" i="51" s="1"/>
  <c r="P98" i="44"/>
  <c r="P90" i="44"/>
  <c r="D131" i="45" s="1"/>
  <c r="D105" i="51" s="1"/>
  <c r="P61" i="44"/>
  <c r="D64" i="45" s="1"/>
  <c r="D66" i="51" s="1"/>
  <c r="D92" i="51"/>
  <c r="P109" i="44"/>
  <c r="D166" i="45" s="1"/>
  <c r="D130" i="51" s="1"/>
  <c r="P75" i="44"/>
  <c r="D113" i="45" s="1"/>
  <c r="D85" i="51" s="1"/>
  <c r="P50" i="44"/>
  <c r="D49" i="45" s="1"/>
  <c r="D53" i="51" s="1"/>
  <c r="P65" i="44"/>
  <c r="D71" i="45" s="1"/>
  <c r="D71" i="51" s="1"/>
  <c r="P93" i="44"/>
  <c r="D138" i="45" s="1"/>
  <c r="D109" i="51" s="1"/>
  <c r="D68" i="51"/>
  <c r="P101" i="44"/>
  <c r="D158" i="45" s="1"/>
  <c r="D120" i="51" s="1"/>
  <c r="P106" i="44"/>
  <c r="D163" i="45" s="1"/>
  <c r="D125" i="51" s="1"/>
  <c r="P49" i="44"/>
  <c r="D48" i="45" s="1"/>
  <c r="D52" i="51" s="1"/>
  <c r="P53" i="44"/>
  <c r="D52" i="45" s="1"/>
  <c r="D56" i="51" s="1"/>
  <c r="P108" i="44"/>
  <c r="D165" i="45" s="1"/>
  <c r="D127" i="51" s="1"/>
  <c r="P58" i="44"/>
  <c r="D61" i="45" s="1"/>
  <c r="D62" i="51" s="1"/>
  <c r="P77" i="44"/>
  <c r="D115" i="45" s="1"/>
  <c r="D87" i="51" s="1"/>
  <c r="P95" i="44"/>
  <c r="P74" i="44"/>
  <c r="D112" i="45" s="1"/>
  <c r="D84" i="51" s="1"/>
  <c r="P85" i="44"/>
  <c r="D126" i="45" s="1"/>
  <c r="D100" i="51" s="1"/>
  <c r="D49" i="51"/>
  <c r="P104" i="44"/>
  <c r="D161" i="45" s="1"/>
  <c r="D123" i="51" s="1"/>
  <c r="P80" i="44"/>
  <c r="D118" i="45" s="1"/>
  <c r="D90" i="51" s="1"/>
  <c r="P57" i="44"/>
  <c r="D60" i="45" s="1"/>
  <c r="P76" i="44"/>
  <c r="D114" i="45" s="1"/>
  <c r="D86" i="51" s="1"/>
  <c r="P88" i="44"/>
  <c r="D129" i="45" s="1"/>
  <c r="D103" i="51" s="1"/>
  <c r="P83" i="44"/>
  <c r="D124" i="45" s="1"/>
  <c r="D93" i="51" s="1"/>
  <c r="P52" i="44"/>
  <c r="D51" i="45" s="1"/>
  <c r="D55" i="51" s="1"/>
  <c r="D37" i="45"/>
  <c r="D39" i="45" s="1"/>
  <c r="P84" i="44"/>
  <c r="D125" i="45" s="1"/>
  <c r="D99" i="51" s="1"/>
  <c r="P70" i="44"/>
  <c r="D108" i="45" s="1"/>
  <c r="P87" i="44"/>
  <c r="D128" i="45" s="1"/>
  <c r="D102" i="51" s="1"/>
  <c r="P99" i="44"/>
  <c r="D107" i="51"/>
  <c r="D65" i="45" l="1"/>
  <c r="D76" i="51"/>
  <c r="D48" i="100"/>
  <c r="F48" i="100" s="1"/>
  <c r="D55" i="45"/>
  <c r="J34" i="193"/>
  <c r="M30" i="193"/>
  <c r="L30" i="193"/>
  <c r="N30" i="193"/>
  <c r="N32" i="193"/>
  <c r="N34" i="193" s="1"/>
  <c r="P22" i="193"/>
  <c r="P30" i="193" s="1"/>
  <c r="D120" i="45"/>
  <c r="D80" i="51"/>
  <c r="D61" i="51"/>
  <c r="D18" i="46"/>
  <c r="D49" i="100"/>
  <c r="F49" i="100" s="1"/>
  <c r="D151" i="45"/>
  <c r="D116" i="51" s="1"/>
  <c r="D140" i="45"/>
  <c r="D22" i="46" s="1"/>
  <c r="D24" i="24" s="1"/>
  <c r="H24" i="24" s="1"/>
  <c r="D75" i="45"/>
  <c r="D20" i="46" s="1"/>
  <c r="D20" i="24" s="1"/>
  <c r="H20" i="24" s="1"/>
  <c r="D50" i="100"/>
  <c r="F50" i="100" s="1"/>
  <c r="D152" i="45"/>
  <c r="D117" i="51" s="1"/>
  <c r="D115" i="51"/>
  <c r="D20" i="100"/>
  <c r="D145" i="45"/>
  <c r="D133" i="45"/>
  <c r="D52" i="100" l="1"/>
  <c r="D154" i="45"/>
  <c r="D24" i="46" s="1"/>
  <c r="D28" i="24" s="1"/>
  <c r="H28" i="24" s="1"/>
  <c r="F52" i="100"/>
  <c r="P32" i="193"/>
  <c r="P64" i="190"/>
  <c r="P34" i="193"/>
  <c r="D113" i="51"/>
  <c r="D147" i="45"/>
  <c r="D23" i="46" s="1"/>
  <c r="D26" i="24" s="1"/>
  <c r="H26" i="24" s="1"/>
  <c r="D22" i="100"/>
  <c r="F20" i="100"/>
  <c r="F22" i="100" s="1"/>
  <c r="D21" i="46"/>
  <c r="D22" i="24" s="1"/>
  <c r="H22" i="24" s="1"/>
  <c r="D19" i="46"/>
  <c r="D18" i="24" s="1"/>
  <c r="H18" i="24" s="1"/>
  <c r="D16" i="24"/>
  <c r="P33" i="193" l="1"/>
  <c r="H16" i="24"/>
  <c r="P16" i="227" l="1"/>
  <c r="P20" i="227"/>
  <c r="I33" i="102"/>
  <c r="P27" i="227"/>
  <c r="G34" i="102" l="1"/>
  <c r="I32" i="102"/>
  <c r="I34" i="102" s="1"/>
  <c r="H33" i="105"/>
  <c r="H35" i="105" s="1"/>
  <c r="J31" i="105"/>
  <c r="J33" i="105" s="1"/>
  <c r="J35" i="105" s="1"/>
  <c r="P23" i="227"/>
  <c r="P15" i="227"/>
  <c r="P28" i="227"/>
  <c r="P18" i="227"/>
  <c r="P19" i="227"/>
  <c r="P17" i="227"/>
  <c r="P21" i="227"/>
  <c r="P14" i="227" l="1"/>
  <c r="P26" i="227" l="1"/>
  <c r="N22" i="227" l="1"/>
  <c r="P25" i="227"/>
  <c r="J22" i="227"/>
  <c r="D22" i="227"/>
  <c r="H22" i="227"/>
  <c r="K22" i="227"/>
  <c r="O22" i="227"/>
  <c r="I22" i="227"/>
  <c r="G22" i="227"/>
  <c r="O32" i="227" l="1"/>
  <c r="O34" i="227" s="1"/>
  <c r="O41" i="227"/>
  <c r="O43" i="227" s="1"/>
  <c r="O30" i="227"/>
  <c r="L22" i="227"/>
  <c r="M22" i="227"/>
  <c r="D32" i="227"/>
  <c r="D41" i="227"/>
  <c r="D43" i="227" s="1"/>
  <c r="D30" i="227"/>
  <c r="I41" i="227"/>
  <c r="I43" i="227" s="1"/>
  <c r="I32" i="227"/>
  <c r="I34" i="227" s="1"/>
  <c r="I30" i="227"/>
  <c r="F22" i="227"/>
  <c r="J32" i="227"/>
  <c r="J34" i="227" s="1"/>
  <c r="J41" i="227"/>
  <c r="J43" i="227" s="1"/>
  <c r="J30" i="227"/>
  <c r="K41" i="227"/>
  <c r="K43" i="227" s="1"/>
  <c r="K32" i="227"/>
  <c r="K34" i="227" s="1"/>
  <c r="K30" i="227"/>
  <c r="G41" i="227"/>
  <c r="G43" i="227" s="1"/>
  <c r="G32" i="227"/>
  <c r="G34" i="227" s="1"/>
  <c r="G30" i="227"/>
  <c r="H41" i="227"/>
  <c r="H43" i="227" s="1"/>
  <c r="H32" i="227"/>
  <c r="H34" i="227" s="1"/>
  <c r="H30" i="227"/>
  <c r="N41" i="227"/>
  <c r="N43" i="227" s="1"/>
  <c r="N32" i="227"/>
  <c r="N34" i="227" s="1"/>
  <c r="N30" i="227"/>
  <c r="M32" i="227" l="1"/>
  <c r="M34" i="227" s="1"/>
  <c r="M41" i="227"/>
  <c r="M43" i="227" s="1"/>
  <c r="M30" i="227"/>
  <c r="L30" i="227"/>
  <c r="L32" i="227"/>
  <c r="L34" i="227" s="1"/>
  <c r="L41" i="227"/>
  <c r="L43" i="227" s="1"/>
  <c r="F30" i="227"/>
  <c r="F32" i="227"/>
  <c r="F34" i="227" s="1"/>
  <c r="F41" i="227"/>
  <c r="F43" i="227" s="1"/>
  <c r="E22" i="227"/>
  <c r="P24" i="227"/>
  <c r="D34" i="227"/>
  <c r="E41" i="227" l="1"/>
  <c r="E43" i="227" s="1"/>
  <c r="E32" i="227"/>
  <c r="E30" i="227"/>
  <c r="P22" i="227"/>
  <c r="P30" i="227" s="1"/>
  <c r="E34" i="227" l="1"/>
  <c r="P32" i="227"/>
  <c r="P34" i="227" l="1"/>
  <c r="L110" i="51" l="1"/>
  <c r="P110" i="51" l="1"/>
  <c r="L134" i="51"/>
  <c r="L141" i="51" s="1"/>
  <c r="P141" i="51" s="1"/>
  <c r="F17" i="250" l="1"/>
  <c r="D15" i="250"/>
  <c r="F15" i="250" s="1"/>
  <c r="D31" i="250"/>
  <c r="F31" i="250" s="1"/>
  <c r="D28" i="250"/>
  <c r="F28" i="250" s="1"/>
  <c r="F23" i="250" l="1"/>
  <c r="F27" i="250"/>
  <c r="F30" i="250"/>
  <c r="F39" i="250" l="1"/>
  <c r="F41" i="250" s="1"/>
  <c r="M25" i="46" s="1"/>
  <c r="F43" i="250" l="1"/>
  <c r="M27" i="46" s="1"/>
  <c r="O27" i="46" s="1"/>
  <c r="F21" i="47" s="1"/>
  <c r="L55" i="228"/>
  <c r="N57" i="192"/>
  <c r="O55" i="228"/>
  <c r="E55" i="228"/>
  <c r="M55" i="228"/>
  <c r="K25" i="228"/>
  <c r="J57" i="192"/>
  <c r="D55" i="228"/>
  <c r="K57" i="192"/>
  <c r="L57" i="192"/>
  <c r="O57" i="192"/>
  <c r="K55" i="228"/>
  <c r="J27" i="192"/>
  <c r="J55" i="228"/>
  <c r="I55" i="228"/>
  <c r="H55" i="228"/>
  <c r="G55" i="228"/>
  <c r="L25" i="228"/>
  <c r="D25" i="228"/>
  <c r="K27" i="192"/>
  <c r="N55" i="228"/>
  <c r="F55" i="228"/>
  <c r="M57" i="192"/>
  <c r="J25" i="228"/>
  <c r="O21" i="192"/>
  <c r="H19" i="228"/>
  <c r="I19" i="228"/>
  <c r="J19" i="228"/>
  <c r="J21" i="192"/>
  <c r="K19" i="228"/>
  <c r="K21" i="192"/>
  <c r="D19" i="228"/>
  <c r="L19" i="228"/>
  <c r="L21" i="192"/>
  <c r="E19" i="228"/>
  <c r="M19" i="228"/>
  <c r="M21" i="192"/>
  <c r="F19" i="228"/>
  <c r="N19" i="228"/>
  <c r="N21" i="192"/>
  <c r="G19" i="228"/>
  <c r="O19" i="228"/>
  <c r="I25" i="228"/>
  <c r="H25" i="228"/>
  <c r="O27" i="192"/>
  <c r="O25" i="228"/>
  <c r="G25" i="228"/>
  <c r="N27" i="192"/>
  <c r="N25" i="228"/>
  <c r="F25" i="228"/>
  <c r="M27" i="192"/>
  <c r="M25" i="228"/>
  <c r="E25" i="228"/>
  <c r="L27" i="192"/>
  <c r="P27" i="192" l="1"/>
  <c r="P57" i="192"/>
  <c r="P25" i="228"/>
  <c r="P21" i="192"/>
  <c r="P19" i="228"/>
  <c r="P55" i="228"/>
  <c r="N44" i="192"/>
  <c r="J44" i="192"/>
  <c r="O44" i="192"/>
  <c r="M44" i="192" l="1"/>
  <c r="K59" i="192"/>
  <c r="K44" i="192"/>
  <c r="L59" i="192"/>
  <c r="L44" i="192"/>
  <c r="P44" i="192" l="1"/>
  <c r="E57" i="228"/>
  <c r="D57" i="228"/>
  <c r="N59" i="192"/>
  <c r="F57" i="228"/>
  <c r="H57" i="228"/>
  <c r="J59" i="192"/>
  <c r="O59" i="192"/>
  <c r="M59" i="192"/>
  <c r="G57" i="228"/>
  <c r="D56" i="228"/>
  <c r="I57" i="228"/>
  <c r="F56" i="228"/>
  <c r="E27" i="228"/>
  <c r="H27" i="228"/>
  <c r="D27" i="228"/>
  <c r="O29" i="192"/>
  <c r="K29" i="192"/>
  <c r="J29" i="192"/>
  <c r="G27" i="228"/>
  <c r="N39" i="192"/>
  <c r="M41" i="192"/>
  <c r="E44" i="228"/>
  <c r="K54" i="192"/>
  <c r="O54" i="192"/>
  <c r="L40" i="192"/>
  <c r="K40" i="192"/>
  <c r="O46" i="192"/>
  <c r="J46" i="192"/>
  <c r="N46" i="192"/>
  <c r="L46" i="192"/>
  <c r="O26" i="192"/>
  <c r="N26" i="192"/>
  <c r="L26" i="192"/>
  <c r="J26" i="192"/>
  <c r="M17" i="228"/>
  <c r="E17" i="228"/>
  <c r="L17" i="228"/>
  <c r="I17" i="228"/>
  <c r="H17" i="228"/>
  <c r="F17" i="228"/>
  <c r="D17" i="228"/>
  <c r="L19" i="192"/>
  <c r="K19" i="192"/>
  <c r="J19" i="192"/>
  <c r="E48" i="228"/>
  <c r="G48" i="228"/>
  <c r="M50" i="192"/>
  <c r="F48" i="228"/>
  <c r="O50" i="192"/>
  <c r="L50" i="192"/>
  <c r="M15" i="228"/>
  <c r="D15" i="228"/>
  <c r="J17" i="192"/>
  <c r="L17" i="192"/>
  <c r="I15" i="228"/>
  <c r="I31" i="228"/>
  <c r="H31" i="228"/>
  <c r="F31" i="228"/>
  <c r="E31" i="228"/>
  <c r="D31" i="228"/>
  <c r="M33" i="192"/>
  <c r="L33" i="192"/>
  <c r="K33" i="192"/>
  <c r="J33" i="192"/>
  <c r="O33" i="192"/>
  <c r="N33" i="192"/>
  <c r="G31" i="228"/>
  <c r="G33" i="228"/>
  <c r="F33" i="228"/>
  <c r="M35" i="192"/>
  <c r="L35" i="192"/>
  <c r="K35" i="192"/>
  <c r="O35" i="192"/>
  <c r="J35" i="192"/>
  <c r="I33" i="228"/>
  <c r="D48" i="228"/>
  <c r="J50" i="192"/>
  <c r="L29" i="192"/>
  <c r="N29" i="192"/>
  <c r="I27" i="228"/>
  <c r="F27" i="228"/>
  <c r="M29" i="192"/>
  <c r="J54" i="192"/>
  <c r="H52" i="228"/>
  <c r="M26" i="192"/>
  <c r="K26" i="192"/>
  <c r="L15" i="228"/>
  <c r="O17" i="192"/>
  <c r="H15" i="228"/>
  <c r="N54" i="192"/>
  <c r="K17" i="228"/>
  <c r="G17" i="228"/>
  <c r="O19" i="192"/>
  <c r="M19" i="192"/>
  <c r="G52" i="228"/>
  <c r="L54" i="192"/>
  <c r="P29" i="192" l="1"/>
  <c r="P33" i="192"/>
  <c r="P26" i="192"/>
  <c r="P59" i="192"/>
  <c r="I52" i="228"/>
  <c r="N41" i="192"/>
  <c r="L39" i="192"/>
  <c r="D52" i="228"/>
  <c r="N58" i="192"/>
  <c r="F49" i="228"/>
  <c r="H33" i="228"/>
  <c r="J58" i="192"/>
  <c r="G44" i="228"/>
  <c r="F52" i="228"/>
  <c r="E33" i="228"/>
  <c r="D33" i="228"/>
  <c r="K39" i="192"/>
  <c r="M39" i="192"/>
  <c r="K51" i="192"/>
  <c r="O41" i="192"/>
  <c r="O40" i="192"/>
  <c r="I56" i="228"/>
  <c r="E52" i="228"/>
  <c r="E49" i="228"/>
  <c r="D44" i="228"/>
  <c r="O58" i="192"/>
  <c r="J51" i="192"/>
  <c r="D49" i="228"/>
  <c r="J40" i="192"/>
  <c r="O39" i="192"/>
  <c r="F44" i="228"/>
  <c r="M46" i="192"/>
  <c r="I49" i="228"/>
  <c r="L41" i="192"/>
  <c r="H44" i="228"/>
  <c r="M40" i="192"/>
  <c r="K41" i="192"/>
  <c r="L58" i="192"/>
  <c r="D29" i="228"/>
  <c r="J31" i="228"/>
  <c r="H48" i="228"/>
  <c r="J48" i="228"/>
  <c r="J34" i="228"/>
  <c r="J57" i="228"/>
  <c r="K50" i="192"/>
  <c r="N50" i="192"/>
  <c r="H56" i="228"/>
  <c r="J56" i="228"/>
  <c r="G56" i="228"/>
  <c r="K58" i="192"/>
  <c r="M58" i="192"/>
  <c r="E56" i="228"/>
  <c r="O17" i="228"/>
  <c r="I44" i="228"/>
  <c r="L51" i="192"/>
  <c r="H49" i="228"/>
  <c r="K38" i="192"/>
  <c r="N17" i="228"/>
  <c r="N51" i="192"/>
  <c r="G18" i="228"/>
  <c r="N18" i="228"/>
  <c r="K20" i="192"/>
  <c r="K18" i="228"/>
  <c r="N40" i="192"/>
  <c r="F18" i="228"/>
  <c r="J17" i="228"/>
  <c r="N20" i="192"/>
  <c r="M20" i="192"/>
  <c r="O18" i="228"/>
  <c r="M18" i="228"/>
  <c r="J20" i="192"/>
  <c r="N15" i="228"/>
  <c r="J18" i="228"/>
  <c r="E18" i="228"/>
  <c r="M51" i="192"/>
  <c r="L38" i="192"/>
  <c r="I18" i="228"/>
  <c r="L20" i="192"/>
  <c r="N17" i="192"/>
  <c r="M17" i="192"/>
  <c r="O15" i="228"/>
  <c r="H18" i="228"/>
  <c r="L18" i="228"/>
  <c r="O20" i="192"/>
  <c r="D18" i="228"/>
  <c r="O51" i="192"/>
  <c r="E15" i="228"/>
  <c r="J15" i="228"/>
  <c r="K15" i="228"/>
  <c r="G49" i="228"/>
  <c r="G15" i="228"/>
  <c r="F15" i="228"/>
  <c r="K17" i="192"/>
  <c r="O38" i="192"/>
  <c r="M38" i="192"/>
  <c r="J38" i="192"/>
  <c r="N38" i="192"/>
  <c r="J53" i="192"/>
  <c r="K55" i="192"/>
  <c r="G51" i="228"/>
  <c r="K31" i="192"/>
  <c r="M31" i="192"/>
  <c r="F47" i="228"/>
  <c r="D51" i="228"/>
  <c r="H51" i="228"/>
  <c r="O53" i="192"/>
  <c r="D20" i="228"/>
  <c r="N53" i="192"/>
  <c r="J55" i="192"/>
  <c r="L42" i="192"/>
  <c r="O20" i="228"/>
  <c r="N31" i="192"/>
  <c r="E51" i="228"/>
  <c r="I16" i="228"/>
  <c r="K22" i="192"/>
  <c r="N22" i="192"/>
  <c r="L30" i="192"/>
  <c r="J31" i="192"/>
  <c r="L28" i="192"/>
  <c r="N25" i="192"/>
  <c r="O31" i="192"/>
  <c r="O28" i="192"/>
  <c r="O32" i="192"/>
  <c r="I48" i="228"/>
  <c r="L53" i="192"/>
  <c r="K30" i="192"/>
  <c r="K20" i="228"/>
  <c r="F20" i="228"/>
  <c r="K25" i="192"/>
  <c r="L31" i="192"/>
  <c r="M53" i="192"/>
  <c r="K45" i="192"/>
  <c r="N55" i="192"/>
  <c r="O30" i="192"/>
  <c r="M55" i="192"/>
  <c r="K28" i="192"/>
  <c r="M28" i="192"/>
  <c r="N28" i="192"/>
  <c r="O18" i="192"/>
  <c r="L16" i="228"/>
  <c r="O24" i="192"/>
  <c r="N22" i="228"/>
  <c r="K48" i="192"/>
  <c r="J27" i="228"/>
  <c r="M43" i="192"/>
  <c r="O47" i="192"/>
  <c r="M25" i="192"/>
  <c r="K37" i="192"/>
  <c r="J49" i="192"/>
  <c r="E47" i="228"/>
  <c r="M23" i="192"/>
  <c r="N56" i="192"/>
  <c r="M34" i="192"/>
  <c r="L18" i="192"/>
  <c r="D16" i="228"/>
  <c r="H22" i="228"/>
  <c r="L22" i="228"/>
  <c r="F22" i="228"/>
  <c r="L32" i="192"/>
  <c r="G46" i="228"/>
  <c r="J43" i="192"/>
  <c r="M37" i="192"/>
  <c r="J20" i="228"/>
  <c r="H34" i="228"/>
  <c r="F34" i="228"/>
  <c r="I34" i="228"/>
  <c r="O37" i="192"/>
  <c r="L49" i="192"/>
  <c r="G21" i="228"/>
  <c r="M45" i="192"/>
  <c r="L56" i="192"/>
  <c r="N42" i="192"/>
  <c r="J34" i="192"/>
  <c r="O16" i="228"/>
  <c r="K18" i="192"/>
  <c r="K22" i="228"/>
  <c r="K24" i="192"/>
  <c r="M24" i="192"/>
  <c r="O48" i="192"/>
  <c r="J48" i="192"/>
  <c r="O43" i="192"/>
  <c r="J23" i="192"/>
  <c r="F21" i="228"/>
  <c r="J28" i="192"/>
  <c r="J56" i="192"/>
  <c r="O55" i="192"/>
  <c r="L22" i="192"/>
  <c r="L47" i="192"/>
  <c r="L55" i="192"/>
  <c r="J22" i="192"/>
  <c r="N20" i="228"/>
  <c r="L36" i="192"/>
  <c r="O36" i="192"/>
  <c r="J47" i="192"/>
  <c r="O25" i="192"/>
  <c r="L37" i="192"/>
  <c r="G47" i="228"/>
  <c r="N23" i="192"/>
  <c r="I21" i="228"/>
  <c r="E21" i="228"/>
  <c r="I51" i="228"/>
  <c r="F51" i="228"/>
  <c r="K42" i="192"/>
  <c r="O34" i="192"/>
  <c r="G16" i="228"/>
  <c r="K16" i="228"/>
  <c r="J30" i="192"/>
  <c r="J24" i="192"/>
  <c r="J22" i="228"/>
  <c r="M22" i="228"/>
  <c r="N32" i="192"/>
  <c r="L43" i="192"/>
  <c r="E20" i="228"/>
  <c r="I20" i="228"/>
  <c r="E34" i="228"/>
  <c r="N47" i="192"/>
  <c r="J37" i="192"/>
  <c r="D47" i="228"/>
  <c r="L23" i="192"/>
  <c r="O45" i="192"/>
  <c r="L34" i="192"/>
  <c r="N18" i="192"/>
  <c r="I22" i="228"/>
  <c r="E22" i="228"/>
  <c r="K32" i="192"/>
  <c r="F46" i="228"/>
  <c r="N48" i="192"/>
  <c r="M22" i="192"/>
  <c r="N36" i="192"/>
  <c r="D34" i="228"/>
  <c r="J25" i="192"/>
  <c r="N37" i="192"/>
  <c r="N49" i="192"/>
  <c r="K49" i="192"/>
  <c r="D21" i="228"/>
  <c r="H21" i="228"/>
  <c r="K53" i="192"/>
  <c r="L45" i="192"/>
  <c r="K56" i="192"/>
  <c r="M42" i="192"/>
  <c r="M16" i="228"/>
  <c r="N16" i="228"/>
  <c r="J18" i="192"/>
  <c r="D22" i="228"/>
  <c r="O22" i="228"/>
  <c r="L24" i="192"/>
  <c r="I46" i="228"/>
  <c r="E46" i="228"/>
  <c r="N43" i="192"/>
  <c r="M30" i="192"/>
  <c r="M20" i="228"/>
  <c r="H20" i="228"/>
  <c r="J36" i="192"/>
  <c r="K36" i="192"/>
  <c r="N30" i="192"/>
  <c r="H47" i="228"/>
  <c r="I47" i="228"/>
  <c r="K23" i="192"/>
  <c r="O23" i="192"/>
  <c r="J45" i="192"/>
  <c r="O56" i="192"/>
  <c r="J42" i="192"/>
  <c r="N34" i="192"/>
  <c r="H16" i="228"/>
  <c r="F16" i="228"/>
  <c r="J16" i="228"/>
  <c r="G22" i="228"/>
  <c r="M32" i="192"/>
  <c r="D46" i="228"/>
  <c r="M48" i="192"/>
  <c r="L48" i="192"/>
  <c r="K43" i="192"/>
  <c r="M36" i="192"/>
  <c r="L20" i="228"/>
  <c r="K47" i="192"/>
  <c r="G20" i="228"/>
  <c r="O22" i="192"/>
  <c r="G34" i="228"/>
  <c r="M47" i="192"/>
  <c r="L25" i="192"/>
  <c r="M49" i="192"/>
  <c r="O49" i="192"/>
  <c r="N45" i="192"/>
  <c r="M56" i="192"/>
  <c r="O42" i="192"/>
  <c r="K34" i="192"/>
  <c r="E16" i="228"/>
  <c r="M18" i="192"/>
  <c r="N24" i="192"/>
  <c r="J32" i="192"/>
  <c r="H46" i="228"/>
  <c r="N35" i="192" l="1"/>
  <c r="P35" i="192" s="1"/>
  <c r="M54" i="192"/>
  <c r="P54" i="192" s="1"/>
  <c r="P15" i="228"/>
  <c r="K46" i="192"/>
  <c r="K52" i="192" s="1"/>
  <c r="J41" i="192"/>
  <c r="P41" i="192" s="1"/>
  <c r="P18" i="228"/>
  <c r="P17" i="228"/>
  <c r="J39" i="192"/>
  <c r="P39" i="192" s="1"/>
  <c r="N19" i="192"/>
  <c r="P19" i="192" s="1"/>
  <c r="P32" i="192"/>
  <c r="P50" i="192"/>
  <c r="O52" i="192"/>
  <c r="O63" i="192" s="1"/>
  <c r="O65" i="192" s="1"/>
  <c r="O102" i="44" s="1"/>
  <c r="P37" i="192"/>
  <c r="P28" i="192"/>
  <c r="L52" i="192"/>
  <c r="L63" i="192" s="1"/>
  <c r="L65" i="192" s="1"/>
  <c r="L102" i="44" s="1"/>
  <c r="P36" i="192"/>
  <c r="P49" i="192"/>
  <c r="D57" i="100" s="1"/>
  <c r="F57" i="100" s="1"/>
  <c r="P22" i="228"/>
  <c r="P20" i="192"/>
  <c r="P40" i="192"/>
  <c r="P18" i="192"/>
  <c r="P25" i="192"/>
  <c r="P23" i="192"/>
  <c r="P31" i="192"/>
  <c r="P55" i="192"/>
  <c r="P53" i="192"/>
  <c r="P22" i="192"/>
  <c r="P58" i="192"/>
  <c r="P42" i="192"/>
  <c r="P24" i="192"/>
  <c r="P34" i="192"/>
  <c r="P20" i="228"/>
  <c r="P38" i="192"/>
  <c r="P17" i="192"/>
  <c r="P56" i="192"/>
  <c r="P48" i="192"/>
  <c r="D56" i="100" s="1"/>
  <c r="F56" i="100" s="1"/>
  <c r="P43" i="192"/>
  <c r="P45" i="192"/>
  <c r="P30" i="192"/>
  <c r="P47" i="192"/>
  <c r="D55" i="100" s="1"/>
  <c r="P16" i="228"/>
  <c r="P51" i="192"/>
  <c r="J51" i="228"/>
  <c r="D30" i="228"/>
  <c r="D41" i="228"/>
  <c r="D23" i="228"/>
  <c r="D28" i="228"/>
  <c r="J46" i="228"/>
  <c r="J21" i="228"/>
  <c r="D45" i="228"/>
  <c r="D40" i="228"/>
  <c r="D26" i="228"/>
  <c r="D39" i="228"/>
  <c r="K27" i="228"/>
  <c r="K31" i="228"/>
  <c r="K48" i="228"/>
  <c r="K57" i="228"/>
  <c r="J47" i="228"/>
  <c r="J49" i="228"/>
  <c r="J33" i="228"/>
  <c r="J44" i="228"/>
  <c r="J52" i="228"/>
  <c r="N52" i="192" l="1"/>
  <c r="N61" i="192" s="1"/>
  <c r="J52" i="192"/>
  <c r="J61" i="192" s="1"/>
  <c r="P46" i="192"/>
  <c r="D28" i="100" s="1"/>
  <c r="M52" i="192"/>
  <c r="M61" i="192" s="1"/>
  <c r="O72" i="192"/>
  <c r="O74" i="192" s="1"/>
  <c r="O61" i="192"/>
  <c r="L61" i="192"/>
  <c r="L72" i="192"/>
  <c r="L74" i="192" s="1"/>
  <c r="K61" i="192"/>
  <c r="K72" i="192"/>
  <c r="K74" i="192" s="1"/>
  <c r="K63" i="192"/>
  <c r="K65" i="192" s="1"/>
  <c r="K102" i="44" s="1"/>
  <c r="L113" i="44"/>
  <c r="L123" i="44"/>
  <c r="L125" i="44" s="1"/>
  <c r="O113" i="44"/>
  <c r="O123" i="44"/>
  <c r="O125" i="44" s="1"/>
  <c r="D59" i="100"/>
  <c r="F55" i="100"/>
  <c r="F59" i="100" s="1"/>
  <c r="K56" i="228"/>
  <c r="K33" i="228"/>
  <c r="K46" i="228"/>
  <c r="E39" i="228"/>
  <c r="E41" i="228"/>
  <c r="K44" i="228"/>
  <c r="E30" i="228"/>
  <c r="E40" i="228"/>
  <c r="E29" i="228"/>
  <c r="L51" i="228"/>
  <c r="E23" i="228"/>
  <c r="E26" i="228"/>
  <c r="L27" i="228"/>
  <c r="L31" i="228"/>
  <c r="L57" i="228"/>
  <c r="E28" i="228"/>
  <c r="E45" i="228"/>
  <c r="L48" i="228"/>
  <c r="K47" i="228"/>
  <c r="K51" i="228"/>
  <c r="K34" i="228"/>
  <c r="K21" i="228"/>
  <c r="K49" i="228"/>
  <c r="K52" i="228"/>
  <c r="N72" i="192" l="1"/>
  <c r="N74" i="192" s="1"/>
  <c r="N63" i="192"/>
  <c r="N65" i="192" s="1"/>
  <c r="N102" i="44" s="1"/>
  <c r="N113" i="44" s="1"/>
  <c r="J72" i="192"/>
  <c r="J74" i="192" s="1"/>
  <c r="J63" i="192"/>
  <c r="M63" i="192"/>
  <c r="M65" i="192" s="1"/>
  <c r="M102" i="44" s="1"/>
  <c r="M123" i="44" s="1"/>
  <c r="M125" i="44" s="1"/>
  <c r="M72" i="192"/>
  <c r="M74" i="192" s="1"/>
  <c r="D29" i="100"/>
  <c r="F28" i="100"/>
  <c r="F29" i="100" s="1"/>
  <c r="P52" i="192"/>
  <c r="P61" i="192" s="1"/>
  <c r="K123" i="44"/>
  <c r="K125" i="44" s="1"/>
  <c r="K113" i="44"/>
  <c r="L52" i="228"/>
  <c r="L33" i="228"/>
  <c r="F45" i="228"/>
  <c r="F29" i="228"/>
  <c r="L56" i="228"/>
  <c r="F41" i="228"/>
  <c r="F40" i="228"/>
  <c r="F28" i="228"/>
  <c r="F23" i="228"/>
  <c r="M48" i="228"/>
  <c r="F30" i="228"/>
  <c r="G39" i="228"/>
  <c r="M31" i="228"/>
  <c r="M56" i="228"/>
  <c r="M57" i="228"/>
  <c r="F39" i="228"/>
  <c r="F26" i="228"/>
  <c r="L34" i="228"/>
  <c r="L44" i="228"/>
  <c r="L47" i="228"/>
  <c r="L21" i="228"/>
  <c r="M27" i="228"/>
  <c r="L46" i="228"/>
  <c r="L49" i="228"/>
  <c r="N123" i="44" l="1"/>
  <c r="N125" i="44" s="1"/>
  <c r="P63" i="192"/>
  <c r="J65" i="192"/>
  <c r="P65" i="192" s="1"/>
  <c r="M113" i="44"/>
  <c r="G30" i="228"/>
  <c r="G28" i="228"/>
  <c r="M33" i="228"/>
  <c r="G45" i="228"/>
  <c r="G26" i="228"/>
  <c r="G29" i="228"/>
  <c r="D53" i="228"/>
  <c r="G23" i="228"/>
  <c r="E53" i="228"/>
  <c r="D54" i="228"/>
  <c r="G40" i="228"/>
  <c r="G41" i="228"/>
  <c r="N27" i="228"/>
  <c r="N31" i="228"/>
  <c r="N57" i="228"/>
  <c r="M46" i="228"/>
  <c r="M44" i="228"/>
  <c r="M49" i="228"/>
  <c r="M52" i="228"/>
  <c r="M47" i="228"/>
  <c r="M21" i="228"/>
  <c r="N48" i="228"/>
  <c r="M51" i="228"/>
  <c r="M34" i="228"/>
  <c r="J102" i="44" l="1"/>
  <c r="J123" i="44" s="1"/>
  <c r="J125" i="44" s="1"/>
  <c r="P64" i="192"/>
  <c r="D50" i="228"/>
  <c r="N56" i="228"/>
  <c r="N52" i="228"/>
  <c r="N44" i="228"/>
  <c r="H29" i="228"/>
  <c r="H45" i="228"/>
  <c r="H41" i="228"/>
  <c r="O57" i="228"/>
  <c r="P57" i="228" s="1"/>
  <c r="H39" i="228"/>
  <c r="E54" i="228"/>
  <c r="H40" i="228"/>
  <c r="H23" i="228"/>
  <c r="H28" i="228"/>
  <c r="H26" i="228"/>
  <c r="O31" i="228"/>
  <c r="P31" i="228" s="1"/>
  <c r="H30" i="228"/>
  <c r="N33" i="228"/>
  <c r="N46" i="228"/>
  <c r="N49" i="228"/>
  <c r="O27" i="228"/>
  <c r="P27" i="228" s="1"/>
  <c r="N47" i="228"/>
  <c r="N34" i="228"/>
  <c r="N21" i="228"/>
  <c r="O56" i="228"/>
  <c r="N51" i="228"/>
  <c r="O48" i="228"/>
  <c r="P48" i="228" s="1"/>
  <c r="P56" i="228" l="1"/>
  <c r="J113" i="44"/>
  <c r="P102" i="44"/>
  <c r="J26" i="42" s="1"/>
  <c r="E50" i="228"/>
  <c r="D59" i="228"/>
  <c r="D61" i="228"/>
  <c r="I39" i="228"/>
  <c r="O44" i="228"/>
  <c r="P44" i="228" s="1"/>
  <c r="H28" i="100" s="1"/>
  <c r="I28" i="228"/>
  <c r="I29" i="228"/>
  <c r="I40" i="228"/>
  <c r="F54" i="228"/>
  <c r="I45" i="228"/>
  <c r="F53" i="228"/>
  <c r="I30" i="228"/>
  <c r="I26" i="228"/>
  <c r="I41" i="228"/>
  <c r="I23" i="228"/>
  <c r="O33" i="228"/>
  <c r="P33" i="228" s="1"/>
  <c r="O49" i="228"/>
  <c r="P49" i="228" s="1"/>
  <c r="O47" i="228"/>
  <c r="P47" i="228" s="1"/>
  <c r="H57" i="100" s="1"/>
  <c r="J57" i="100" s="1"/>
  <c r="O51" i="228"/>
  <c r="P51" i="228" s="1"/>
  <c r="O52" i="228"/>
  <c r="P52" i="228" s="1"/>
  <c r="O21" i="228"/>
  <c r="O46" i="228"/>
  <c r="P46" i="228" s="1"/>
  <c r="H56" i="100" s="1"/>
  <c r="J56" i="100" s="1"/>
  <c r="O34" i="228"/>
  <c r="P34" i="228" s="1"/>
  <c r="K73" i="222"/>
  <c r="H73" i="222"/>
  <c r="G73" i="222"/>
  <c r="J68" i="222"/>
  <c r="F73" i="222"/>
  <c r="I68" i="222"/>
  <c r="L63" i="222"/>
  <c r="D63" i="222"/>
  <c r="K60" i="222"/>
  <c r="O73" i="222"/>
  <c r="E73" i="222"/>
  <c r="H68" i="222"/>
  <c r="N73" i="222"/>
  <c r="D73" i="222"/>
  <c r="O68" i="222"/>
  <c r="G68" i="222"/>
  <c r="J63" i="222"/>
  <c r="I60" i="222"/>
  <c r="M73" i="222"/>
  <c r="N68" i="222"/>
  <c r="F68" i="222"/>
  <c r="I63" i="222"/>
  <c r="L73" i="222"/>
  <c r="M68" i="222"/>
  <c r="E68" i="222"/>
  <c r="H63" i="222"/>
  <c r="J73" i="222"/>
  <c r="L68" i="222"/>
  <c r="D68" i="222"/>
  <c r="O63" i="222"/>
  <c r="G63" i="222"/>
  <c r="M60" i="222"/>
  <c r="L60" i="222"/>
  <c r="M31" i="222"/>
  <c r="E31" i="222"/>
  <c r="K68" i="222"/>
  <c r="N63" i="222"/>
  <c r="J60" i="222"/>
  <c r="M63" i="222"/>
  <c r="H60" i="222"/>
  <c r="K31" i="222"/>
  <c r="K63" i="222"/>
  <c r="G60" i="222"/>
  <c r="J31" i="222"/>
  <c r="F63" i="222"/>
  <c r="F60" i="222"/>
  <c r="I31" i="222"/>
  <c r="E63" i="222"/>
  <c r="O60" i="222"/>
  <c r="E60" i="222"/>
  <c r="H31" i="222"/>
  <c r="D31" i="222"/>
  <c r="I73" i="222"/>
  <c r="N60" i="222"/>
  <c r="D60" i="222"/>
  <c r="O31" i="222"/>
  <c r="N31" i="222"/>
  <c r="L31" i="222"/>
  <c r="G31" i="222"/>
  <c r="F31" i="222"/>
  <c r="P68" i="222" l="1"/>
  <c r="D75" i="79" s="1"/>
  <c r="P119" i="44"/>
  <c r="F174" i="45" s="1"/>
  <c r="P122" i="44"/>
  <c r="J25" i="42"/>
  <c r="J29" i="42" s="1"/>
  <c r="D159" i="45"/>
  <c r="F50" i="228"/>
  <c r="D69" i="228"/>
  <c r="D71" i="228" s="1"/>
  <c r="D63" i="228"/>
  <c r="D102" i="222" s="1"/>
  <c r="H29" i="100"/>
  <c r="J28" i="100"/>
  <c r="J29" i="100" s="1"/>
  <c r="E61" i="228"/>
  <c r="E59" i="228"/>
  <c r="P21" i="228"/>
  <c r="P60" i="222"/>
  <c r="D58" i="79" s="1"/>
  <c r="P63" i="222"/>
  <c r="D64" i="79" s="1"/>
  <c r="P31" i="222"/>
  <c r="P73" i="222"/>
  <c r="D106" i="79" s="1"/>
  <c r="J41" i="228"/>
  <c r="G53" i="228"/>
  <c r="J29" i="228"/>
  <c r="J40" i="228"/>
  <c r="J26" i="228"/>
  <c r="J23" i="228"/>
  <c r="G54" i="228"/>
  <c r="J28" i="228"/>
  <c r="H53" i="228"/>
  <c r="J45" i="228"/>
  <c r="J39" i="228"/>
  <c r="J30" i="228"/>
  <c r="K41" i="228"/>
  <c r="K23" i="228"/>
  <c r="D33" i="49" l="1"/>
  <c r="D27" i="49" s="1"/>
  <c r="D168" i="45"/>
  <c r="D25" i="46" s="1"/>
  <c r="D121" i="51"/>
  <c r="D142" i="51" s="1"/>
  <c r="D144" i="51" s="1"/>
  <c r="J31" i="42"/>
  <c r="H50" i="10"/>
  <c r="G50" i="228"/>
  <c r="G61" i="228" s="1"/>
  <c r="E63" i="228"/>
  <c r="E102" i="222" s="1"/>
  <c r="E69" i="228"/>
  <c r="E71" i="228" s="1"/>
  <c r="F61" i="228"/>
  <c r="F59" i="228"/>
  <c r="D134" i="51"/>
  <c r="D33" i="79"/>
  <c r="K39" i="228"/>
  <c r="K29" i="228"/>
  <c r="L23" i="228"/>
  <c r="K40" i="228"/>
  <c r="K28" i="228"/>
  <c r="K26" i="228"/>
  <c r="K30" i="228"/>
  <c r="H54" i="228"/>
  <c r="H50" i="228" s="1"/>
  <c r="K45" i="228"/>
  <c r="D174" i="45" l="1"/>
  <c r="G174" i="45" s="1"/>
  <c r="G59" i="228"/>
  <c r="H61" i="228"/>
  <c r="H59" i="228"/>
  <c r="F63" i="228"/>
  <c r="F102" i="222" s="1"/>
  <c r="F69" i="228"/>
  <c r="F71" i="228" s="1"/>
  <c r="E15" i="84"/>
  <c r="D19" i="47"/>
  <c r="D30" i="24"/>
  <c r="G63" i="228"/>
  <c r="G102" i="222" s="1"/>
  <c r="G69" i="228"/>
  <c r="G71" i="228" s="1"/>
  <c r="L45" i="228"/>
  <c r="L41" i="228"/>
  <c r="L30" i="228"/>
  <c r="L28" i="228"/>
  <c r="L29" i="228"/>
  <c r="I54" i="228"/>
  <c r="I53" i="228"/>
  <c r="L39" i="228"/>
  <c r="L40" i="228"/>
  <c r="L26" i="228"/>
  <c r="H111" i="222"/>
  <c r="G111" i="222"/>
  <c r="E111" i="222"/>
  <c r="F111" i="222"/>
  <c r="H47" i="222"/>
  <c r="F47" i="222"/>
  <c r="E47" i="222"/>
  <c r="G47" i="222"/>
  <c r="D47" i="222"/>
  <c r="H56" i="222"/>
  <c r="G62" i="222"/>
  <c r="E62" i="222"/>
  <c r="H62" i="222"/>
  <c r="F62" i="222"/>
  <c r="H30" i="222"/>
  <c r="G30" i="222"/>
  <c r="F30" i="222"/>
  <c r="E30" i="222"/>
  <c r="D56" i="222"/>
  <c r="F91" i="222"/>
  <c r="E91" i="222"/>
  <c r="G91" i="222"/>
  <c r="G69" i="222"/>
  <c r="E69" i="222"/>
  <c r="E89" i="222"/>
  <c r="G59" i="222"/>
  <c r="F59" i="222"/>
  <c r="E59" i="222"/>
  <c r="I59" i="222"/>
  <c r="H59" i="222"/>
  <c r="J110" i="222"/>
  <c r="I110" i="222"/>
  <c r="N110" i="222"/>
  <c r="F110" i="222"/>
  <c r="M110" i="222"/>
  <c r="E110" i="222"/>
  <c r="G110" i="222"/>
  <c r="O110" i="222"/>
  <c r="L110" i="222"/>
  <c r="K110" i="222"/>
  <c r="H110" i="222"/>
  <c r="E56" i="222"/>
  <c r="H103" i="222"/>
  <c r="D110" i="222"/>
  <c r="D82" i="222"/>
  <c r="G82" i="222"/>
  <c r="E82" i="222"/>
  <c r="D79" i="222"/>
  <c r="H51" i="222"/>
  <c r="D64" i="222"/>
  <c r="M51" i="222"/>
  <c r="G51" i="222"/>
  <c r="G56" i="222"/>
  <c r="F56" i="222"/>
  <c r="P110" i="222" l="1"/>
  <c r="D162" i="79" s="1"/>
  <c r="I50" i="228"/>
  <c r="H63" i="228"/>
  <c r="H102" i="222" s="1"/>
  <c r="H69" i="228"/>
  <c r="H71" i="228" s="1"/>
  <c r="H30" i="24"/>
  <c r="D32" i="24"/>
  <c r="H32" i="24" s="1"/>
  <c r="M30" i="228"/>
  <c r="J54" i="228"/>
  <c r="J53" i="228"/>
  <c r="M29" i="228"/>
  <c r="M45" i="228"/>
  <c r="M41" i="228"/>
  <c r="M40" i="228"/>
  <c r="M39" i="228"/>
  <c r="M28" i="228"/>
  <c r="M26" i="228"/>
  <c r="M23" i="228"/>
  <c r="L51" i="222"/>
  <c r="G103" i="222"/>
  <c r="F103" i="222"/>
  <c r="F82" i="222"/>
  <c r="F89" i="222"/>
  <c r="G72" i="222"/>
  <c r="J64" i="222"/>
  <c r="O64" i="222"/>
  <c r="F96" i="222"/>
  <c r="K64" i="222"/>
  <c r="F54" i="222"/>
  <c r="E96" i="222"/>
  <c r="G96" i="222"/>
  <c r="E79" i="222"/>
  <c r="G54" i="222"/>
  <c r="M64" i="222"/>
  <c r="H96" i="222"/>
  <c r="L64" i="222"/>
  <c r="G89" i="222"/>
  <c r="I64" i="222"/>
  <c r="N64" i="222"/>
  <c r="G79" i="222"/>
  <c r="F79" i="222"/>
  <c r="G83" i="222"/>
  <c r="H89" i="222"/>
  <c r="E54" i="222"/>
  <c r="H64" i="222"/>
  <c r="H79" i="222"/>
  <c r="H55" i="222"/>
  <c r="N51" i="222"/>
  <c r="K51" i="222"/>
  <c r="F51" i="222"/>
  <c r="E72" i="222"/>
  <c r="I51" i="222"/>
  <c r="G55" i="222"/>
  <c r="I55" i="222"/>
  <c r="D55" i="222"/>
  <c r="F72" i="222"/>
  <c r="E103" i="222"/>
  <c r="E51" i="222"/>
  <c r="J51" i="222"/>
  <c r="O51" i="222"/>
  <c r="H104" i="222"/>
  <c r="H85" i="222"/>
  <c r="I96" i="222"/>
  <c r="H72" i="222"/>
  <c r="I62" i="222"/>
  <c r="H82" i="222"/>
  <c r="G49" i="222"/>
  <c r="F83" i="222"/>
  <c r="D98" i="222"/>
  <c r="E64" i="222"/>
  <c r="G64" i="222"/>
  <c r="H49" i="222"/>
  <c r="F64" i="222"/>
  <c r="F55" i="222"/>
  <c r="F49" i="222"/>
  <c r="I83" i="222"/>
  <c r="H52" i="222"/>
  <c r="F76" i="222"/>
  <c r="F88" i="222"/>
  <c r="G87" i="222"/>
  <c r="H91" i="222"/>
  <c r="E83" i="222"/>
  <c r="E90" i="222"/>
  <c r="H61" i="222"/>
  <c r="G93" i="222"/>
  <c r="F87" i="222"/>
  <c r="F52" i="222"/>
  <c r="G61" i="222"/>
  <c r="G88" i="222"/>
  <c r="E49" i="222"/>
  <c r="G52" i="222"/>
  <c r="E76" i="222"/>
  <c r="E88" i="222"/>
  <c r="E52" i="222"/>
  <c r="F93" i="222"/>
  <c r="H98" i="222"/>
  <c r="E61" i="222"/>
  <c r="H83" i="222"/>
  <c r="D103" i="222"/>
  <c r="H87" i="222"/>
  <c r="G81" i="222"/>
  <c r="E85" i="222"/>
  <c r="H81" i="222"/>
  <c r="D89" i="222"/>
  <c r="H93" i="222"/>
  <c r="E81" i="222"/>
  <c r="E87" i="222"/>
  <c r="H76" i="222"/>
  <c r="H88" i="222"/>
  <c r="E93" i="222"/>
  <c r="F66" i="222"/>
  <c r="H65" i="222"/>
  <c r="D81" i="222"/>
  <c r="F78" i="222"/>
  <c r="F48" i="222"/>
  <c r="G90" i="222"/>
  <c r="D87" i="222"/>
  <c r="D50" i="222"/>
  <c r="D106" i="222"/>
  <c r="H78" i="222"/>
  <c r="F74" i="222"/>
  <c r="F85" i="222"/>
  <c r="E77" i="222"/>
  <c r="F95" i="222"/>
  <c r="D59" i="222"/>
  <c r="F98" i="222"/>
  <c r="E99" i="222"/>
  <c r="D61" i="222"/>
  <c r="F65" i="222"/>
  <c r="D78" i="222"/>
  <c r="H77" i="222"/>
  <c r="I50" i="222"/>
  <c r="D92" i="222"/>
  <c r="E55" i="222"/>
  <c r="D52" i="222"/>
  <c r="F61" i="222"/>
  <c r="H99" i="222"/>
  <c r="G48" i="222"/>
  <c r="D74" i="222"/>
  <c r="D85" i="222"/>
  <c r="D90" i="222"/>
  <c r="E50" i="222"/>
  <c r="H66" i="222"/>
  <c r="F99" i="222"/>
  <c r="D76" i="222"/>
  <c r="D49" i="222"/>
  <c r="G76" i="222"/>
  <c r="H90" i="222"/>
  <c r="D65" i="222"/>
  <c r="F81" i="222"/>
  <c r="G74" i="222"/>
  <c r="G85" i="222"/>
  <c r="D70" i="222"/>
  <c r="D93" i="222"/>
  <c r="G65" i="222"/>
  <c r="E78" i="222"/>
  <c r="E48" i="222"/>
  <c r="E98" i="222"/>
  <c r="G99" i="222"/>
  <c r="D51" i="222"/>
  <c r="G78" i="222"/>
  <c r="H48" i="222"/>
  <c r="E74" i="222"/>
  <c r="D77" i="222"/>
  <c r="F90" i="222"/>
  <c r="H95" i="222"/>
  <c r="D95" i="222"/>
  <c r="F92" i="222"/>
  <c r="G98" i="222"/>
  <c r="D88" i="222"/>
  <c r="E65" i="222"/>
  <c r="D48" i="222"/>
  <c r="H74" i="222"/>
  <c r="G77" i="222"/>
  <c r="F70" i="222"/>
  <c r="E70" i="222"/>
  <c r="D67" i="222"/>
  <c r="E95" i="222"/>
  <c r="G50" i="222"/>
  <c r="G70" i="222"/>
  <c r="E67" i="222"/>
  <c r="G92" i="222"/>
  <c r="H108" i="222"/>
  <c r="H57" i="222"/>
  <c r="F97" i="222"/>
  <c r="F104" i="222"/>
  <c r="D72" i="222"/>
  <c r="L71" i="222"/>
  <c r="F86" i="222"/>
  <c r="H80" i="222"/>
  <c r="D101" i="222"/>
  <c r="F77" i="222"/>
  <c r="G95" i="222"/>
  <c r="E66" i="222"/>
  <c r="H67" i="222"/>
  <c r="F100" i="222"/>
  <c r="D108" i="222"/>
  <c r="D83" i="222"/>
  <c r="D57" i="222"/>
  <c r="E53" i="222"/>
  <c r="H84" i="222"/>
  <c r="G104" i="222"/>
  <c r="F107" i="222"/>
  <c r="K71" i="222"/>
  <c r="I71" i="222"/>
  <c r="H86" i="222"/>
  <c r="F109" i="222"/>
  <c r="F58" i="222"/>
  <c r="I58" i="222"/>
  <c r="I88" i="222"/>
  <c r="I49" i="222"/>
  <c r="D111" i="222"/>
  <c r="F50" i="222"/>
  <c r="G66" i="222"/>
  <c r="H100" i="222"/>
  <c r="E92" i="222"/>
  <c r="H69" i="222"/>
  <c r="F108" i="222"/>
  <c r="F57" i="222"/>
  <c r="I57" i="222"/>
  <c r="H53" i="222"/>
  <c r="D84" i="222"/>
  <c r="D97" i="222"/>
  <c r="D104" i="222"/>
  <c r="O71" i="222"/>
  <c r="D86" i="222"/>
  <c r="I52" i="222"/>
  <c r="I87" i="222"/>
  <c r="D96" i="222"/>
  <c r="F80" i="222"/>
  <c r="F75" i="222"/>
  <c r="H50" i="222"/>
  <c r="H70" i="222"/>
  <c r="F67" i="222"/>
  <c r="I67" i="222"/>
  <c r="D100" i="222"/>
  <c r="H92" i="222"/>
  <c r="F84" i="222"/>
  <c r="G97" i="222"/>
  <c r="G107" i="222"/>
  <c r="H107" i="222"/>
  <c r="E71" i="222"/>
  <c r="J71" i="222"/>
  <c r="G86" i="222"/>
  <c r="H109" i="222"/>
  <c r="D58" i="222"/>
  <c r="D54" i="222"/>
  <c r="I104" i="222"/>
  <c r="H75" i="222"/>
  <c r="F101" i="222"/>
  <c r="I100" i="222"/>
  <c r="G100" i="222"/>
  <c r="F69" i="222"/>
  <c r="E57" i="222"/>
  <c r="F53" i="222"/>
  <c r="D62" i="222"/>
  <c r="M71" i="222"/>
  <c r="G109" i="222"/>
  <c r="G58" i="222"/>
  <c r="I54" i="222"/>
  <c r="I30" i="222"/>
  <c r="D80" i="222"/>
  <c r="D75" i="222"/>
  <c r="G108" i="222"/>
  <c r="G57" i="222"/>
  <c r="D91" i="222"/>
  <c r="E97" i="222"/>
  <c r="E104" i="222"/>
  <c r="I107" i="222"/>
  <c r="D107" i="222"/>
  <c r="D71" i="222"/>
  <c r="E86" i="222"/>
  <c r="D109" i="222"/>
  <c r="G80" i="222"/>
  <c r="G75" i="222"/>
  <c r="I111" i="222"/>
  <c r="G101" i="222"/>
  <c r="E101" i="222"/>
  <c r="D66" i="222"/>
  <c r="G67" i="222"/>
  <c r="E100" i="222"/>
  <c r="D69" i="222"/>
  <c r="D53" i="222"/>
  <c r="I91" i="222"/>
  <c r="G84" i="222"/>
  <c r="E84" i="222"/>
  <c r="H97" i="222"/>
  <c r="E107" i="222"/>
  <c r="G71" i="222"/>
  <c r="F71" i="222"/>
  <c r="D30" i="222"/>
  <c r="E58" i="222"/>
  <c r="H54" i="222"/>
  <c r="D105" i="222"/>
  <c r="E108" i="222"/>
  <c r="G53" i="222"/>
  <c r="H71" i="222"/>
  <c r="N71" i="222"/>
  <c r="E109" i="222"/>
  <c r="H58" i="222"/>
  <c r="D99" i="222"/>
  <c r="E80" i="222"/>
  <c r="E75" i="222"/>
  <c r="H101" i="222"/>
  <c r="E105" i="222"/>
  <c r="P64" i="222" l="1"/>
  <c r="D65" i="79" s="1"/>
  <c r="J50" i="228"/>
  <c r="J61" i="228" s="1"/>
  <c r="N29" i="228"/>
  <c r="J32" i="24"/>
  <c r="I61" i="228"/>
  <c r="I59" i="228"/>
  <c r="P71" i="222"/>
  <c r="D104" i="79" s="1"/>
  <c r="D113" i="222"/>
  <c r="D118" i="222"/>
  <c r="D119" i="222" s="1"/>
  <c r="D122" i="222"/>
  <c r="D126" i="222" s="1"/>
  <c r="P51" i="222"/>
  <c r="D45" i="79" s="1"/>
  <c r="O39" i="228"/>
  <c r="N41" i="228"/>
  <c r="N28" i="228"/>
  <c r="O30" i="228"/>
  <c r="O40" i="228"/>
  <c r="N45" i="228"/>
  <c r="N26" i="228"/>
  <c r="O23" i="228"/>
  <c r="N30" i="228"/>
  <c r="O28" i="228"/>
  <c r="N40" i="228"/>
  <c r="O41" i="228"/>
  <c r="O29" i="228"/>
  <c r="P29" i="228" s="1"/>
  <c r="K53" i="228"/>
  <c r="L53" i="228"/>
  <c r="N39" i="228"/>
  <c r="O45" i="228"/>
  <c r="K54" i="228"/>
  <c r="N23" i="228"/>
  <c r="O26" i="228"/>
  <c r="I98" i="222"/>
  <c r="I89" i="222"/>
  <c r="I109" i="222"/>
  <c r="I72" i="222"/>
  <c r="J100" i="222"/>
  <c r="I84" i="222"/>
  <c r="I66" i="222"/>
  <c r="I86" i="222"/>
  <c r="I53" i="222"/>
  <c r="I108" i="222"/>
  <c r="I81" i="222"/>
  <c r="I85" i="222"/>
  <c r="I90" i="222"/>
  <c r="I92" i="222"/>
  <c r="I99" i="222"/>
  <c r="I69" i="222"/>
  <c r="I76" i="222"/>
  <c r="I97" i="222"/>
  <c r="I61" i="222"/>
  <c r="E106" i="222"/>
  <c r="E118" i="222" s="1"/>
  <c r="E119" i="222" s="1"/>
  <c r="I47" i="222"/>
  <c r="I78" i="222"/>
  <c r="I75" i="222"/>
  <c r="I56" i="222"/>
  <c r="I48" i="222"/>
  <c r="I103" i="222"/>
  <c r="J59" i="222"/>
  <c r="I70" i="222"/>
  <c r="I82" i="222"/>
  <c r="J111" i="222"/>
  <c r="I65" i="222"/>
  <c r="I74" i="222"/>
  <c r="I95" i="222"/>
  <c r="I101" i="222"/>
  <c r="I80" i="222"/>
  <c r="J91" i="222"/>
  <c r="J47" i="222"/>
  <c r="J58" i="222"/>
  <c r="J88" i="222"/>
  <c r="I79" i="222"/>
  <c r="I77" i="222"/>
  <c r="P28" i="228" l="1"/>
  <c r="P41" i="228"/>
  <c r="J59" i="228"/>
  <c r="P26" i="228"/>
  <c r="P45" i="228"/>
  <c r="H55" i="100" s="1"/>
  <c r="J55" i="100" s="1"/>
  <c r="J59" i="100" s="1"/>
  <c r="P30" i="228"/>
  <c r="I63" i="228"/>
  <c r="I102" i="222" s="1"/>
  <c r="I69" i="228"/>
  <c r="I71" i="228" s="1"/>
  <c r="P39" i="228"/>
  <c r="K50" i="228"/>
  <c r="K61" i="228" s="1"/>
  <c r="J69" i="228"/>
  <c r="J71" i="228" s="1"/>
  <c r="J63" i="228"/>
  <c r="J102" i="222" s="1"/>
  <c r="P23" i="228"/>
  <c r="P40" i="228"/>
  <c r="E122" i="222"/>
  <c r="E113" i="222"/>
  <c r="L54" i="228"/>
  <c r="J79" i="222"/>
  <c r="J54" i="222"/>
  <c r="J82" i="222"/>
  <c r="J66" i="222"/>
  <c r="J49" i="222"/>
  <c r="J97" i="222"/>
  <c r="J56" i="222"/>
  <c r="J84" i="222"/>
  <c r="J65" i="222"/>
  <c r="J75" i="222"/>
  <c r="J95" i="222"/>
  <c r="J77" i="222"/>
  <c r="J53" i="222"/>
  <c r="J80" i="222"/>
  <c r="J109" i="222"/>
  <c r="K55" i="222"/>
  <c r="F105" i="222"/>
  <c r="J85" i="222"/>
  <c r="G105" i="222"/>
  <c r="J30" i="222"/>
  <c r="J99" i="222"/>
  <c r="K100" i="222"/>
  <c r="J62" i="222"/>
  <c r="J86" i="222"/>
  <c r="J108" i="222"/>
  <c r="K91" i="222"/>
  <c r="K56" i="222"/>
  <c r="K47" i="222"/>
  <c r="K83" i="222"/>
  <c r="K57" i="222"/>
  <c r="K88" i="222"/>
  <c r="K58" i="222"/>
  <c r="J90" i="222"/>
  <c r="J50" i="222"/>
  <c r="F106" i="222"/>
  <c r="J57" i="222"/>
  <c r="J96" i="222"/>
  <c r="J87" i="222"/>
  <c r="J101" i="222"/>
  <c r="J93" i="222"/>
  <c r="J104" i="222"/>
  <c r="J98" i="222"/>
  <c r="K67" i="222"/>
  <c r="J83" i="222"/>
  <c r="J55" i="222"/>
  <c r="K59" i="222"/>
  <c r="J72" i="222"/>
  <c r="J69" i="222"/>
  <c r="J81" i="222"/>
  <c r="K62" i="222"/>
  <c r="K96" i="222"/>
  <c r="J89" i="222"/>
  <c r="J107" i="222"/>
  <c r="J103" i="222"/>
  <c r="K30" i="222"/>
  <c r="H59" i="100" l="1"/>
  <c r="K63" i="228"/>
  <c r="K102" i="222" s="1"/>
  <c r="K69" i="228"/>
  <c r="K71" i="228" s="1"/>
  <c r="L50" i="228"/>
  <c r="L61" i="228" s="1"/>
  <c r="K59" i="228"/>
  <c r="F113" i="222"/>
  <c r="F122" i="222"/>
  <c r="F118" i="222"/>
  <c r="F119" i="222" s="1"/>
  <c r="M53" i="228"/>
  <c r="M54" i="228"/>
  <c r="K79" i="222"/>
  <c r="K89" i="222"/>
  <c r="K50" i="222"/>
  <c r="K49" i="222"/>
  <c r="K66" i="222"/>
  <c r="K93" i="222"/>
  <c r="K75" i="222"/>
  <c r="K53" i="222"/>
  <c r="K76" i="222"/>
  <c r="K52" i="222"/>
  <c r="K78" i="222"/>
  <c r="K95" i="222"/>
  <c r="K84" i="222"/>
  <c r="K77" i="222"/>
  <c r="K97" i="222"/>
  <c r="K48" i="222"/>
  <c r="K85" i="222"/>
  <c r="K87" i="222"/>
  <c r="K104" i="222"/>
  <c r="K72" i="222"/>
  <c r="K69" i="222"/>
  <c r="K109" i="222"/>
  <c r="L58" i="222"/>
  <c r="L88" i="222"/>
  <c r="K111" i="222"/>
  <c r="L59" i="222"/>
  <c r="K90" i="222"/>
  <c r="K70" i="222"/>
  <c r="K81" i="222"/>
  <c r="K99" i="222"/>
  <c r="L91" i="222"/>
  <c r="K65" i="222"/>
  <c r="K103" i="222"/>
  <c r="K98" i="222"/>
  <c r="K80" i="222"/>
  <c r="K74" i="222"/>
  <c r="G106" i="222"/>
  <c r="G122" i="222" s="1"/>
  <c r="K82" i="222"/>
  <c r="K92" i="222"/>
  <c r="K86" i="222"/>
  <c r="K107" i="222"/>
  <c r="L111" i="222"/>
  <c r="L57" i="222"/>
  <c r="L67" i="222"/>
  <c r="K61" i="222"/>
  <c r="K101" i="222"/>
  <c r="L100" i="222"/>
  <c r="L49" i="222"/>
  <c r="K54" i="222"/>
  <c r="H105" i="222"/>
  <c r="K108" i="222"/>
  <c r="M50" i="228" l="1"/>
  <c r="L63" i="228"/>
  <c r="L102" i="222" s="1"/>
  <c r="L69" i="228"/>
  <c r="L71" i="228" s="1"/>
  <c r="L59" i="228"/>
  <c r="G118" i="222"/>
  <c r="G119" i="222" s="1"/>
  <c r="G113" i="222"/>
  <c r="O54" i="228"/>
  <c r="N53" i="228"/>
  <c r="O53" i="228"/>
  <c r="N54" i="228"/>
  <c r="L54" i="222"/>
  <c r="L89" i="222"/>
  <c r="L96" i="222"/>
  <c r="L50" i="222"/>
  <c r="L82" i="222"/>
  <c r="L52" i="222"/>
  <c r="L66" i="222"/>
  <c r="L85" i="222"/>
  <c r="L48" i="222"/>
  <c r="L30" i="222"/>
  <c r="L74" i="222"/>
  <c r="L97" i="222"/>
  <c r="L69" i="222"/>
  <c r="L53" i="222"/>
  <c r="L109" i="222"/>
  <c r="L95" i="222"/>
  <c r="L61" i="222"/>
  <c r="L75" i="222"/>
  <c r="L92" i="222"/>
  <c r="L80" i="222"/>
  <c r="L93" i="222"/>
  <c r="M59" i="222"/>
  <c r="L86" i="222"/>
  <c r="L84" i="222"/>
  <c r="L81" i="222"/>
  <c r="H106" i="222"/>
  <c r="H113" i="222" s="1"/>
  <c r="L104" i="222"/>
  <c r="L101" i="222"/>
  <c r="L107" i="222"/>
  <c r="L65" i="222"/>
  <c r="L70" i="222"/>
  <c r="L56" i="222"/>
  <c r="L76" i="222"/>
  <c r="M55" i="222"/>
  <c r="L98" i="222"/>
  <c r="L79" i="222"/>
  <c r="L108" i="222"/>
  <c r="L103" i="222"/>
  <c r="L87" i="222"/>
  <c r="L62" i="222"/>
  <c r="M100" i="222"/>
  <c r="L99" i="222"/>
  <c r="L83" i="222"/>
  <c r="M56" i="222"/>
  <c r="M91" i="222"/>
  <c r="M57" i="222"/>
  <c r="M83" i="222"/>
  <c r="M47" i="222"/>
  <c r="M88" i="222"/>
  <c r="M58" i="222"/>
  <c r="M62" i="222"/>
  <c r="L55" i="222"/>
  <c r="L47" i="222"/>
  <c r="L72" i="222"/>
  <c r="I105" i="222"/>
  <c r="L78" i="222"/>
  <c r="L90" i="222"/>
  <c r="M111" i="222"/>
  <c r="L77" i="222"/>
  <c r="M107" i="222"/>
  <c r="N50" i="228" l="1"/>
  <c r="N61" i="228" s="1"/>
  <c r="P54" i="228"/>
  <c r="M61" i="228"/>
  <c r="M59" i="228"/>
  <c r="P53" i="228"/>
  <c r="O50" i="228"/>
  <c r="H118" i="222"/>
  <c r="H119" i="222" s="1"/>
  <c r="H122" i="222"/>
  <c r="M79" i="222"/>
  <c r="M87" i="222"/>
  <c r="M54" i="222"/>
  <c r="M89" i="222"/>
  <c r="M103" i="222"/>
  <c r="M52" i="222"/>
  <c r="M49" i="222"/>
  <c r="M104" i="222"/>
  <c r="M66" i="222"/>
  <c r="M50" i="222"/>
  <c r="M84" i="222"/>
  <c r="M53" i="222"/>
  <c r="M81" i="222"/>
  <c r="N100" i="222"/>
  <c r="M78" i="222"/>
  <c r="M75" i="222"/>
  <c r="M92" i="222"/>
  <c r="M67" i="222"/>
  <c r="O100" i="222"/>
  <c r="M80" i="222"/>
  <c r="M95" i="222"/>
  <c r="M85" i="222"/>
  <c r="M99" i="222"/>
  <c r="M86" i="222"/>
  <c r="M69" i="222"/>
  <c r="M70" i="222"/>
  <c r="M61" i="222"/>
  <c r="M74" i="222"/>
  <c r="O59" i="222"/>
  <c r="M93" i="222"/>
  <c r="M76" i="222"/>
  <c r="M97" i="222"/>
  <c r="M77" i="222"/>
  <c r="M96" i="222"/>
  <c r="M65" i="222"/>
  <c r="M101" i="222"/>
  <c r="M108" i="222"/>
  <c r="M109" i="222"/>
  <c r="N59" i="222"/>
  <c r="M48" i="222"/>
  <c r="N91" i="222"/>
  <c r="N47" i="222"/>
  <c r="N58" i="222"/>
  <c r="N88" i="222"/>
  <c r="M72" i="222"/>
  <c r="M30" i="222"/>
  <c r="N111" i="222"/>
  <c r="N67" i="222"/>
  <c r="M98" i="222"/>
  <c r="M82" i="222"/>
  <c r="I93" i="222"/>
  <c r="I106" i="222"/>
  <c r="M90" i="222"/>
  <c r="N62" i="222"/>
  <c r="N59" i="228" l="1"/>
  <c r="P100" i="222"/>
  <c r="D152" i="79" s="1"/>
  <c r="N69" i="228"/>
  <c r="N71" i="228" s="1"/>
  <c r="N63" i="228"/>
  <c r="N102" i="222" s="1"/>
  <c r="M63" i="228"/>
  <c r="M102" i="222" s="1"/>
  <c r="M69" i="228"/>
  <c r="M71" i="228" s="1"/>
  <c r="P50" i="228"/>
  <c r="P59" i="228" s="1"/>
  <c r="O61" i="228"/>
  <c r="O59" i="228"/>
  <c r="I122" i="222"/>
  <c r="I113" i="222"/>
  <c r="I118" i="222"/>
  <c r="I119" i="222" s="1"/>
  <c r="P59" i="222"/>
  <c r="D57" i="79" s="1"/>
  <c r="N96" i="222"/>
  <c r="N79" i="222"/>
  <c r="N89" i="222"/>
  <c r="N54" i="222"/>
  <c r="N82" i="222"/>
  <c r="N49" i="222"/>
  <c r="N85" i="222"/>
  <c r="N66" i="222"/>
  <c r="N77" i="222"/>
  <c r="N84" i="222"/>
  <c r="N93" i="222"/>
  <c r="N50" i="222"/>
  <c r="N61" i="222"/>
  <c r="N56" i="222"/>
  <c r="N86" i="222"/>
  <c r="N52" i="222"/>
  <c r="N87" i="222"/>
  <c r="N65" i="222"/>
  <c r="N70" i="222"/>
  <c r="N75" i="222"/>
  <c r="N97" i="222"/>
  <c r="N76" i="222"/>
  <c r="N92" i="222"/>
  <c r="N78" i="222"/>
  <c r="N57" i="222"/>
  <c r="N80" i="222"/>
  <c r="N48" i="222"/>
  <c r="N69" i="222"/>
  <c r="N95" i="222"/>
  <c r="N53" i="222"/>
  <c r="N74" i="222"/>
  <c r="O83" i="222"/>
  <c r="N90" i="222"/>
  <c r="N81" i="222"/>
  <c r="N108" i="222"/>
  <c r="N103" i="222"/>
  <c r="O55" i="222"/>
  <c r="J92" i="222"/>
  <c r="J76" i="222"/>
  <c r="J78" i="222"/>
  <c r="J74" i="222"/>
  <c r="J48" i="222"/>
  <c r="J61" i="222"/>
  <c r="J70" i="222"/>
  <c r="J52" i="222"/>
  <c r="J67" i="222"/>
  <c r="N30" i="222"/>
  <c r="J105" i="222"/>
  <c r="J106" i="222"/>
  <c r="N55" i="222"/>
  <c r="N83" i="222"/>
  <c r="N98" i="222"/>
  <c r="N101" i="222"/>
  <c r="N107" i="222"/>
  <c r="N99" i="222"/>
  <c r="K105" i="222"/>
  <c r="N104" i="222"/>
  <c r="N72" i="222"/>
  <c r="N109" i="222"/>
  <c r="P61" i="228" l="1"/>
  <c r="O69" i="228"/>
  <c r="O71" i="228" s="1"/>
  <c r="O63" i="228"/>
  <c r="P55" i="222"/>
  <c r="D49" i="79" s="1"/>
  <c r="P83" i="222"/>
  <c r="D119" i="79" s="1"/>
  <c r="J113" i="222"/>
  <c r="J118" i="222"/>
  <c r="J119" i="222" s="1"/>
  <c r="J122" i="222"/>
  <c r="O96" i="222"/>
  <c r="P96" i="222" s="1"/>
  <c r="D141" i="79" s="1"/>
  <c r="O104" i="222"/>
  <c r="P104" i="222" s="1"/>
  <c r="D156" i="79" s="1"/>
  <c r="O81" i="222"/>
  <c r="P81" i="222" s="1"/>
  <c r="D114" i="79" s="1"/>
  <c r="O84" i="222"/>
  <c r="P84" i="222" s="1"/>
  <c r="D120" i="79" s="1"/>
  <c r="O108" i="222"/>
  <c r="P108" i="222" s="1"/>
  <c r="D160" i="79" s="1"/>
  <c r="O103" i="222"/>
  <c r="P103" i="222" s="1"/>
  <c r="D155" i="79" s="1"/>
  <c r="O30" i="222"/>
  <c r="K106" i="222"/>
  <c r="K113" i="222" s="1"/>
  <c r="O61" i="222"/>
  <c r="P61" i="222" s="1"/>
  <c r="D59" i="79" s="1"/>
  <c r="O95" i="222"/>
  <c r="P95" i="222" s="1"/>
  <c r="O50" i="222"/>
  <c r="P50" i="222" s="1"/>
  <c r="D44" i="79" s="1"/>
  <c r="O77" i="222"/>
  <c r="P77" i="222" s="1"/>
  <c r="D110" i="79" s="1"/>
  <c r="O48" i="222"/>
  <c r="P48" i="222" s="1"/>
  <c r="D42" i="79" s="1"/>
  <c r="O76" i="222"/>
  <c r="P76" i="222" s="1"/>
  <c r="D109" i="79" s="1"/>
  <c r="O107" i="222"/>
  <c r="P107" i="222" s="1"/>
  <c r="D159" i="79" s="1"/>
  <c r="O67" i="222"/>
  <c r="P67" i="222" s="1"/>
  <c r="D74" i="79" s="1"/>
  <c r="O62" i="222"/>
  <c r="P62" i="222" s="1"/>
  <c r="D63" i="79" s="1"/>
  <c r="O91" i="222"/>
  <c r="P91" i="222" s="1"/>
  <c r="D131" i="79" s="1"/>
  <c r="O88" i="222"/>
  <c r="P88" i="222" s="1"/>
  <c r="D124" i="79" s="1"/>
  <c r="O70" i="222"/>
  <c r="P70" i="222" s="1"/>
  <c r="D103" i="79" s="1"/>
  <c r="O93" i="222"/>
  <c r="P93" i="222" s="1"/>
  <c r="D133" i="79" s="1"/>
  <c r="O65" i="222"/>
  <c r="P65" i="222" s="1"/>
  <c r="D66" i="79" s="1"/>
  <c r="O98" i="222"/>
  <c r="P98" i="222" s="1"/>
  <c r="O111" i="222"/>
  <c r="P111" i="222" s="1"/>
  <c r="D166" i="79" s="1"/>
  <c r="D167" i="79" s="1"/>
  <c r="O53" i="222"/>
  <c r="P53" i="222" s="1"/>
  <c r="D47" i="79" s="1"/>
  <c r="O92" i="222"/>
  <c r="P92" i="222" s="1"/>
  <c r="D132" i="79" s="1"/>
  <c r="O66" i="222"/>
  <c r="P66" i="222" s="1"/>
  <c r="D67" i="79" s="1"/>
  <c r="O57" i="222"/>
  <c r="P57" i="222" s="1"/>
  <c r="D55" i="79" s="1"/>
  <c r="O89" i="222"/>
  <c r="P89" i="222" s="1"/>
  <c r="D125" i="79" s="1"/>
  <c r="O79" i="222"/>
  <c r="P79" i="222" s="1"/>
  <c r="D112" i="79" s="1"/>
  <c r="O82" i="222"/>
  <c r="P82" i="222" s="1"/>
  <c r="D118" i="79" s="1"/>
  <c r="O99" i="222"/>
  <c r="P99" i="222" s="1"/>
  <c r="O101" i="222"/>
  <c r="P101" i="222" s="1"/>
  <c r="D153" i="79" s="1"/>
  <c r="O54" i="222"/>
  <c r="P54" i="222" s="1"/>
  <c r="D48" i="79" s="1"/>
  <c r="O56" i="222"/>
  <c r="P56" i="222" s="1"/>
  <c r="D53" i="79" s="1"/>
  <c r="O86" i="222"/>
  <c r="P86" i="222" s="1"/>
  <c r="D122" i="79" s="1"/>
  <c r="O109" i="222"/>
  <c r="P109" i="222" s="1"/>
  <c r="D161" i="79" s="1"/>
  <c r="O75" i="222"/>
  <c r="P75" i="222" s="1"/>
  <c r="D108" i="79" s="1"/>
  <c r="O78" i="222"/>
  <c r="P78" i="222" s="1"/>
  <c r="D111" i="79" s="1"/>
  <c r="O80" i="222"/>
  <c r="P80" i="222" s="1"/>
  <c r="D113" i="79" s="1"/>
  <c r="O74" i="222"/>
  <c r="P74" i="222" s="1"/>
  <c r="D107" i="79" s="1"/>
  <c r="O52" i="222"/>
  <c r="P52" i="222" s="1"/>
  <c r="D46" i="79" s="1"/>
  <c r="O49" i="222"/>
  <c r="P49" i="222" s="1"/>
  <c r="D43" i="79" s="1"/>
  <c r="O69" i="222"/>
  <c r="P69" i="222" s="1"/>
  <c r="D76" i="79" s="1"/>
  <c r="O85" i="222"/>
  <c r="P85" i="222" s="1"/>
  <c r="D121" i="79" s="1"/>
  <c r="L105" i="222"/>
  <c r="O47" i="222"/>
  <c r="P47" i="222" s="1"/>
  <c r="D40" i="79" s="1"/>
  <c r="O87" i="222"/>
  <c r="P87" i="222" s="1"/>
  <c r="D123" i="79" s="1"/>
  <c r="O90" i="222"/>
  <c r="P90" i="222" s="1"/>
  <c r="D126" i="79" s="1"/>
  <c r="O58" i="222"/>
  <c r="P58" i="222" s="1"/>
  <c r="D56" i="79" s="1"/>
  <c r="O72" i="222"/>
  <c r="P72" i="222" s="1"/>
  <c r="D105" i="79" s="1"/>
  <c r="O97" i="222"/>
  <c r="P97" i="222" s="1"/>
  <c r="P63" i="228" l="1"/>
  <c r="O102" i="222"/>
  <c r="H48" i="100"/>
  <c r="D145" i="79"/>
  <c r="D60" i="79"/>
  <c r="D115" i="79"/>
  <c r="D135" i="79"/>
  <c r="K22" i="46" s="1"/>
  <c r="H20" i="100"/>
  <c r="D140" i="79"/>
  <c r="D142" i="79" s="1"/>
  <c r="K23" i="46" s="1"/>
  <c r="D50" i="79"/>
  <c r="D147" i="79"/>
  <c r="H50" i="100"/>
  <c r="J50" i="100" s="1"/>
  <c r="D70" i="79"/>
  <c r="D128" i="79"/>
  <c r="D146" i="79"/>
  <c r="H49" i="100"/>
  <c r="J49" i="100" s="1"/>
  <c r="D78" i="79"/>
  <c r="K118" i="222"/>
  <c r="K119" i="222" s="1"/>
  <c r="P30" i="222"/>
  <c r="K122" i="222"/>
  <c r="L106" i="222"/>
  <c r="L118" i="222" s="1"/>
  <c r="L119" i="222" s="1"/>
  <c r="M105" i="222"/>
  <c r="K20" i="46" l="1"/>
  <c r="F20" i="46" s="1"/>
  <c r="P102" i="222"/>
  <c r="N121" i="51" s="1"/>
  <c r="P62" i="228"/>
  <c r="H22" i="100"/>
  <c r="J20" i="100"/>
  <c r="J22" i="100" s="1"/>
  <c r="O22" i="46"/>
  <c r="D24" i="69" s="1"/>
  <c r="H24" i="69" s="1"/>
  <c r="F22" i="46"/>
  <c r="D32" i="79"/>
  <c r="D34" i="79" s="1"/>
  <c r="L122" i="222"/>
  <c r="D149" i="79"/>
  <c r="K24" i="46" s="1"/>
  <c r="L113" i="222"/>
  <c r="J48" i="100"/>
  <c r="J52" i="100" s="1"/>
  <c r="H52" i="100"/>
  <c r="K19" i="46"/>
  <c r="F23" i="46"/>
  <c r="O23" i="46"/>
  <c r="D26" i="69" s="1"/>
  <c r="H26" i="69" s="1"/>
  <c r="K21" i="46"/>
  <c r="M106" i="222"/>
  <c r="M113" i="222" s="1"/>
  <c r="N105" i="222"/>
  <c r="D154" i="79" l="1"/>
  <c r="P125" i="222"/>
  <c r="O20" i="46"/>
  <c r="D20" i="69" s="1"/>
  <c r="H20" i="69" s="1"/>
  <c r="L26" i="42"/>
  <c r="N134" i="51"/>
  <c r="N142" i="51"/>
  <c r="P121" i="51"/>
  <c r="P134" i="51" s="1"/>
  <c r="F19" i="46"/>
  <c r="O19" i="46"/>
  <c r="D18" i="69" s="1"/>
  <c r="H18" i="69" s="1"/>
  <c r="M118" i="222"/>
  <c r="M119" i="222" s="1"/>
  <c r="K18" i="46"/>
  <c r="M122" i="222"/>
  <c r="F24" i="46"/>
  <c r="O24" i="46"/>
  <c r="D28" i="69" s="1"/>
  <c r="H28" i="69" s="1"/>
  <c r="F21" i="46"/>
  <c r="O21" i="46"/>
  <c r="D22" i="69" s="1"/>
  <c r="H22" i="69" s="1"/>
  <c r="N106" i="222"/>
  <c r="N113" i="222" s="1"/>
  <c r="O105" i="222"/>
  <c r="O106" i="222"/>
  <c r="P106" i="222" l="1"/>
  <c r="D158" i="79" s="1"/>
  <c r="F18" i="46"/>
  <c r="O18" i="46"/>
  <c r="N122" i="222"/>
  <c r="N118" i="222"/>
  <c r="N119" i="222" s="1"/>
  <c r="P105" i="222"/>
  <c r="O113" i="222"/>
  <c r="O118" i="222"/>
  <c r="O119" i="222" s="1"/>
  <c r="O122" i="222"/>
  <c r="D32" i="49" l="1"/>
  <c r="D157" i="79"/>
  <c r="D163" i="79" s="1"/>
  <c r="Q117" i="222"/>
  <c r="F169" i="79" s="1"/>
  <c r="P118" i="222"/>
  <c r="P119" i="222" s="1"/>
  <c r="P126" i="222" s="1"/>
  <c r="P122" i="222"/>
  <c r="D16" i="69"/>
  <c r="H16" i="69" l="1"/>
  <c r="K25" i="46"/>
  <c r="D169" i="79"/>
  <c r="O25" i="46" l="1"/>
  <c r="F25" i="46"/>
  <c r="G169" i="79"/>
  <c r="D30" i="69" l="1"/>
  <c r="F19" i="47"/>
  <c r="G15" i="84"/>
  <c r="F15" i="84" l="1"/>
  <c r="L25" i="42"/>
  <c r="L29" i="42" s="1"/>
  <c r="H30" i="69"/>
  <c r="D32" i="69"/>
  <c r="H32" i="69" s="1"/>
  <c r="G50" i="10" l="1"/>
  <c r="L31" i="42"/>
  <c r="D123" i="222" l="1"/>
  <c r="D124" i="222" s="1"/>
  <c r="N123" i="222" l="1"/>
  <c r="N124" i="222" s="1"/>
  <c r="G123" i="222"/>
  <c r="G124" i="222" s="1"/>
  <c r="K123" i="222"/>
  <c r="K124" i="222" s="1"/>
  <c r="E123" i="222"/>
  <c r="E124" i="222" s="1"/>
  <c r="O123" i="222"/>
  <c r="O124" i="222" s="1"/>
  <c r="I123" i="222"/>
  <c r="I124" i="222" s="1"/>
  <c r="H123" i="222"/>
  <c r="H124" i="222" s="1"/>
  <c r="M123" i="222"/>
  <c r="M124" i="222" s="1"/>
  <c r="L123" i="222"/>
  <c r="L124" i="222" s="1"/>
  <c r="F123" i="222"/>
  <c r="F124" i="222" s="1"/>
  <c r="J123" i="222"/>
  <c r="J124" i="222" s="1"/>
  <c r="D34" i="49" l="1"/>
  <c r="L144" i="51" l="1"/>
  <c r="L146" i="51" s="1"/>
  <c r="L148" i="51" s="1"/>
  <c r="D35" i="49"/>
  <c r="D26" i="49"/>
  <c r="D28" i="49" l="1"/>
  <c r="J144" i="51" l="1"/>
  <c r="D29" i="49"/>
  <c r="J142" i="51" l="1"/>
  <c r="P142" i="51" s="1"/>
  <c r="P144" i="51" s="1"/>
  <c r="P146" i="51" s="1"/>
  <c r="P148" i="51" s="1"/>
  <c r="J146" i="51"/>
  <c r="J148" i="51" s="1"/>
  <c r="D37" i="49" l="1"/>
  <c r="D42" i="49" l="1"/>
  <c r="D38" i="49" l="1"/>
  <c r="D43" i="49" l="1"/>
  <c r="D44" i="49" s="1"/>
  <c r="D45" i="49" s="1"/>
  <c r="D39" i="49"/>
  <c r="D40" i="49" l="1"/>
  <c r="N144" i="51"/>
  <c r="N146" i="51" s="1"/>
  <c r="N148" i="51" s="1"/>
  <c r="H41" i="254" l="1"/>
  <c r="H42" i="254" s="1"/>
  <c r="H43" i="254" s="1"/>
  <c r="H44" i="254" s="1"/>
  <c r="H45" i="254" s="1"/>
  <c r="H46" i="254" s="1"/>
  <c r="H47" i="254" s="1"/>
  <c r="H48" i="254" s="1"/>
  <c r="H49" i="254" s="1"/>
  <c r="H50" i="254" s="1"/>
  <c r="H55" i="254" l="1"/>
  <c r="H56" i="254" s="1"/>
  <c r="H52" i="254" l="1"/>
  <c r="H61" i="254" s="1"/>
  <c r="L28" i="230" l="1"/>
  <c r="L49" i="230" s="1"/>
  <c r="D22" i="231"/>
  <c r="E28" i="230"/>
  <c r="F28" i="230"/>
  <c r="F49" i="230" s="1"/>
  <c r="H28" i="230"/>
  <c r="H49" i="230" s="1"/>
  <c r="I28" i="230"/>
  <c r="I49" i="230" s="1"/>
  <c r="K28" i="230"/>
  <c r="K49" i="230" s="1"/>
  <c r="M28" i="230"/>
  <c r="M49" i="230" s="1"/>
  <c r="N28" i="230"/>
  <c r="N49" i="230" s="1"/>
  <c r="O28" i="230"/>
  <c r="O49" i="230" s="1"/>
  <c r="P28" i="230"/>
  <c r="E49" i="230"/>
  <c r="P49" i="230"/>
  <c r="F28" i="233"/>
  <c r="F49" i="233" s="1"/>
  <c r="N28" i="233"/>
  <c r="N49" i="233" s="1"/>
  <c r="D22" i="232"/>
  <c r="D28" i="233"/>
  <c r="D49" i="233" s="1"/>
  <c r="E28" i="233"/>
  <c r="E49" i="233" s="1"/>
  <c r="G28" i="233"/>
  <c r="G49" i="233" s="1"/>
  <c r="I28" i="233"/>
  <c r="I49" i="233" s="1"/>
  <c r="J28" i="233"/>
  <c r="J49" i="233" s="1"/>
  <c r="K28" i="233"/>
  <c r="K49" i="233" s="1"/>
  <c r="L28" i="233"/>
  <c r="L49" i="233" s="1"/>
  <c r="M28" i="233"/>
  <c r="M49" i="233" s="1"/>
  <c r="O28" i="233"/>
  <c r="O49" i="233" s="1"/>
  <c r="I22" i="232" l="1"/>
  <c r="I28" i="232" s="1"/>
  <c r="I49" i="232" s="1"/>
  <c r="Q49" i="230"/>
  <c r="P28" i="233"/>
  <c r="H28" i="233"/>
  <c r="Q22" i="230"/>
  <c r="I22" i="231" s="1"/>
  <c r="I28" i="231" s="1"/>
  <c r="I49" i="231" s="1"/>
  <c r="Q28" i="230"/>
  <c r="G22" i="232"/>
  <c r="G28" i="232" s="1"/>
  <c r="G49" i="232" s="1"/>
  <c r="D25" i="137" s="1"/>
  <c r="D28" i="232"/>
  <c r="D49" i="232" s="1"/>
  <c r="D28" i="231"/>
  <c r="D49" i="231" s="1"/>
  <c r="G22" i="231"/>
  <c r="G28" i="231" s="1"/>
  <c r="G49" i="231" s="1"/>
  <c r="D25" i="3" s="1"/>
  <c r="P49" i="233" l="1"/>
  <c r="Q49" i="233" s="1"/>
  <c r="Q28" i="233"/>
  <c r="L22" i="232"/>
  <c r="L28" i="232" s="1"/>
  <c r="L49" i="232" s="1"/>
  <c r="I81" i="232" s="1"/>
  <c r="I83" i="232" s="1"/>
  <c r="L22" i="231"/>
  <c r="L28" i="231" s="1"/>
  <c r="L49" i="231" s="1"/>
  <c r="F25" i="3" s="1"/>
  <c r="H49" i="233"/>
  <c r="I72" i="232" l="1"/>
  <c r="I75" i="232" s="1"/>
  <c r="L53" i="232"/>
  <c r="F25" i="137" s="1"/>
  <c r="I79" i="232"/>
  <c r="I85" i="232" s="1"/>
  <c r="E14" i="67" l="1"/>
  <c r="E22" i="67" s="1"/>
  <c r="E14" i="31"/>
  <c r="E22" i="31" s="1"/>
  <c r="D21" i="137" l="1"/>
  <c r="D21" i="3"/>
  <c r="D27" i="3" l="1"/>
  <c r="F21" i="3"/>
  <c r="F27" i="3" s="1"/>
  <c r="D27" i="137"/>
  <c r="F21" i="137"/>
  <c r="F27" i="137" s="1"/>
  <c r="J28" i="47" l="1"/>
  <c r="G28" i="84"/>
  <c r="G32" i="84" s="1"/>
  <c r="G16" i="1"/>
  <c r="G24" i="1" s="1"/>
  <c r="F28" i="47"/>
  <c r="I60" i="232"/>
  <c r="D28" i="47"/>
  <c r="E28" i="84"/>
  <c r="E32" i="84" s="1"/>
  <c r="E16" i="1"/>
  <c r="E24" i="1" s="1"/>
  <c r="E17" i="84" l="1"/>
  <c r="E19" i="84" s="1"/>
  <c r="E23" i="84" s="1"/>
  <c r="J41" i="42"/>
  <c r="I62" i="232"/>
  <c r="I64" i="232"/>
  <c r="G17" i="84"/>
  <c r="L41" i="42"/>
  <c r="I66" i="232" l="1"/>
  <c r="I68" i="232" s="1"/>
  <c r="I70" i="232" s="1"/>
  <c r="K73" i="232" s="1"/>
  <c r="F17" i="84"/>
  <c r="F19" i="84" s="1"/>
  <c r="G19" i="84"/>
  <c r="G23" i="84" s="1"/>
  <c r="G59" i="10"/>
  <c r="L42" i="42"/>
  <c r="H59" i="10"/>
  <c r="J42" i="42"/>
  <c r="K12" i="44"/>
  <c r="J12" i="44"/>
  <c r="D179" i="45"/>
  <c r="M12" i="44"/>
  <c r="O12" i="44"/>
  <c r="N12" i="44"/>
  <c r="D23" i="47"/>
  <c r="D24" i="47" s="1"/>
  <c r="D26" i="47" s="1"/>
  <c r="L12" i="44"/>
  <c r="P12" i="44" l="1"/>
  <c r="P113" i="44" s="1"/>
  <c r="E18" i="1"/>
  <c r="D30" i="47"/>
  <c r="J43" i="42"/>
  <c r="H53" i="10" s="1"/>
  <c r="L43" i="42"/>
  <c r="G53" i="10" s="1"/>
  <c r="H12" i="222"/>
  <c r="K12" i="222"/>
  <c r="O12" i="222"/>
  <c r="E12" i="222"/>
  <c r="J12" i="222"/>
  <c r="O28" i="46"/>
  <c r="D12" i="222"/>
  <c r="N12" i="222"/>
  <c r="I12" i="222"/>
  <c r="G12" i="222"/>
  <c r="M12" i="222"/>
  <c r="F12" i="222"/>
  <c r="L12" i="222"/>
  <c r="F23" i="84"/>
  <c r="F23" i="47"/>
  <c r="D28" i="46"/>
  <c r="D31" i="46" s="1"/>
  <c r="D33" i="46" s="1"/>
  <c r="N54" i="202" s="1"/>
  <c r="N50" i="202" s="1"/>
  <c r="L50" i="202" s="1"/>
  <c r="D181" i="45"/>
  <c r="D183" i="45" s="1"/>
  <c r="J45" i="42" l="1"/>
  <c r="O31" i="46"/>
  <c r="O33" i="46" s="1"/>
  <c r="P12" i="222"/>
  <c r="H55" i="10"/>
  <c r="G55" i="10"/>
  <c r="L45" i="42"/>
  <c r="F24" i="47"/>
  <c r="F26" i="47" s="1"/>
  <c r="E20" i="1"/>
  <c r="E26" i="1"/>
  <c r="E30" i="1" s="1"/>
  <c r="E36" i="1" s="1"/>
  <c r="H115" i="10" l="1"/>
  <c r="H58" i="10"/>
  <c r="H113" i="10"/>
  <c r="H114" i="10"/>
  <c r="G58" i="10"/>
  <c r="G114" i="10"/>
  <c r="G115" i="10"/>
  <c r="G113" i="10"/>
  <c r="F30" i="47"/>
  <c r="G18" i="1"/>
  <c r="P113" i="222"/>
  <c r="D173" i="79"/>
  <c r="G60" i="10" l="1"/>
  <c r="G62" i="10" s="1"/>
  <c r="G78" i="10"/>
  <c r="G80" i="10"/>
  <c r="G77" i="10"/>
  <c r="G76" i="10"/>
  <c r="H80" i="10"/>
  <c r="H60" i="10"/>
  <c r="H62" i="10" s="1"/>
  <c r="H78" i="10"/>
  <c r="H77" i="10"/>
  <c r="H76" i="10"/>
  <c r="D175" i="79"/>
  <c r="D177" i="79" s="1"/>
  <c r="P120" i="222" s="1"/>
  <c r="Q120" i="222" s="1"/>
  <c r="K28" i="46"/>
  <c r="G20" i="1"/>
  <c r="V54" i="202" s="1"/>
  <c r="V50" i="202" s="1"/>
  <c r="T50" i="202" s="1"/>
  <c r="G26" i="1"/>
  <c r="G30" i="1" s="1"/>
  <c r="G36" i="1" s="1"/>
  <c r="H66" i="10" l="1"/>
  <c r="H64" i="10"/>
  <c r="G40" i="1"/>
  <c r="H15" i="47"/>
  <c r="F28" i="46"/>
  <c r="F31" i="46" s="1"/>
  <c r="F33" i="46" s="1"/>
  <c r="K31" i="46"/>
  <c r="K33" i="46" s="1"/>
  <c r="M28" i="46"/>
  <c r="M31" i="46" s="1"/>
  <c r="M33" i="46" s="1"/>
  <c r="G66" i="10"/>
  <c r="G64" i="10"/>
  <c r="G44" i="1" l="1"/>
  <c r="H19" i="47"/>
  <c r="H21" i="47"/>
  <c r="J21" i="47" s="1"/>
  <c r="J15" i="47"/>
  <c r="H23" i="47" l="1"/>
  <c r="J23" i="47" s="1"/>
  <c r="J19" i="47"/>
  <c r="H24" i="47" l="1"/>
  <c r="H26" i="47" s="1"/>
  <c r="J24" i="47"/>
  <c r="J26" i="47" s="1"/>
  <c r="J30" i="47" s="1"/>
</calcChain>
</file>

<file path=xl/sharedStrings.xml><?xml version="1.0" encoding="utf-8"?>
<sst xmlns="http://schemas.openxmlformats.org/spreadsheetml/2006/main" count="5469" uniqueCount="1692">
  <si>
    <t>Cost</t>
  </si>
  <si>
    <t>EMBEDDED Cost of PREFERRED STOCK</t>
  </si>
  <si>
    <t>Cost of Capital Summary</t>
  </si>
  <si>
    <t>C-2.2</t>
  </si>
  <si>
    <t>Total General Plant</t>
  </si>
  <si>
    <t>Total CWIP Without AFUDC (Div 009, 091, 002, 012)</t>
  </si>
  <si>
    <t>Kentucky Direct (Division 009)</t>
  </si>
  <si>
    <t>Kentucky-Mid-States General Office (Division 091)</t>
  </si>
  <si>
    <t>Shared Services General Office (Division 002)</t>
  </si>
  <si>
    <t>Shared Services Customer Support (Division 012)</t>
  </si>
  <si>
    <t xml:space="preserve">Adjusted </t>
  </si>
  <si>
    <t xml:space="preserve">Kentucky </t>
  </si>
  <si>
    <t>Allocated</t>
  </si>
  <si>
    <t>Kentucky- Mid</t>
  </si>
  <si>
    <t>States Division</t>
  </si>
  <si>
    <t>(D)</t>
  </si>
  <si>
    <t>Mains - Steel</t>
  </si>
  <si>
    <t>OverTime Hours</t>
  </si>
  <si>
    <t xml:space="preserve">Ratio of OverTime Hours </t>
  </si>
  <si>
    <t>OverTime Dollars</t>
  </si>
  <si>
    <t>Ratio of OverTime Dollars</t>
  </si>
  <si>
    <t>Sales or</t>
  </si>
  <si>
    <t xml:space="preserve">13 Month Average Rate Base </t>
  </si>
  <si>
    <t>403 DEPRECIATION Expense</t>
  </si>
  <si>
    <t>Purchased Gas Cost</t>
  </si>
  <si>
    <t>Comparative Financial Data</t>
  </si>
  <si>
    <t xml:space="preserve">   Production &amp; Gathering Plant</t>
  </si>
  <si>
    <t xml:space="preserve">   Underground Storage</t>
  </si>
  <si>
    <t xml:space="preserve">   Transmission Plant</t>
  </si>
  <si>
    <t>907 Cust Accts Supervision</t>
  </si>
  <si>
    <t>908 Customer Assistance Expenses</t>
  </si>
  <si>
    <t>Div 09 Accumulated Deferred Income Taxes</t>
  </si>
  <si>
    <t>1 /8 Method</t>
  </si>
  <si>
    <t xml:space="preserve">   Basis) (%)</t>
  </si>
  <si>
    <t>Date</t>
  </si>
  <si>
    <t>Schedule H-1</t>
  </si>
  <si>
    <t>Schedule C-2.2</t>
  </si>
  <si>
    <t>(E)</t>
  </si>
  <si>
    <t>(G)</t>
  </si>
  <si>
    <t>CIVIC, POLITICAL and RELATED ACTIVITIES</t>
  </si>
  <si>
    <t>of Total</t>
  </si>
  <si>
    <t xml:space="preserve">Allocation for taxes other CSC </t>
  </si>
  <si>
    <t>Forecasted</t>
  </si>
  <si>
    <t>Base</t>
  </si>
  <si>
    <t>13 Month</t>
  </si>
  <si>
    <t>Schedule K</t>
  </si>
  <si>
    <t>Schedule J-4</t>
  </si>
  <si>
    <t>Schedule J-3</t>
  </si>
  <si>
    <t>Schedule J-2</t>
  </si>
  <si>
    <t>Performance based rates</t>
  </si>
  <si>
    <t>Total other income</t>
  </si>
  <si>
    <t>Account 252 - Customer Advances For Construction</t>
  </si>
  <si>
    <t>Summary of Utility Jurisdictional Adjustments to</t>
  </si>
  <si>
    <t>Data:___X____Base Period________Forecasted Period</t>
  </si>
  <si>
    <t>(MMcf)</t>
  </si>
  <si>
    <t xml:space="preserve"> No.</t>
  </si>
  <si>
    <t>Schedule A</t>
  </si>
  <si>
    <t>Schedule</t>
  </si>
  <si>
    <t>Operating Income Summary</t>
  </si>
  <si>
    <t>to Straight-Time Hours</t>
  </si>
  <si>
    <t>O&amp;M Labor Dollars</t>
  </si>
  <si>
    <t xml:space="preserve">Ratio of O&amp;M of Labor Dollars </t>
  </si>
  <si>
    <t>Revenue From Transportation of Gas of Others</t>
  </si>
  <si>
    <t xml:space="preserve">  Other Operating Income</t>
  </si>
  <si>
    <t>O P E R A T I N G  R E V E N U E</t>
  </si>
  <si>
    <t>T O T A L  O P E R A T I N G  R E V E N U E</t>
  </si>
  <si>
    <t xml:space="preserve">      Gas Delivered to Storage</t>
  </si>
  <si>
    <t>Div 02 Accumulated Deferred Income Taxes</t>
  </si>
  <si>
    <t xml:space="preserve">      Other Gas Supply Expenses</t>
  </si>
  <si>
    <t>Customer Accting. &amp; Collection</t>
  </si>
  <si>
    <t>Customer Service &amp; Information</t>
  </si>
  <si>
    <t>Schedule F-6</t>
  </si>
  <si>
    <t>Owensboro Country Club</t>
  </si>
  <si>
    <t>( dues )</t>
  </si>
  <si>
    <t>OCC - Expenses</t>
  </si>
  <si>
    <t>Div 002</t>
  </si>
  <si>
    <t>Div 012</t>
  </si>
  <si>
    <t>Div 091</t>
  </si>
  <si>
    <t>B-4</t>
  </si>
  <si>
    <t>Allowance for Working Capital</t>
  </si>
  <si>
    <t>B-4.2</t>
  </si>
  <si>
    <t>B-4.1</t>
  </si>
  <si>
    <t>13 Month Average Balance</t>
  </si>
  <si>
    <t>B-5</t>
  </si>
  <si>
    <t>Unbilled</t>
  </si>
  <si>
    <t>Trailers</t>
  </si>
  <si>
    <t>Ditchers</t>
  </si>
  <si>
    <t>Backhoes</t>
  </si>
  <si>
    <t>Welders</t>
  </si>
  <si>
    <t>Charitable Organization  *</t>
  </si>
  <si>
    <t>Depreciation Expense</t>
  </si>
  <si>
    <t>13-Month</t>
  </si>
  <si>
    <t>Line</t>
  </si>
  <si>
    <t>Sub</t>
  </si>
  <si>
    <t>Workpaper</t>
  </si>
  <si>
    <t>Total</t>
  </si>
  <si>
    <t>Jurisdictional</t>
  </si>
  <si>
    <t>Average</t>
  </si>
  <si>
    <t>No.</t>
  </si>
  <si>
    <t>Acct</t>
  </si>
  <si>
    <t>Reference</t>
  </si>
  <si>
    <t>Company</t>
  </si>
  <si>
    <t>Percent</t>
  </si>
  <si>
    <t>Amount</t>
  </si>
  <si>
    <t>Balance</t>
  </si>
  <si>
    <t>Other Prop. On Cust. Prem</t>
  </si>
  <si>
    <t>actual</t>
  </si>
  <si>
    <t>Taxes Property and Other</t>
  </si>
  <si>
    <t>Ad Valorem - Accrual</t>
  </si>
  <si>
    <t>814 Storage Supervision &amp; Engineering</t>
  </si>
  <si>
    <t>816 Storage Wells Expense</t>
  </si>
  <si>
    <t>Working Capital Components</t>
  </si>
  <si>
    <t>Gross Profit</t>
  </si>
  <si>
    <t>Direct O&amp;M</t>
  </si>
  <si>
    <t>Depreciation &amp; amortization</t>
  </si>
  <si>
    <t>Taxes - other than income</t>
  </si>
  <si>
    <t>894 Dist Maint Other Eq</t>
  </si>
  <si>
    <t>901 Cust Accts Supervision</t>
  </si>
  <si>
    <t>902 Cust Accts Mtr Exp</t>
  </si>
  <si>
    <t>903 Cust Accts Records/Collections</t>
  </si>
  <si>
    <t>904 Cust Accts Uncoll Accts</t>
  </si>
  <si>
    <t>909 Cust Ser Supervision</t>
  </si>
  <si>
    <t>910 Cust Ser Assist Exp</t>
  </si>
  <si>
    <t>Adjusted Operating Income</t>
  </si>
  <si>
    <t>Gross Revenue</t>
  </si>
  <si>
    <t>Gross Revenue Conversion Factor</t>
  </si>
  <si>
    <t>Ratemaking</t>
  </si>
  <si>
    <t>Test Year</t>
  </si>
  <si>
    <t>Rev. &amp; Exp.</t>
  </si>
  <si>
    <t>Residential</t>
  </si>
  <si>
    <t>Commercial</t>
  </si>
  <si>
    <t>Industrial</t>
  </si>
  <si>
    <t>Average Revenue per Class:</t>
  </si>
  <si>
    <t>Total O &amp; M Expenses</t>
  </si>
  <si>
    <t xml:space="preserve">  Sales of Gas</t>
  </si>
  <si>
    <t>Data:__x___Base Period___x___Forecasted Period</t>
  </si>
  <si>
    <t>Schedule F-3</t>
  </si>
  <si>
    <t>Number</t>
  </si>
  <si>
    <t>Sched.</t>
  </si>
  <si>
    <t>C-2</t>
  </si>
  <si>
    <t>Weighted cost of Debt</t>
  </si>
  <si>
    <t>J-1.1</t>
  </si>
  <si>
    <t>Schedule F-2.1</t>
  </si>
  <si>
    <t>Compressor Station Expense</t>
  </si>
  <si>
    <t>Compressor Station Expense Fuel &amp; Power</t>
  </si>
  <si>
    <t>$</t>
  </si>
  <si>
    <t>100.00%</t>
  </si>
  <si>
    <t>Data:______Base Period__X___Forecasted Period</t>
  </si>
  <si>
    <t>%</t>
  </si>
  <si>
    <t>Adjustment</t>
  </si>
  <si>
    <t>Computation of State &amp; Federal Income Tax</t>
  </si>
  <si>
    <t>Composite Tax Rate (state &amp; federal)</t>
  </si>
  <si>
    <t>Franchises &amp; Consents</t>
  </si>
  <si>
    <t>Natural Gas Production Plant</t>
  </si>
  <si>
    <t>Division</t>
  </si>
  <si>
    <t>Property Plant and Equipment, Net (Sum line 1 Thru 3)</t>
  </si>
  <si>
    <t>Rate Base (Sum line 4 Thru 8)</t>
  </si>
  <si>
    <t>Property Plant and Equipment, Net (Sum Line 1 Thru 3)</t>
  </si>
  <si>
    <t>Rate Base (Sum Line 4 Thru 8)</t>
  </si>
  <si>
    <t>Forecasted Period Ending Balance</t>
  </si>
  <si>
    <t>Rights of Ways</t>
  </si>
  <si>
    <t>Field Lines</t>
  </si>
  <si>
    <t>Public Authority &amp; Other</t>
  </si>
  <si>
    <t>Number of Customer by Class:</t>
  </si>
  <si>
    <t xml:space="preserve">    Gross Plant</t>
  </si>
  <si>
    <t>406 AMORT. - Gas Plant AQUIST.</t>
  </si>
  <si>
    <t>Plant in Service</t>
  </si>
  <si>
    <t>(E=D/B)</t>
  </si>
  <si>
    <t>Federal Income Tax @</t>
  </si>
  <si>
    <t>A</t>
  </si>
  <si>
    <t>Rate Base Summary</t>
  </si>
  <si>
    <t>Net Income</t>
  </si>
  <si>
    <t xml:space="preserve">   Industrial</t>
  </si>
  <si>
    <t>Schedule F-1</t>
  </si>
  <si>
    <t>Account No.</t>
  </si>
  <si>
    <t>Social Organization/Service Club</t>
  </si>
  <si>
    <t>Jurisdictional %</t>
  </si>
  <si>
    <t xml:space="preserve">   Intangible Plant</t>
  </si>
  <si>
    <t>Other Tang. Property - Mainframe S/W</t>
  </si>
  <si>
    <t>Transportation</t>
  </si>
  <si>
    <t>Customer accounts-Operation supervision</t>
  </si>
  <si>
    <t>A&amp;G-Administrative &amp; general salaries</t>
  </si>
  <si>
    <t>A&amp;G-General advertising expense</t>
  </si>
  <si>
    <t>A&amp;G-Rents</t>
  </si>
  <si>
    <t>A&amp;G-Maintenance of general plant</t>
  </si>
  <si>
    <r>
      <t xml:space="preserve">Monthly Jurisdictional Operating Income by FERC Account, </t>
    </r>
    <r>
      <rPr>
        <b/>
        <sz val="12"/>
        <rFont val="Helvetica-Narrow"/>
      </rPr>
      <t>Div 002 Only</t>
    </r>
  </si>
  <si>
    <r>
      <t xml:space="preserve">Monthly Jurisdictional Operating Income by FERC Account, </t>
    </r>
    <r>
      <rPr>
        <b/>
        <sz val="12"/>
        <rFont val="Helvetica-Narrow"/>
      </rPr>
      <t>Div 012 Only</t>
    </r>
  </si>
  <si>
    <t>Other storage expenses-Operation labor and expenses</t>
  </si>
  <si>
    <t>Odorization</t>
  </si>
  <si>
    <r>
      <t xml:space="preserve">Monthly Jurisdictional Operating Income by FERC Account, </t>
    </r>
    <r>
      <rPr>
        <b/>
        <sz val="12"/>
        <rFont val="Helvetica-Narrow"/>
      </rPr>
      <t>Div 091 Only</t>
    </r>
  </si>
  <si>
    <t>Discription</t>
  </si>
  <si>
    <t>Account 4081-Taxes Other than Income Tax by Sub-Account</t>
  </si>
  <si>
    <t>Div 009</t>
  </si>
  <si>
    <t>Summary of Revenue Adjustments.</t>
  </si>
  <si>
    <t>Allocation Factor to Kentucky</t>
  </si>
  <si>
    <t>Kentucky</t>
  </si>
  <si>
    <t>*Note:  Debits are shown as positive, and credits are shown as negatives.  Includes the  Shared Services allocation.</t>
  </si>
  <si>
    <t>Data:__X___Base Period___X___Forecasted Period</t>
  </si>
  <si>
    <t>Shared Services</t>
  </si>
  <si>
    <t>Kentucky/Mid-States</t>
  </si>
  <si>
    <t>General Office (Div 002)</t>
  </si>
  <si>
    <t>Customer Support (Div 012)</t>
  </si>
  <si>
    <t>Mid-States General Office (Div 091)</t>
  </si>
  <si>
    <t>Line No.</t>
  </si>
  <si>
    <t>Benefit Load Projects</t>
  </si>
  <si>
    <t>Taxes Property And Other</t>
  </si>
  <si>
    <t>Total Tax Other Than Income Tax</t>
  </si>
  <si>
    <t>Allocation Factor to Kentucky Mid-States (Div 091)</t>
  </si>
  <si>
    <t>Allocation Factor to Kentucky Jurisdiction (Div 009)</t>
  </si>
  <si>
    <t>Total Allocated Amount</t>
  </si>
  <si>
    <t>Interest Deduction</t>
  </si>
  <si>
    <t>922 Administrative Expense Transferred</t>
  </si>
  <si>
    <t>DIVISION 09</t>
  </si>
  <si>
    <t>DIVISION 02</t>
  </si>
  <si>
    <t>Total Storage Plant</t>
  </si>
  <si>
    <t>Account /</t>
  </si>
  <si>
    <t>Title</t>
  </si>
  <si>
    <t>Title of Adjustment</t>
  </si>
  <si>
    <t>&amp; Title</t>
  </si>
  <si>
    <t>Projected Rate Case Expense</t>
  </si>
  <si>
    <t>Consulting</t>
  </si>
  <si>
    <t>495 Other Gas Service Revenue</t>
  </si>
  <si>
    <t>803/804/812 Gas Purchase Costs</t>
  </si>
  <si>
    <t>Blended Effective Tax Rate</t>
  </si>
  <si>
    <t>911 Cust Ser Info Adv Exp</t>
  </si>
  <si>
    <t>916 Sales Promo Demo/Selling</t>
  </si>
  <si>
    <t>921 Adm Gen Office Supply</t>
  </si>
  <si>
    <t>923 Adm Gen Outside Services Emply</t>
  </si>
  <si>
    <t>Meas &amp; Reg. Sta. Equip - General</t>
  </si>
  <si>
    <t>Forfeited discounts</t>
  </si>
  <si>
    <t>815 Maps and records</t>
  </si>
  <si>
    <t>860 Rents</t>
  </si>
  <si>
    <t>8711 Odorization</t>
  </si>
  <si>
    <t>895 Maintenance of Other Plant</t>
  </si>
  <si>
    <t>835 Storage Maintenance Meas/Reg</t>
  </si>
  <si>
    <t>836 Storage Maintenance Purification</t>
  </si>
  <si>
    <t>841 Storage Operation</t>
  </si>
  <si>
    <t>847 Storage Maintenance</t>
  </si>
  <si>
    <t>850 Trsm Supervision &amp; Engineering</t>
  </si>
  <si>
    <t>856 Trsm Mains Expense</t>
  </si>
  <si>
    <t>857 Trsm Measuring &amp; Regulating</t>
  </si>
  <si>
    <t>859 Trsm Other Exp</t>
  </si>
  <si>
    <t>862 Trsm Structure &amp; Improvements</t>
  </si>
  <si>
    <t>863 Trsm Maint of Mains</t>
  </si>
  <si>
    <t>864 Trsm Maint Comp Sta Equip</t>
  </si>
  <si>
    <t>865 Trsm Maint Meas/Reg Sta</t>
  </si>
  <si>
    <t>867 Trsm Maint Other Eq</t>
  </si>
  <si>
    <t>870 Dist Supervision &amp; Engineering</t>
  </si>
  <si>
    <t>871 Dist Load Dispatching</t>
  </si>
  <si>
    <t>872 Dist Comp Sta</t>
  </si>
  <si>
    <t>874 Dist Main/Ser Exp</t>
  </si>
  <si>
    <t>875 Dist Meas/Reg Sta-Gen</t>
  </si>
  <si>
    <t>SIT Rate</t>
  </si>
  <si>
    <t>Schedule D-2.1</t>
  </si>
  <si>
    <t xml:space="preserve">  Preferred stock ($000)</t>
  </si>
  <si>
    <t xml:space="preserve">  Common equity ($000)</t>
  </si>
  <si>
    <t>Condensed Income Statement data: ($000)</t>
  </si>
  <si>
    <t xml:space="preserve">  State Income Tax (current))</t>
  </si>
  <si>
    <t xml:space="preserve">  Federal Income Tax (current)</t>
  </si>
  <si>
    <t xml:space="preserve">  Federal and State Income Tax - net</t>
  </si>
  <si>
    <t xml:space="preserve">  Investment  tax credits</t>
  </si>
  <si>
    <t>Schedule D-2.2</t>
  </si>
  <si>
    <t>Schedule D-2.3</t>
  </si>
  <si>
    <t>Schedule C-1</t>
  </si>
  <si>
    <t>Schedule C-2</t>
  </si>
  <si>
    <t>Materials &amp; Supplies</t>
  </si>
  <si>
    <t>Acct.</t>
  </si>
  <si>
    <t>Interest</t>
  </si>
  <si>
    <t>Expense</t>
  </si>
  <si>
    <t>Rate Base</t>
  </si>
  <si>
    <t>SHORT-TERM DEBT</t>
  </si>
  <si>
    <t>LONG-TERM DEBT</t>
  </si>
  <si>
    <t>PREFERRED STOCK</t>
  </si>
  <si>
    <t>COMMON EQUITY</t>
  </si>
  <si>
    <t>J-3</t>
  </si>
  <si>
    <t>J-4</t>
  </si>
  <si>
    <t>Total Natural Gas Production Plant</t>
  </si>
  <si>
    <t>Storage Plant</t>
  </si>
  <si>
    <t xml:space="preserve">Compression Station Equipment </t>
  </si>
  <si>
    <t xml:space="preserve">      PGA for Transportation Sales</t>
  </si>
  <si>
    <t xml:space="preserve">      Unbilled PGA Costs</t>
  </si>
  <si>
    <t xml:space="preserve">      PGA Offset to Unrecovered Gas Cost</t>
  </si>
  <si>
    <t xml:space="preserve">      Gas Withdrawn From Storage - Debit</t>
  </si>
  <si>
    <t>Operating Revenue and Expenses by FERC Account</t>
  </si>
  <si>
    <t xml:space="preserve">(1) These donations represent Economic Development Contributions, all Other civic donations are Included </t>
  </si>
  <si>
    <t>Required Rate of Return</t>
  </si>
  <si>
    <t xml:space="preserve">  Operating Expenses (excludes Federal</t>
  </si>
  <si>
    <t>Ad Valorem</t>
  </si>
  <si>
    <t>Public Service Commission Assessment</t>
  </si>
  <si>
    <t>Organization</t>
  </si>
  <si>
    <t>Land</t>
  </si>
  <si>
    <t>Maintenance of Other Plant</t>
  </si>
  <si>
    <t>Maps and Records</t>
  </si>
  <si>
    <t>840/847</t>
  </si>
  <si>
    <t>SubAccount Titles</t>
  </si>
  <si>
    <t>Intangible Plant</t>
  </si>
  <si>
    <t>Total Intangible Plant</t>
  </si>
  <si>
    <t>Distribution Plant</t>
  </si>
  <si>
    <t>Total Distribution Plant</t>
  </si>
  <si>
    <t>General Plant</t>
  </si>
  <si>
    <t>O P E R A T I N G  E X P E N S E S</t>
  </si>
  <si>
    <t xml:space="preserve">      Natural Gas City Gate Purchases</t>
  </si>
  <si>
    <t>State &amp; Federal Income Taxes</t>
  </si>
  <si>
    <t xml:space="preserve">  Total Mix of Sales</t>
  </si>
  <si>
    <t xml:space="preserve">  Mix of Fuel:</t>
  </si>
  <si>
    <t>Composite Depreciation Rate</t>
  </si>
  <si>
    <t xml:space="preserve">   Plant in Service by functional class:</t>
  </si>
  <si>
    <t>Property Insurance</t>
  </si>
  <si>
    <t>Franchise Requirements</t>
  </si>
  <si>
    <t>Miscellaneous General Expense</t>
  </si>
  <si>
    <t>403-406</t>
  </si>
  <si>
    <t>Revenue Statistics</t>
  </si>
  <si>
    <t>Total Utility</t>
  </si>
  <si>
    <t>13 month</t>
  </si>
  <si>
    <t>Test Period</t>
  </si>
  <si>
    <t>Ending Balance</t>
  </si>
  <si>
    <t>Labor and Benefits</t>
  </si>
  <si>
    <t>Rent, Maintenance and Utilites</t>
  </si>
  <si>
    <t>Other O&amp;M</t>
  </si>
  <si>
    <t>Bad Debt</t>
  </si>
  <si>
    <t>(F)</t>
  </si>
  <si>
    <t xml:space="preserve"> </t>
  </si>
  <si>
    <t>Base Period</t>
  </si>
  <si>
    <t>Forecasted Period</t>
  </si>
  <si>
    <t>Ng. Field Meas. &amp; Reg. Station</t>
  </si>
  <si>
    <t>Purchased Gas Cost - Operation</t>
  </si>
  <si>
    <t>T O T A L  O P E R A T I N G  E X P E N S E</t>
  </si>
  <si>
    <t>Total Operation and Maintenance Expense</t>
  </si>
  <si>
    <t xml:space="preserve">  Return On Total Capital (Average)</t>
  </si>
  <si>
    <t xml:space="preserve">  Return On Net Plant in Service (Average)</t>
  </si>
  <si>
    <t xml:space="preserve">  Mix of Sales:</t>
  </si>
  <si>
    <t>TOTAL OPERATING EXPENSE (incl Gas Cost)</t>
  </si>
  <si>
    <t>NET OPERATING INCOME</t>
  </si>
  <si>
    <t>STDRATE</t>
  </si>
  <si>
    <t>LTDRATE</t>
  </si>
  <si>
    <t xml:space="preserve">Jurisdictional </t>
  </si>
  <si>
    <t>Account</t>
  </si>
  <si>
    <t>N/A</t>
  </si>
  <si>
    <t xml:space="preserve">Sales by Customer Class: </t>
  </si>
  <si>
    <t>Average Volume per Class:</t>
  </si>
  <si>
    <t>Other Tang. Property - Application Software</t>
  </si>
  <si>
    <t>Cushion Gas</t>
  </si>
  <si>
    <t xml:space="preserve">      Odorization</t>
  </si>
  <si>
    <t>N E T  O P E R A T I N G  I N C O M E</t>
  </si>
  <si>
    <t>Atmos Energy Corporation, Kentucky/Mid-States Division</t>
  </si>
  <si>
    <t>Class of Capital</t>
  </si>
  <si>
    <t>Weighted</t>
  </si>
  <si>
    <t>Outstanding</t>
  </si>
  <si>
    <t>Effective</t>
  </si>
  <si>
    <t>Annual</t>
  </si>
  <si>
    <t>Issue</t>
  </si>
  <si>
    <t>Issued</t>
  </si>
  <si>
    <t>Premium</t>
  </si>
  <si>
    <t>or</t>
  </si>
  <si>
    <t>Discount</t>
  </si>
  <si>
    <t>Gain or Loss</t>
  </si>
  <si>
    <t>on Reacquired</t>
  </si>
  <si>
    <t>Stock</t>
  </si>
  <si>
    <t>Net</t>
  </si>
  <si>
    <t>Proceeds</t>
  </si>
  <si>
    <t>At Issue</t>
  </si>
  <si>
    <t>Annualized</t>
  </si>
  <si>
    <t>Dividends</t>
  </si>
  <si>
    <t>Workpaper Reference No(s).____________________</t>
  </si>
  <si>
    <t>1</t>
  </si>
  <si>
    <t>B-1</t>
  </si>
  <si>
    <t>2</t>
  </si>
  <si>
    <t>C-1</t>
  </si>
  <si>
    <t>3</t>
  </si>
  <si>
    <t>4</t>
  </si>
  <si>
    <t>5</t>
  </si>
  <si>
    <t>6</t>
  </si>
  <si>
    <t>7</t>
  </si>
  <si>
    <t>H</t>
  </si>
  <si>
    <t>8</t>
  </si>
  <si>
    <t>9</t>
  </si>
  <si>
    <t>10</t>
  </si>
  <si>
    <t>Data:__X___Base Period______Forecasted Period</t>
  </si>
  <si>
    <t>13 Month Avg</t>
  </si>
  <si>
    <t xml:space="preserve">  Earnings available for common equity</t>
  </si>
  <si>
    <t xml:space="preserve">    Acquisition Adjustments</t>
  </si>
  <si>
    <t xml:space="preserve">   Less:  Accumulated depreciation</t>
  </si>
  <si>
    <t xml:space="preserve">   Net plant in Service</t>
  </si>
  <si>
    <t>% of Construction financed internally</t>
  </si>
  <si>
    <t>Operating Income Percentage</t>
  </si>
  <si>
    <t>834 Storage Maintenance Compressor</t>
  </si>
  <si>
    <t xml:space="preserve">     on Schedule F-2.1, Charitable Contributions.</t>
  </si>
  <si>
    <t>Summary of O &amp; M adjustments.</t>
  </si>
  <si>
    <t>Atmos Energy Corporation has no PREFERRED STOCK OUTSTANDING at this time.</t>
  </si>
  <si>
    <t>Positions included on this schedule are:</t>
  </si>
  <si>
    <t>These costs are total costs for Atmos Energy Corporation, a portion of which are allocated to Kentucky.</t>
  </si>
  <si>
    <t xml:space="preserve">  Labor</t>
  </si>
  <si>
    <t>Dividend Rate,</t>
  </si>
  <si>
    <t>Proposed</t>
  </si>
  <si>
    <t xml:space="preserve">   Total</t>
  </si>
  <si>
    <t>Adjusted Operating Income Statement</t>
  </si>
  <si>
    <t>Total DEBT</t>
  </si>
  <si>
    <t>Total Capital</t>
  </si>
  <si>
    <t xml:space="preserve">          sub-total</t>
  </si>
  <si>
    <t>Legal Fees</t>
  </si>
  <si>
    <t xml:space="preserve">     (J. Hughes/R. Hutchinson)</t>
  </si>
  <si>
    <t>Employee Expense</t>
  </si>
  <si>
    <t xml:space="preserve">Note:  Rate Case related expenses are shown separately on Schedule F-6. </t>
  </si>
  <si>
    <t xml:space="preserve">     (airfare, lodging, meals, etc.)</t>
  </si>
  <si>
    <t>Miscellaneous Expense</t>
  </si>
  <si>
    <t xml:space="preserve">     (printing, advertising, etc.)</t>
  </si>
  <si>
    <t>Note:  These items are not included in O&amp;M and therefore not part of revenue requirements.</t>
  </si>
  <si>
    <t>Data:__X____Base Period___X____Forecasted Period</t>
  </si>
  <si>
    <t>(c)</t>
  </si>
  <si>
    <t>Earned Rate of Return (line 2 divided by line 1)</t>
  </si>
  <si>
    <t>Required Operating Income (line 1 times line 4)</t>
  </si>
  <si>
    <t>Operating Income Deficiency (line 5 minus line 2)</t>
  </si>
  <si>
    <t>Revenue Deficiency (line 6 times line 7)</t>
  </si>
  <si>
    <t>Accumulated Depreciation &amp; Amortization</t>
  </si>
  <si>
    <t xml:space="preserve">Gross Payroll </t>
  </si>
  <si>
    <t>Monthly Jurisdictional Operating Income by FERC Account</t>
  </si>
  <si>
    <t xml:space="preserve">     Total     </t>
  </si>
  <si>
    <t>PROFESSIONAL Service Expenses</t>
  </si>
  <si>
    <t xml:space="preserve">      PGA for Commercial</t>
  </si>
  <si>
    <t>Total Distribution Expenses - Maintenance</t>
  </si>
  <si>
    <t>Customer Accounts Expenses - Operation</t>
  </si>
  <si>
    <t>SOCIAL and Service CLUB DUES</t>
  </si>
  <si>
    <t>(2)  All civic Memberships are Included on Schedule F-1, Social and Service Club Dues.</t>
  </si>
  <si>
    <t>Workpaper Reference No(s).</t>
  </si>
  <si>
    <t>Current Rates</t>
  </si>
  <si>
    <t>Proposed Rates</t>
  </si>
  <si>
    <t>Return at</t>
  </si>
  <si>
    <t>Detailed Adjustments</t>
  </si>
  <si>
    <t>Allowance For Working Capital</t>
  </si>
  <si>
    <t xml:space="preserve">   Other</t>
  </si>
  <si>
    <t>Other Capital</t>
  </si>
  <si>
    <t>Other Operating Income</t>
  </si>
  <si>
    <t>Total Production Expense - Operation</t>
  </si>
  <si>
    <t>887 Dist Maint of Mains</t>
  </si>
  <si>
    <t>Div 91 Accumulated Deferred Income Taxes</t>
  </si>
  <si>
    <t>Account 255 - Accumulated Deferred Investment Tax Credits</t>
  </si>
  <si>
    <t>Communication Equipment</t>
  </si>
  <si>
    <t>Wells \ Rights of Way</t>
  </si>
  <si>
    <t>Meter Installaitons</t>
  </si>
  <si>
    <t>House Reg. Installations</t>
  </si>
  <si>
    <t>Ind. Meas. &amp; Reg. Sta. Equipment</t>
  </si>
  <si>
    <t>Air Conditioning Equipment</t>
  </si>
  <si>
    <t>841/847</t>
  </si>
  <si>
    <t>Other Storage Exp. - LNG</t>
  </si>
  <si>
    <t>Sched</t>
  </si>
  <si>
    <t>Ref.</t>
  </si>
  <si>
    <t>Utility budget</t>
  </si>
  <si>
    <t>Other Tang. Property - PC Hardware</t>
  </si>
  <si>
    <t>Misc Cust Serv &amp; Informational Exp</t>
  </si>
  <si>
    <t>Budgeted</t>
  </si>
  <si>
    <t>912 Demonstrating and Selling Expenses</t>
  </si>
  <si>
    <t>913 Advertising Expenses</t>
  </si>
  <si>
    <t>924 Property insurance</t>
  </si>
  <si>
    <t>Other O &amp; M Expenses</t>
  </si>
  <si>
    <t>Workpaper Reference No(s).__________</t>
  </si>
  <si>
    <t>C-2.3</t>
  </si>
  <si>
    <t>Monthly Operating Income by FERC Account</t>
  </si>
  <si>
    <t>Taxes Other than Income Tax by Sub-Account</t>
  </si>
  <si>
    <t>Unallocated</t>
  </si>
  <si>
    <t>Income Tax Calculation</t>
  </si>
  <si>
    <t>ADJ 2</t>
  </si>
  <si>
    <t>ADJ 3</t>
  </si>
  <si>
    <t>ADJ 4</t>
  </si>
  <si>
    <t>ADJ 5</t>
  </si>
  <si>
    <t>Data:__X_____Base Period___X____Forecasted Period</t>
  </si>
  <si>
    <t>ADJ3</t>
  </si>
  <si>
    <t>D-2.1</t>
  </si>
  <si>
    <t>ADJUST.</t>
  </si>
  <si>
    <t>929 Uniforms capitalized</t>
  </si>
  <si>
    <t>840 Other Storage Expense</t>
  </si>
  <si>
    <t>Other Tangible Property - Servers - H/W</t>
  </si>
  <si>
    <t>Measuring &amp; Regulating Station Expense</t>
  </si>
  <si>
    <t>Purification</t>
  </si>
  <si>
    <t>Description of Expenses</t>
  </si>
  <si>
    <t>Supervision</t>
  </si>
  <si>
    <t>Customer Assistance</t>
  </si>
  <si>
    <t>Data:___x___Base Period___x___Forecasted Period</t>
  </si>
  <si>
    <t>Schedule F-2.2</t>
  </si>
  <si>
    <t>Payee</t>
  </si>
  <si>
    <t>Data:___x___Base Period___X___Forecasted Period</t>
  </si>
  <si>
    <t>Schedule F-2.3</t>
  </si>
  <si>
    <t xml:space="preserve">  Total Operating Revenue</t>
  </si>
  <si>
    <t xml:space="preserve">  Total Plant Revenue</t>
  </si>
  <si>
    <t xml:space="preserve">  Total DEPRECIATION and Amortization</t>
  </si>
  <si>
    <t xml:space="preserve">Total </t>
  </si>
  <si>
    <t>Total Other Working Capital Allowances</t>
  </si>
  <si>
    <t>Total Working Capital Requirements</t>
  </si>
  <si>
    <t>Construction Work in Progress</t>
  </si>
  <si>
    <t>% Change</t>
  </si>
  <si>
    <t>Executive Compensation</t>
  </si>
  <si>
    <t>Sales Expense</t>
  </si>
  <si>
    <t>Admin. &amp; General Expense</t>
  </si>
  <si>
    <t xml:space="preserve">Plant in Service by Accounts and SubAccounts </t>
  </si>
  <si>
    <t>Other Tangible Property - MF - Hardware</t>
  </si>
  <si>
    <t>TYPE, PAR Amount</t>
  </si>
  <si>
    <t xml:space="preserve">   Distribution Plant</t>
  </si>
  <si>
    <t>* *</t>
  </si>
  <si>
    <t>F-2.2</t>
  </si>
  <si>
    <t>F-3</t>
  </si>
  <si>
    <t>PROPOSED RATES</t>
  </si>
  <si>
    <t>CURRENT RATES</t>
  </si>
  <si>
    <t>Other Tang. Property - PC Software</t>
  </si>
  <si>
    <t>Mains</t>
  </si>
  <si>
    <t>Wells Expense</t>
  </si>
  <si>
    <t>Lines Expense</t>
  </si>
  <si>
    <t>404 Amortization Expense</t>
  </si>
  <si>
    <t>Deferred  Credits and Accumulated Deferred Income Taxes</t>
  </si>
  <si>
    <t>PAYROLL Costs</t>
  </si>
  <si>
    <t>13 Month Average</t>
  </si>
  <si>
    <t>Account 1540- Plant Materials and Operating Supplies</t>
  </si>
  <si>
    <t xml:space="preserve">Account 1630- Stores Expense Undistributed </t>
  </si>
  <si>
    <t>Total Materials &amp; Supplies</t>
  </si>
  <si>
    <t>Gas Stored Underground- Account 1641</t>
  </si>
  <si>
    <t>Prepayments- Account 1650</t>
  </si>
  <si>
    <t>Data Source:</t>
  </si>
  <si>
    <t>Material &amp; Supplies (Account 1540 &amp; 1630)</t>
  </si>
  <si>
    <t>Gas Stored Underground (Account 1641)</t>
  </si>
  <si>
    <t>Prepayments (Account 1650)</t>
  </si>
  <si>
    <t xml:space="preserve">Base Period </t>
  </si>
  <si>
    <t>(F=B+C-D+E)</t>
  </si>
  <si>
    <t>NOTES:</t>
  </si>
  <si>
    <t>ANNUALIZED SHORT-TERM DEBT</t>
  </si>
  <si>
    <t>Remittance Processing Equip</t>
  </si>
  <si>
    <t>Reference No.</t>
  </si>
  <si>
    <t>Accumulated Depreciation and Amortization</t>
  </si>
  <si>
    <t>Plant in Service by Account and Sub Account</t>
  </si>
  <si>
    <t xml:space="preserve">  Dividend Payout Ratio (Declared</t>
  </si>
  <si>
    <t xml:space="preserve">  Market Price - High (Low)</t>
  </si>
  <si>
    <t xml:space="preserve">   1st Quarter - High ($)</t>
  </si>
  <si>
    <t xml:space="preserve">   1st Quarter - Low ($)</t>
  </si>
  <si>
    <t xml:space="preserve">   2nd Quarter - High ($)</t>
  </si>
  <si>
    <t xml:space="preserve">   2nd Quarter - Low ($)</t>
  </si>
  <si>
    <t xml:space="preserve">   3rd Quarter - High ($)</t>
  </si>
  <si>
    <t>Period</t>
  </si>
  <si>
    <t>Type of Filing:___X_____Original________Updated</t>
  </si>
  <si>
    <t>Structures Frame</t>
  </si>
  <si>
    <t>Power Operated Equipment</t>
  </si>
  <si>
    <t>Misc Intangible Plant</t>
  </si>
  <si>
    <t>Total Customer Accounts Expense</t>
  </si>
  <si>
    <t>Customer Service &amp; Information - Operation</t>
  </si>
  <si>
    <t>F-1</t>
  </si>
  <si>
    <t>Social and Service Club Dues</t>
  </si>
  <si>
    <t>F-2.1</t>
  </si>
  <si>
    <t>Charitable Contributions</t>
  </si>
  <si>
    <t>Initiation Fees/Country Club Expenses</t>
  </si>
  <si>
    <t>F-2.3</t>
  </si>
  <si>
    <t>Employee Party, Outing and Gift Expenses</t>
  </si>
  <si>
    <t>Sales and Advertising Expenses</t>
  </si>
  <si>
    <t>F-4</t>
  </si>
  <si>
    <t>F-5</t>
  </si>
  <si>
    <t>Professional Service Expenses</t>
  </si>
  <si>
    <t>F-6</t>
  </si>
  <si>
    <t>F-7</t>
  </si>
  <si>
    <t>Civic, Political and Related Activities</t>
  </si>
  <si>
    <t>Expense Reports</t>
  </si>
  <si>
    <t>Jurisdictional Requirement</t>
  </si>
  <si>
    <t>Allocated O&amp;M</t>
  </si>
  <si>
    <t>*Note:  Debits are shown as positive, and credits are shown as negatives.  Includes the Shared Services allocation.</t>
  </si>
  <si>
    <t xml:space="preserve">                            </t>
  </si>
  <si>
    <t>Mcf</t>
  </si>
  <si>
    <t>Data:__X___Base Period__X___Forecasted Period</t>
  </si>
  <si>
    <t>488 MISC. Service Revenues</t>
  </si>
  <si>
    <t>Income Taxes</t>
  </si>
  <si>
    <t>Customer Service and Informational Expenses</t>
  </si>
  <si>
    <t>408 Taxes, Other than Income</t>
  </si>
  <si>
    <t>Rate</t>
  </si>
  <si>
    <t>Item</t>
  </si>
  <si>
    <t>Schedule F-5</t>
  </si>
  <si>
    <t>Schedule F-7</t>
  </si>
  <si>
    <t>Donations (1)</t>
  </si>
  <si>
    <t>Civic Duties (2)</t>
  </si>
  <si>
    <t xml:space="preserve">  Moody's Preferred Stock Rating</t>
  </si>
  <si>
    <t xml:space="preserve">  S&amp;P Preferred Stock Rating</t>
  </si>
  <si>
    <t>Common Stock Related Data: (1)</t>
  </si>
  <si>
    <t xml:space="preserve">  Shares Outstanding Year End (000)</t>
  </si>
  <si>
    <t xml:space="preserve">  Total SALE of Gas</t>
  </si>
  <si>
    <t>Operating income(loss)</t>
  </si>
  <si>
    <t>Other income</t>
  </si>
  <si>
    <t>Other Income</t>
  </si>
  <si>
    <t>Other</t>
  </si>
  <si>
    <t>Meas. &amp; Reg. Sta. Structues</t>
  </si>
  <si>
    <t>Other Structures</t>
  </si>
  <si>
    <t>Well Construction</t>
  </si>
  <si>
    <t>Well Equipment</t>
  </si>
  <si>
    <t>Leaseholds</t>
  </si>
  <si>
    <t>Storage Rights</t>
  </si>
  <si>
    <t>Compressor Station Equipment</t>
  </si>
  <si>
    <t>Taxes - Other</t>
  </si>
  <si>
    <t>Utility</t>
  </si>
  <si>
    <t>Jurisdiction</t>
  </si>
  <si>
    <t>Revenue</t>
  </si>
  <si>
    <t>Tributary Lines</t>
  </si>
  <si>
    <t>INCOME STATEMENT</t>
  </si>
  <si>
    <t>Operating Revenues</t>
  </si>
  <si>
    <t>Gas service revenue</t>
  </si>
  <si>
    <t xml:space="preserve">Other revenue </t>
  </si>
  <si>
    <t>Total Operating Revenues</t>
  </si>
  <si>
    <t>Purchase gas</t>
  </si>
  <si>
    <t>Purpose and Description</t>
  </si>
  <si>
    <t>ADJ1</t>
  </si>
  <si>
    <t>ADJ2</t>
  </si>
  <si>
    <t>ADJ 1</t>
  </si>
  <si>
    <t>Promotional</t>
  </si>
  <si>
    <t xml:space="preserve">  Employee INSURANCE PLANS</t>
  </si>
  <si>
    <t>Total Employee BENEFITS</t>
  </si>
  <si>
    <t>Employee PARTY, OUTING, and GIFT EXP.</t>
  </si>
  <si>
    <t>Computation of Gross Revenue Conversion Factor</t>
  </si>
  <si>
    <t>Comparative Income Statement</t>
  </si>
  <si>
    <t>(H=GXB)</t>
  </si>
  <si>
    <t>Pages</t>
  </si>
  <si>
    <t>Type of Filing:___X____Original________Updated ________Revised</t>
  </si>
  <si>
    <t>to Total Labor Dollars</t>
  </si>
  <si>
    <t>Employee Benefits</t>
  </si>
  <si>
    <t xml:space="preserve">  Return On Common Equity (Average)</t>
  </si>
  <si>
    <t>Most Recent Ten Calendar Years - as Reported</t>
  </si>
  <si>
    <t xml:space="preserve">  and State Taxes, includes gas cost) </t>
  </si>
  <si>
    <t>(H)</t>
  </si>
  <si>
    <t>(I)</t>
  </si>
  <si>
    <t>$000</t>
  </si>
  <si>
    <t>Various</t>
  </si>
  <si>
    <t>Schedule G-3</t>
  </si>
  <si>
    <t xml:space="preserve">  Taxes Other than Income</t>
  </si>
  <si>
    <t>Allocation</t>
  </si>
  <si>
    <t>Deferred Credits &amp; Accumulated Deferred Income Taxes</t>
  </si>
  <si>
    <t>Ratio of Payroll Taxes</t>
  </si>
  <si>
    <t xml:space="preserve">Expensed to Total Payroll </t>
  </si>
  <si>
    <t xml:space="preserve">   Average (Monthly) (000)</t>
  </si>
  <si>
    <t>Total Payroll Taxes</t>
  </si>
  <si>
    <t>Customer Advances For Construction</t>
  </si>
  <si>
    <t>Taxes</t>
  </si>
  <si>
    <t>Production O&amp;M Expense</t>
  </si>
  <si>
    <t>Storage O&amp;M Expense</t>
  </si>
  <si>
    <t>Storage Well Royalties</t>
  </si>
  <si>
    <t>Structure &amp; Improvements</t>
  </si>
  <si>
    <t>Reservoirs &amp; Wells</t>
  </si>
  <si>
    <t>Compressor Station Equip.</t>
  </si>
  <si>
    <t>Measuring &amp; Regulating Station Equip.</t>
  </si>
  <si>
    <t>Mains Expense</t>
  </si>
  <si>
    <t>Measuring &amp; Regulating Station Exp.</t>
  </si>
  <si>
    <t>Measuring &amp; Reg Station Equip.</t>
  </si>
  <si>
    <t>Other Equipment</t>
  </si>
  <si>
    <t>Other Exp.</t>
  </si>
  <si>
    <t>Supervision and Engineering</t>
  </si>
  <si>
    <t>Distribution Load Dispatching</t>
  </si>
  <si>
    <t>Stores Equipment</t>
  </si>
  <si>
    <t>Miscellaneous Equipment</t>
  </si>
  <si>
    <t>Transmission O&amp;M Expense</t>
  </si>
  <si>
    <t>SALE of Gas - Unbilled - no adjustment.</t>
  </si>
  <si>
    <t>876 Dist Meas/Reg Sta-Ind</t>
  </si>
  <si>
    <t>877 Dist Meas/Reg Sta-Cty.</t>
  </si>
  <si>
    <t>878 Dist Mtr/House Reg</t>
  </si>
  <si>
    <t>879 Dist Cust Install</t>
  </si>
  <si>
    <t>880 Dist Other Exp</t>
  </si>
  <si>
    <t>881 Dist Rents</t>
  </si>
  <si>
    <t>Total Distribution Expenses - Operation</t>
  </si>
  <si>
    <t>Distribution Expenses - Maintenance</t>
  </si>
  <si>
    <t>Production Expense - Operation</t>
  </si>
  <si>
    <t>Other Gas Revenue</t>
  </si>
  <si>
    <t>Political Activities (3)</t>
  </si>
  <si>
    <t>Informational and Instructional Advertising Expenses</t>
  </si>
  <si>
    <t>Customer Assistance Expenses</t>
  </si>
  <si>
    <t>Meter Reading Expenses</t>
  </si>
  <si>
    <t>Uncollectible Accounts</t>
  </si>
  <si>
    <t>Provision for Federal &amp; State Income Taxes</t>
  </si>
  <si>
    <t>Depreciation and Amortization</t>
  </si>
  <si>
    <t>Taxes Other than Income Taxes</t>
  </si>
  <si>
    <t>Operation Supervision &amp; Engineering</t>
  </si>
  <si>
    <t>Distribution O&amp;M Expense</t>
  </si>
  <si>
    <t>Account 190 - Accumulated Deferred Income Taxes</t>
  </si>
  <si>
    <t>Account 282 - Accumulated Deferred Income Taxes</t>
  </si>
  <si>
    <t>Account 283 - Accumulated Deferred Income Taxes - Other</t>
  </si>
  <si>
    <t>DIVISION 91</t>
  </si>
  <si>
    <t>Schedule D-1</t>
  </si>
  <si>
    <t>B-2</t>
  </si>
  <si>
    <t>B-3</t>
  </si>
  <si>
    <t>Data:___X____Base Period___X____Forecasted Period</t>
  </si>
  <si>
    <t xml:space="preserve">     </t>
  </si>
  <si>
    <t xml:space="preserve">  Total Payroll Taxes</t>
  </si>
  <si>
    <t>Total Compensation</t>
  </si>
  <si>
    <t>Data Source</t>
  </si>
  <si>
    <t>Filing Requirement</t>
  </si>
  <si>
    <t>B-2 B</t>
  </si>
  <si>
    <t>B-3 B</t>
  </si>
  <si>
    <t>B-4.2 B</t>
  </si>
  <si>
    <t>B-4.1 B</t>
  </si>
  <si>
    <t>B-6 B</t>
  </si>
  <si>
    <t>B-5 B</t>
  </si>
  <si>
    <t>B-2 F</t>
  </si>
  <si>
    <t>B-3 F</t>
  </si>
  <si>
    <t>B-4.2 F</t>
  </si>
  <si>
    <t>B-4.1 F</t>
  </si>
  <si>
    <t>B-6 F</t>
  </si>
  <si>
    <t>B-5 F</t>
  </si>
  <si>
    <t>Schedule B-3.1</t>
  </si>
  <si>
    <t>Description of methodology</t>
  </si>
  <si>
    <t>used to determine</t>
  </si>
  <si>
    <t>Schedule B-4 B</t>
  </si>
  <si>
    <t>Schedule B-4 F</t>
  </si>
  <si>
    <t>Schedule B-4.1 B</t>
  </si>
  <si>
    <t>Schedule B-4.1 F</t>
  </si>
  <si>
    <t>Schedule B-4.2 B</t>
  </si>
  <si>
    <t>Schedule B-4.2 F</t>
  </si>
  <si>
    <t>Sch. B-5 B</t>
  </si>
  <si>
    <t>Sch. B-5 F</t>
  </si>
  <si>
    <t>Sch. B-6 B</t>
  </si>
  <si>
    <t>Sch. B-6 F</t>
  </si>
  <si>
    <t>Schedule C-2.1 F</t>
  </si>
  <si>
    <t>Schedule C-2.1 B</t>
  </si>
  <si>
    <t>Schedule C-2.3 B</t>
  </si>
  <si>
    <t>Schedule C-2.3 F</t>
  </si>
  <si>
    <t>Schedule F-8</t>
  </si>
  <si>
    <t>Revenue by Customer Class:</t>
  </si>
  <si>
    <t>WP B-5 B</t>
  </si>
  <si>
    <t>Div 012 Accumulated Deferred Income Taxes</t>
  </si>
  <si>
    <t>Total Account 252 - Customer Advances For Construction</t>
  </si>
  <si>
    <t>Total Deferred Inc. Taxes and Investment Tax  Credits</t>
  </si>
  <si>
    <t>Communication Equip. - Telemetering</t>
  </si>
  <si>
    <t xml:space="preserve">     Total interest charges</t>
  </si>
  <si>
    <t>Income Before Taxes</t>
  </si>
  <si>
    <t>Provision for income taxes</t>
  </si>
  <si>
    <t>Meas &amp; Reg. Sta. Equipment T.b.</t>
  </si>
  <si>
    <t xml:space="preserve">  AFUDC - % of Net Income</t>
  </si>
  <si>
    <t xml:space="preserve">  AFUDC - % of earnings available for </t>
  </si>
  <si>
    <t xml:space="preserve">   common equity</t>
  </si>
  <si>
    <t xml:space="preserve">  Embedded cost of short-term debt (%)</t>
  </si>
  <si>
    <t xml:space="preserve">  Embedded cost of long-term debt  (%)</t>
  </si>
  <si>
    <t>Total Administrative and Gen. Exp. - Maintenance</t>
  </si>
  <si>
    <t>4091-4101</t>
  </si>
  <si>
    <t>Operating (Income)Loss*</t>
  </si>
  <si>
    <t>Total Employee Benefits</t>
  </si>
  <si>
    <t>Employee Benefits Expensed</t>
  </si>
  <si>
    <t>Rate of Return</t>
  </si>
  <si>
    <t>Operating Revenue</t>
  </si>
  <si>
    <t>Revenue &amp;</t>
  </si>
  <si>
    <t>Man Hours</t>
  </si>
  <si>
    <t>Labor Dollars</t>
  </si>
  <si>
    <t>Straight-Time Dollars</t>
  </si>
  <si>
    <t>885 Dist Maint Super/Eng</t>
  </si>
  <si>
    <t xml:space="preserve">  Moody's Bond Rating</t>
  </si>
  <si>
    <t xml:space="preserve">  S&amp;P Bond Rating</t>
  </si>
  <si>
    <t>Schedule B-1</t>
  </si>
  <si>
    <t>Structures-Brick</t>
  </si>
  <si>
    <t>Total Plant (Div 009, 091, 002, 012)</t>
  </si>
  <si>
    <t>(a)</t>
  </si>
  <si>
    <t>(b)</t>
  </si>
  <si>
    <t>(d)</t>
  </si>
  <si>
    <t>(e)</t>
  </si>
  <si>
    <t>(g)</t>
  </si>
  <si>
    <t>(h)</t>
  </si>
  <si>
    <t>(i)</t>
  </si>
  <si>
    <t>(c) = (a) + (b)</t>
  </si>
  <si>
    <t>(f) = (c) * (d) * (e)</t>
  </si>
  <si>
    <t>(j) = (g) * (h) * (i)</t>
  </si>
  <si>
    <t>Total Administrative and General Exp. - Operation</t>
  </si>
  <si>
    <t>Administrative and General Salaries</t>
  </si>
  <si>
    <t>Office Supplies and Expenses</t>
  </si>
  <si>
    <t>Administrative Expense Transferred</t>
  </si>
  <si>
    <t>Outside Services Employed</t>
  </si>
  <si>
    <t>Injuries and Damages</t>
  </si>
  <si>
    <t>(3) These expenses are recorded below the line and therefore not included in O&amp;M.</t>
  </si>
  <si>
    <t>Employee Pensions and Benefits</t>
  </si>
  <si>
    <t>Regulatory Commission Expense</t>
  </si>
  <si>
    <t>Rents</t>
  </si>
  <si>
    <t>Demonstrating and Selling Expenses</t>
  </si>
  <si>
    <t>Administrative and General Expense - Maintenance</t>
  </si>
  <si>
    <t>Maintenance of General Plant</t>
  </si>
  <si>
    <t>Account 190 - Accumulated Deferred Income Taxes (1)</t>
  </si>
  <si>
    <t>886 Dist Maint Struc/Improv</t>
  </si>
  <si>
    <t>*</t>
  </si>
  <si>
    <t>Schedule J-1</t>
  </si>
  <si>
    <t>INITIATION FEES/COUNTRY CLUB Expenses  *</t>
  </si>
  <si>
    <t>Other - Public Authority</t>
  </si>
  <si>
    <t>Office Furniture &amp; Equipment</t>
  </si>
  <si>
    <t>Office Machines</t>
  </si>
  <si>
    <t>8950</t>
  </si>
  <si>
    <t xml:space="preserve">   Public authority &amp; Other Sales</t>
  </si>
  <si>
    <t xml:space="preserve">  Construction Work in Progress</t>
  </si>
  <si>
    <t>Cash Working Capital</t>
  </si>
  <si>
    <t>Working Capital</t>
  </si>
  <si>
    <t>Cash Working Capital Allowance</t>
  </si>
  <si>
    <t>Total Labor Dollars</t>
  </si>
  <si>
    <t>Data:__X___Base Period_____Forecasted Period</t>
  </si>
  <si>
    <t>Straight Time Hours</t>
  </si>
  <si>
    <t>Prepayments</t>
  </si>
  <si>
    <t>Material &amp; Supplies</t>
  </si>
  <si>
    <t>Rights of Way</t>
  </si>
  <si>
    <t>Operating Income</t>
  </si>
  <si>
    <t xml:space="preserve">  Operating Income</t>
  </si>
  <si>
    <t xml:space="preserve">Ratio of Employee Benefits </t>
  </si>
  <si>
    <t>Expensed to Total Employee</t>
  </si>
  <si>
    <t>Benefits</t>
  </si>
  <si>
    <t>Payroll Taxes</t>
  </si>
  <si>
    <t>Interest Income</t>
  </si>
  <si>
    <t>Costs allocated from SSU and KY-MDS General Office</t>
  </si>
  <si>
    <t>Newspaper, Magazine,bill stuffer &amp; Other</t>
  </si>
  <si>
    <t>Notes:</t>
  </si>
  <si>
    <t>Data:___X___Base Period___X____Forecasted Period</t>
  </si>
  <si>
    <t>Total Base Period</t>
  </si>
  <si>
    <t>BASE PERIOD</t>
  </si>
  <si>
    <t>Sched. B-6</t>
  </si>
  <si>
    <t>B-6</t>
  </si>
  <si>
    <t xml:space="preserve">  Pre-Tax Interest Coverage </t>
  </si>
  <si>
    <t xml:space="preserve">  Pre-Tax Interest Coverage (Excluding AFUDC)</t>
  </si>
  <si>
    <t xml:space="preserve">      Other Gas Purchases / Gas Cost Adjustments</t>
  </si>
  <si>
    <t>Taxable Income</t>
  </si>
  <si>
    <t>Summary</t>
  </si>
  <si>
    <t>B</t>
  </si>
  <si>
    <t>C</t>
  </si>
  <si>
    <t>Operating Income (Revenues &amp; Expenses)</t>
  </si>
  <si>
    <t>D</t>
  </si>
  <si>
    <t>Adjustments to Operating Income by Account</t>
  </si>
  <si>
    <t>F</t>
  </si>
  <si>
    <t>Rule F Compliance Adjustments</t>
  </si>
  <si>
    <t>G</t>
  </si>
  <si>
    <t>Payroll Analysis</t>
  </si>
  <si>
    <t>I</t>
  </si>
  <si>
    <t>Comparative Income Statements</t>
  </si>
  <si>
    <t>J</t>
  </si>
  <si>
    <t>Cost of Capital</t>
  </si>
  <si>
    <t>K</t>
  </si>
  <si>
    <t>E</t>
  </si>
  <si>
    <t>Schedule   E</t>
  </si>
  <si>
    <t>Fully Adjusted</t>
  </si>
  <si>
    <t>Operating Income before Income Tax &amp; Interest</t>
  </si>
  <si>
    <t>(1) Based on fiscal year-end of parent company</t>
  </si>
  <si>
    <t xml:space="preserve">  ESOP PLAN Contributions</t>
  </si>
  <si>
    <t>NOTE:  This schedule contains confidential information, detail of these numbers are available upon request.</t>
  </si>
  <si>
    <t xml:space="preserve">      PGA for Industrial</t>
  </si>
  <si>
    <t xml:space="preserve">      PGA for Public Authority</t>
  </si>
  <si>
    <t>Miscellaneous Sales Expenses</t>
  </si>
  <si>
    <t>Other Gas Supply Expenses - Operation</t>
  </si>
  <si>
    <t xml:space="preserve">  Total Other Gas Supply Expenses - Operation</t>
  </si>
  <si>
    <t>NET Operating Income Impact</t>
  </si>
  <si>
    <t>Schedule G-1</t>
  </si>
  <si>
    <t>Schedule G-2</t>
  </si>
  <si>
    <t xml:space="preserve">  Dividends Declared Per Share ($)</t>
  </si>
  <si>
    <t>Mains Cathodic Protection</t>
  </si>
  <si>
    <t>Mains - Plastic</t>
  </si>
  <si>
    <t>Meters</t>
  </si>
  <si>
    <t>Working Capital Components - 13 Month Averages</t>
  </si>
  <si>
    <t>Cash Working Capital - 1/8 O&amp;M Expenses</t>
  </si>
  <si>
    <t>Payroll Costs</t>
  </si>
  <si>
    <t>Total Payroll Costs</t>
  </si>
  <si>
    <t>Operating Income by Major Accounts</t>
  </si>
  <si>
    <t>Advertising Expenses</t>
  </si>
  <si>
    <t>Sheet 1 of 1</t>
  </si>
  <si>
    <t>13 Mth Avg.</t>
  </si>
  <si>
    <t>Total Customer Accounts Expenses - Operation</t>
  </si>
  <si>
    <t>Structures &amp; Improvements</t>
  </si>
  <si>
    <t>Miscellaneous general expenses</t>
  </si>
  <si>
    <t>Maintenance of general plant</t>
  </si>
  <si>
    <t xml:space="preserve">  Shares Outstanding - Weighted</t>
  </si>
  <si>
    <t>Data:__X____Base Period___X___Forecasted Period</t>
  </si>
  <si>
    <t>Amortization of gas plant acquisition adjustments</t>
  </si>
  <si>
    <t>Taxes other than income taxes, utility operating income</t>
  </si>
  <si>
    <t>Residential sales</t>
  </si>
  <si>
    <t>Other Sales to Public Authorities</t>
  </si>
  <si>
    <t>Miscellaneous service revenues</t>
  </si>
  <si>
    <t>Revenue-Transportation Commercial</t>
  </si>
  <si>
    <t>Intercompany Gas Well-head Purchases</t>
  </si>
  <si>
    <t>Natural gas city gate purchases</t>
  </si>
  <si>
    <t>Other purchases</t>
  </si>
  <si>
    <t>PGA for Residential</t>
  </si>
  <si>
    <t>PGA for Commercial</t>
  </si>
  <si>
    <t>PGA for Industrial</t>
  </si>
  <si>
    <t>PGA for Public Authorities</t>
  </si>
  <si>
    <t>Unbilled PGA Cost</t>
  </si>
  <si>
    <t>PGA Offset to Unrecovered Gas Cost</t>
  </si>
  <si>
    <t>Exchange gas</t>
  </si>
  <si>
    <t>Gas withdrawn from storage-Debit</t>
  </si>
  <si>
    <t>Gas delivered to storage-Credit</t>
  </si>
  <si>
    <t>Gas used for other utility operations-Credit</t>
  </si>
  <si>
    <t>Storage-Operation supervision and engineering</t>
  </si>
  <si>
    <t>Wells expenses</t>
  </si>
  <si>
    <t>EMPLOYEE EXPENSE REPORT EXCLUSIONS</t>
  </si>
  <si>
    <t xml:space="preserve">Data Source: </t>
  </si>
  <si>
    <t>Total Expense Report Exclusions</t>
  </si>
  <si>
    <t>Lines expenses</t>
  </si>
  <si>
    <t>Compressor station expenses</t>
  </si>
  <si>
    <t>Compressor station fuel and power</t>
  </si>
  <si>
    <t>Storage-Measuring and regulating station expenses</t>
  </si>
  <si>
    <t>Storage-Purification expenses</t>
  </si>
  <si>
    <t>Storage-Other expenses</t>
  </si>
  <si>
    <t>Percentage of</t>
  </si>
  <si>
    <t>Incremental</t>
  </si>
  <si>
    <t>Less: Uncollectible Accounts Expense</t>
  </si>
  <si>
    <t>Less: PSC Fees</t>
  </si>
  <si>
    <t>Net Revenues</t>
  </si>
  <si>
    <t>Income before Federal Income Tax</t>
  </si>
  <si>
    <t>(100 % divided by Income after Income Tax)</t>
  </si>
  <si>
    <t>AVERAGE SHORT-TERM DEBT</t>
  </si>
  <si>
    <t>TOTAL SHORT-TERM DEBT</t>
  </si>
  <si>
    <t>AVERAGE SHORT-TERM DEBT (1)</t>
  </si>
  <si>
    <t>Storage well royalties</t>
  </si>
  <si>
    <t>Storage-Maintenance of structures and improvements</t>
  </si>
  <si>
    <t>Maintenance of compressor station equipment</t>
  </si>
  <si>
    <t>Maintenance of measuring and regulating station equipment</t>
  </si>
  <si>
    <t>Processing-Maintenance of purification equipment</t>
  </si>
  <si>
    <t>Transmission-Operation supervision and engineering</t>
  </si>
  <si>
    <t>Mains expenses</t>
  </si>
  <si>
    <t>Transmission-Measuring and regulating station expenses</t>
  </si>
  <si>
    <t>Transmission-Maintenance of mains</t>
  </si>
  <si>
    <t>Transmission-Maintenance of measuring and regulating station equipment</t>
  </si>
  <si>
    <t>Distribution-Operation supervision and engineering</t>
  </si>
  <si>
    <t>Distribution load dispatching</t>
  </si>
  <si>
    <t>Mains and Services Expenses</t>
  </si>
  <si>
    <t>Distribution-Measuring and regulating station expenses</t>
  </si>
  <si>
    <t>Distribution-Measuring and regulating station expenses-Industrial</t>
  </si>
  <si>
    <t>Distribution-Measuring and regulating station expenses-City gate check stations</t>
  </si>
  <si>
    <t>Meter and house regulator expenses</t>
  </si>
  <si>
    <t>Customer installations expenses</t>
  </si>
  <si>
    <t>Distribution-Other expenses</t>
  </si>
  <si>
    <t>Distribution-Rents</t>
  </si>
  <si>
    <t>Distribution-Maintenance supervision and engineering</t>
  </si>
  <si>
    <t>Distribution-Maintenance of structures and improvements</t>
  </si>
  <si>
    <t>Distribution-Maint of mains</t>
  </si>
  <si>
    <t>Maintenance of measuring and regulating station equipment-General</t>
  </si>
  <si>
    <t>Maintenance of measuring and regulating station equipment-Industrial</t>
  </si>
  <si>
    <t>Maintenance of measuring and regulating station equipment-City gate check stations</t>
  </si>
  <si>
    <t>Maintenance of services</t>
  </si>
  <si>
    <t>Maintenance of meters and house regulators</t>
  </si>
  <si>
    <t>Distribution-Maintenance of other equipment</t>
  </si>
  <si>
    <t>Customer accounts-Meter reading expenses</t>
  </si>
  <si>
    <t>Sub Account 07421- Service Awards</t>
  </si>
  <si>
    <t>Grand Total</t>
  </si>
  <si>
    <t>Class Cost Study - P. Raab</t>
  </si>
  <si>
    <t>Customer accounts-Customer records and collections expenses</t>
  </si>
  <si>
    <t>Customer accounts-Uncollectible accounts</t>
  </si>
  <si>
    <t>Customer service-Operating informational and instructional advertising expense</t>
  </si>
  <si>
    <t>Customer service-Miscellaneous customer service</t>
  </si>
  <si>
    <t>Sales-Supervision</t>
  </si>
  <si>
    <t>Sales-Demonstrating and selling expenses</t>
  </si>
  <si>
    <t>Sales-Advertising expenses</t>
  </si>
  <si>
    <t>A&amp;G-Office supplies &amp; expense</t>
  </si>
  <si>
    <t>A&amp;G-Administrative expense transferred-Credit</t>
  </si>
  <si>
    <t>A&amp;G-Outside services employed</t>
  </si>
  <si>
    <t>A&amp;G-Property insurance</t>
  </si>
  <si>
    <t>A&amp;G-Injuries &amp; damages</t>
  </si>
  <si>
    <t>A&amp;G-Employee pensions and benefits</t>
  </si>
  <si>
    <t>A&amp;G-Franchise requirements</t>
  </si>
  <si>
    <t>A&amp;G-Regulatory commission expenses</t>
  </si>
  <si>
    <t>Account Discription</t>
  </si>
  <si>
    <t>Data Sources:</t>
  </si>
  <si>
    <t>Advertising</t>
  </si>
  <si>
    <t>Miscellaneous Sales Expense</t>
  </si>
  <si>
    <t xml:space="preserve">   General Plant</t>
  </si>
  <si>
    <t>Total Projected Rate Case Expense</t>
  </si>
  <si>
    <t>Other Tangible Property - Servers - S/W</t>
  </si>
  <si>
    <t>Compressor Station Labor &amp; Expenses</t>
  </si>
  <si>
    <t>Mains &amp; Services</t>
  </si>
  <si>
    <t>Meters and House Regulator Expense</t>
  </si>
  <si>
    <t>Customer Installations Expense</t>
  </si>
  <si>
    <t>Other Expense</t>
  </si>
  <si>
    <t>Measuring and Regulating Station Exp. - Gen</t>
  </si>
  <si>
    <t>Measuring and Regulating Station Exp. - Ind.</t>
  </si>
  <si>
    <t>Measuring and Regulating Sta. Exp. - City Gate</t>
  </si>
  <si>
    <t>Structures and Improvements</t>
  </si>
  <si>
    <t>Meters and House Regulators</t>
  </si>
  <si>
    <t>Customer Records &amp; Collections</t>
  </si>
  <si>
    <t>F-8</t>
  </si>
  <si>
    <t>Total Manhours</t>
  </si>
  <si>
    <t xml:space="preserve">  AFUDC</t>
  </si>
  <si>
    <t xml:space="preserve">Working Capital Components </t>
  </si>
  <si>
    <t xml:space="preserve">  Embedded cost of preferred stock (%)</t>
  </si>
  <si>
    <t>Supervision (1)</t>
  </si>
  <si>
    <t>Informational Advertising (1)</t>
  </si>
  <si>
    <t>Miscellaneous Customer Service and Informational (1)</t>
  </si>
  <si>
    <t>Demonstration and Selling (1)</t>
  </si>
  <si>
    <t xml:space="preserve">Allocated </t>
  </si>
  <si>
    <t>06111- Contract Labor</t>
  </si>
  <si>
    <t>06121- Legal</t>
  </si>
  <si>
    <t>Fixed Charge Coverage: (1)</t>
  </si>
  <si>
    <t>Description</t>
  </si>
  <si>
    <t>Unadjusted</t>
  </si>
  <si>
    <t>Adjustments</t>
  </si>
  <si>
    <t>Adjusted</t>
  </si>
  <si>
    <t>Interest Charges</t>
  </si>
  <si>
    <t>Operating Expenses</t>
  </si>
  <si>
    <t>Requirement</t>
  </si>
  <si>
    <t>Meas &amp; Reg. Equipment</t>
  </si>
  <si>
    <t>Transmission Plant</t>
  </si>
  <si>
    <t>Other Structues</t>
  </si>
  <si>
    <t>Meas. &amp; Reg. Equipment</t>
  </si>
  <si>
    <t>Land Other</t>
  </si>
  <si>
    <t>Structures &amp; Improvements T.B.</t>
  </si>
  <si>
    <t>Improvements</t>
  </si>
  <si>
    <t>Land Rights</t>
  </si>
  <si>
    <t>Overall Financial Summary</t>
  </si>
  <si>
    <t>Allocation from taxes other SS</t>
  </si>
  <si>
    <t>Factor</t>
  </si>
  <si>
    <t>Other Tangible Property - Network - H/W</t>
  </si>
  <si>
    <t>Total Transmission Expense - Operation</t>
  </si>
  <si>
    <t>Transmission Expense - Maintenance</t>
  </si>
  <si>
    <t>Total Transmission Expense - Maintenance</t>
  </si>
  <si>
    <t xml:space="preserve">      Exchange Gas</t>
  </si>
  <si>
    <t>Schedule B-2 F</t>
  </si>
  <si>
    <t>Schedule B-2 B</t>
  </si>
  <si>
    <t>Schedule B-3 B</t>
  </si>
  <si>
    <t>Schedule B-3 F</t>
  </si>
  <si>
    <t>Natural Gas Storage Expense - Maintenance</t>
  </si>
  <si>
    <t>Forfeited Discounts</t>
  </si>
  <si>
    <t>Misc. Service Revenues</t>
  </si>
  <si>
    <t>480 Gas Rev - Residential</t>
  </si>
  <si>
    <t>480 Gas Rev - Commericial</t>
  </si>
  <si>
    <t>480 Gas Rev - Industrial</t>
  </si>
  <si>
    <t>480 Gas Rev - Public Authority &amp; Other</t>
  </si>
  <si>
    <t>890 Dist Maint Meas/Reg Sta-Ind</t>
  </si>
  <si>
    <t>891 Dist Maint Meas/Reg Sta-Cty</t>
  </si>
  <si>
    <t>892 Dist Maint of Ser</t>
  </si>
  <si>
    <t>893 Dist Maint Mtr/House Reg</t>
  </si>
  <si>
    <t xml:space="preserve">      Gas Used for Other Utility Operations</t>
  </si>
  <si>
    <t>Total Purchased Gas Cost</t>
  </si>
  <si>
    <t>Natural Gas Storage Expense - Operation</t>
  </si>
  <si>
    <t>Total Nat. Gas Storage Expense - Operation</t>
  </si>
  <si>
    <t>Total Nat. Gas Storage Expense - Maintenance</t>
  </si>
  <si>
    <t>Transmission Expense - Operation</t>
  </si>
  <si>
    <t>AVERAGE ANNUALIZED SHORT-TERM DEBT</t>
  </si>
  <si>
    <t xml:space="preserve">  Earnings Per Share - Weighted Avg. ($)</t>
  </si>
  <si>
    <t xml:space="preserve">  Dividends Paid Per Share ($)</t>
  </si>
  <si>
    <t>Tools, Shop &amp; Garage Equipment</t>
  </si>
  <si>
    <t>Improvement to leased Premises</t>
  </si>
  <si>
    <t xml:space="preserve">   Residential</t>
  </si>
  <si>
    <t xml:space="preserve">   Commercial</t>
  </si>
  <si>
    <t>to Straight-Time Dollars</t>
  </si>
  <si>
    <t>Purification Equipment</t>
  </si>
  <si>
    <t>819 Storage Compressor Station Fuel</t>
  </si>
  <si>
    <t>820 Storage Measuring &amp; Regulating</t>
  </si>
  <si>
    <t>821 Storage Purification</t>
  </si>
  <si>
    <t>824 Storage Other Expense</t>
  </si>
  <si>
    <t>825 Storage Royalties</t>
  </si>
  <si>
    <t>831 Storage Maintenance Structure</t>
  </si>
  <si>
    <t>832 Storage Maintenance Res</t>
  </si>
  <si>
    <t>Type of Filing:_______Original________Updated ____X____Revised</t>
  </si>
  <si>
    <t>13 Mth Average</t>
  </si>
  <si>
    <t>Distribution Expenses - Operation</t>
  </si>
  <si>
    <t xml:space="preserve">  Depreciation Expense</t>
  </si>
  <si>
    <t>Services</t>
  </si>
  <si>
    <t>House Regulators</t>
  </si>
  <si>
    <t>Interest Expense</t>
  </si>
  <si>
    <t>Data:_____Base Period___X__Forecasted Period</t>
  </si>
  <si>
    <t>Period End</t>
  </si>
  <si>
    <t>Customer Service and Informational SALES and General ADVERTISING Expense</t>
  </si>
  <si>
    <t>Other Working Capital Allowances (Inventory &amp; Prepaids)</t>
  </si>
  <si>
    <t>100%</t>
  </si>
  <si>
    <t xml:space="preserve">   3rd Quarter - Low ($)</t>
  </si>
  <si>
    <t xml:space="preserve">   4th Quarter - High ($)</t>
  </si>
  <si>
    <t xml:space="preserve">   4th Quarter - Low ($)</t>
  </si>
  <si>
    <t xml:space="preserve">  Book Amount Per Share (Year-end) ($)</t>
  </si>
  <si>
    <t>Data:________Base Period___X____Forecasted Period</t>
  </si>
  <si>
    <t>D-1</t>
  </si>
  <si>
    <t>925 Adm Gen Injuries/Damages</t>
  </si>
  <si>
    <t>926 Adm Gen Empl Pen/Ben</t>
  </si>
  <si>
    <t>(based on year-end accounts))</t>
  </si>
  <si>
    <t xml:space="preserve">  Short-term debt ($000)</t>
  </si>
  <si>
    <t xml:space="preserve">  Long-term debt ($000)</t>
  </si>
  <si>
    <t xml:space="preserve">  Other Income net</t>
  </si>
  <si>
    <t xml:space="preserve">  Income available for fixed charges</t>
  </si>
  <si>
    <t xml:space="preserve">  Interest charges</t>
  </si>
  <si>
    <t xml:space="preserve">  Net Income</t>
  </si>
  <si>
    <t xml:space="preserve">  Preferred dividends accrual</t>
  </si>
  <si>
    <t>Transportation Equipment</t>
  </si>
  <si>
    <t>Summary of Utility Jurisdictional Adjustments to Operating Income by Account</t>
  </si>
  <si>
    <t>LN</t>
  </si>
  <si>
    <t>NO</t>
  </si>
  <si>
    <t>ADJUSTED</t>
  </si>
  <si>
    <t>(A)</t>
  </si>
  <si>
    <t>(B)</t>
  </si>
  <si>
    <t>(C)</t>
  </si>
  <si>
    <t>AVERAGE ANNUALIZED LONG-TERM DEBT</t>
  </si>
  <si>
    <t xml:space="preserve">(1) Included in these accounts are advertising and promotional advertising expenses which are considered Non-recoverable and will be Excluded </t>
  </si>
  <si>
    <t>Rate of Return Measures (1)</t>
  </si>
  <si>
    <t xml:space="preserve">Gas Stored Underground </t>
  </si>
  <si>
    <t xml:space="preserve">  FAS 106</t>
  </si>
  <si>
    <t>D-2.2</t>
  </si>
  <si>
    <t>GRAND</t>
  </si>
  <si>
    <t>D-2.3</t>
  </si>
  <si>
    <t>(1)</t>
  </si>
  <si>
    <t>(2)</t>
  </si>
  <si>
    <t>(3)</t>
  </si>
  <si>
    <t xml:space="preserve"> 1</t>
  </si>
  <si>
    <t>12.50%</t>
  </si>
  <si>
    <t xml:space="preserve">  Salary</t>
  </si>
  <si>
    <t xml:space="preserve">  Other Allowances and Compensation</t>
  </si>
  <si>
    <t xml:space="preserve">  Total Salary and Compensation</t>
  </si>
  <si>
    <t xml:space="preserve">  Pensions</t>
  </si>
  <si>
    <t xml:space="preserve">  Other Benefits</t>
  </si>
  <si>
    <t xml:space="preserve">  Total Employee Benefits</t>
  </si>
  <si>
    <t>Payroll Taxes Expensed</t>
  </si>
  <si>
    <t xml:space="preserve">  After Tax Interest Coverage  </t>
  </si>
  <si>
    <t xml:space="preserve">  After Tax Interest Coverage (Excluding AFUDC)</t>
  </si>
  <si>
    <t xml:space="preserve">  Indenture Provision Coverage</t>
  </si>
  <si>
    <t>Stock and Bond Ratings: (1)</t>
  </si>
  <si>
    <t>Jurisdictional Rate Base Summary</t>
  </si>
  <si>
    <t>Increase</t>
  </si>
  <si>
    <t>Revenue Increase Requested</t>
  </si>
  <si>
    <t>SALE of Gas</t>
  </si>
  <si>
    <t>Total Sales Expenses</t>
  </si>
  <si>
    <t>Administrative and General Expenses - Operation</t>
  </si>
  <si>
    <t>DIVISION 12</t>
  </si>
  <si>
    <t>Jurisdictional Accumulated Depreciation &amp; Amortization</t>
  </si>
  <si>
    <t>B-3.1</t>
  </si>
  <si>
    <t>Field Meas. &amp; Reg. Sta. Equip</t>
  </si>
  <si>
    <t>Total Operating Expenses</t>
  </si>
  <si>
    <t>Type of Filing:___X____Original________Updated</t>
  </si>
  <si>
    <t>Type of Filing:___X____Original________Updated________Revised</t>
  </si>
  <si>
    <t>Type of Filing:___X_____Original________Updated________Revised</t>
  </si>
  <si>
    <t>Type of Filing:___X____Original________Updated_________Revised</t>
  </si>
  <si>
    <t>Type of Filing:___X____Original_______Updated_______Revised</t>
  </si>
  <si>
    <t xml:space="preserve">ACCOUNT No. </t>
  </si>
  <si>
    <t>Base Year</t>
  </si>
  <si>
    <t>Expenses</t>
  </si>
  <si>
    <t>Classification</t>
  </si>
  <si>
    <t>Major Group</t>
  </si>
  <si>
    <t>Kentucky Composite Tax</t>
  </si>
  <si>
    <t>Workpaper Reference NO(S).____________________</t>
  </si>
  <si>
    <t>J-1</t>
  </si>
  <si>
    <t>SALES STATISTICS</t>
  </si>
  <si>
    <t>Schedule I</t>
  </si>
  <si>
    <t xml:space="preserve">      Transportation to City Gate</t>
  </si>
  <si>
    <t xml:space="preserve">Operating Revenue and Expenses by FERC Account </t>
  </si>
  <si>
    <t>Production Expense - Maintenance</t>
  </si>
  <si>
    <t>Ng Main. Supervision &amp; Engineering</t>
  </si>
  <si>
    <t>Ng. Main. Supervision &amp; Engineering</t>
  </si>
  <si>
    <t>Rate Base, Dep. Exp., &amp; Taxes Other</t>
  </si>
  <si>
    <t>Retirement Work in Progress</t>
  </si>
  <si>
    <t>Composite</t>
  </si>
  <si>
    <t>Total Accumulated Depreciation &amp; Amortization (Div 009, 091, 002, 012)</t>
  </si>
  <si>
    <t>Data:_____Base Period___X___Forecasted Period</t>
  </si>
  <si>
    <t>Land &amp; Land Rights</t>
  </si>
  <si>
    <t>State &amp; Federal Income Tax</t>
  </si>
  <si>
    <t>* Interest Expense Calculation:</t>
  </si>
  <si>
    <t>State Tax Rate</t>
  </si>
  <si>
    <t>Federal Tax Rate</t>
  </si>
  <si>
    <t>Other Tangible Property</t>
  </si>
  <si>
    <t>Other Financial and Operating Data:</t>
  </si>
  <si>
    <t>Plant Data: ($000)</t>
  </si>
  <si>
    <t xml:space="preserve">  Total Sales of Gas</t>
  </si>
  <si>
    <t xml:space="preserve">  Total Other Operating Income</t>
  </si>
  <si>
    <t>Cost Rate</t>
  </si>
  <si>
    <t>Employee Levels</t>
  </si>
  <si>
    <t>Average Employee Levels</t>
  </si>
  <si>
    <t>Year end Employee Levels</t>
  </si>
  <si>
    <t>Most Recent Five Calendar Years</t>
  </si>
  <si>
    <t>Payroll Analysis by Employee Classifications/Payroll Distribution/Total Company</t>
  </si>
  <si>
    <t xml:space="preserve">  Total MIX of Fuel (2)</t>
  </si>
  <si>
    <t>(2) Kentucky gas purchases by accounting month.</t>
  </si>
  <si>
    <t>Cash Working Capital Components - 1 / 8 O&amp;M Expenses</t>
  </si>
  <si>
    <t>Period ending</t>
  </si>
  <si>
    <t>Sched. B-5</t>
  </si>
  <si>
    <t>C-2.1</t>
  </si>
  <si>
    <t>General Plant **</t>
  </si>
  <si>
    <t>Base Period Ending Balance</t>
  </si>
  <si>
    <t>Kentucky Direct (Div 009)</t>
  </si>
  <si>
    <t>KY/Mid-States General Office (Div 091)</t>
  </si>
  <si>
    <t>Shared Services General Office (Div 002)</t>
  </si>
  <si>
    <t>Shared Services Customer Support (Div 012)</t>
  </si>
  <si>
    <t>Safety or</t>
  </si>
  <si>
    <t>Req by Law</t>
  </si>
  <si>
    <t>Other Tang. Property - CPU</t>
  </si>
  <si>
    <t xml:space="preserve">    Total CWIP</t>
  </si>
  <si>
    <t>Total LONG-TERM DEBT</t>
  </si>
  <si>
    <t>927 Adm Gen Franchise Req</t>
  </si>
  <si>
    <t>928 Adm Gen Reg Comm Exp</t>
  </si>
  <si>
    <t>9301 Adm Gen Goodwill Adv</t>
  </si>
  <si>
    <t>9302 Adm Gen Gen Exp</t>
  </si>
  <si>
    <t>932 Adm Gen Maint Gen Plant</t>
  </si>
  <si>
    <t>Supporting</t>
  </si>
  <si>
    <t>Adjusted Operating Revenues</t>
  </si>
  <si>
    <t xml:space="preserve">  Operating Revenues </t>
  </si>
  <si>
    <t>Rate Base Component</t>
  </si>
  <si>
    <t>Component</t>
  </si>
  <si>
    <t>Meas &amp; Reg. Sta. Equip - City Gate</t>
  </si>
  <si>
    <t>Net Operating Income</t>
  </si>
  <si>
    <t>817 Storage Lines Expense</t>
  </si>
  <si>
    <t>818 Storage Compressor Station</t>
  </si>
  <si>
    <t>889 Dist Maint Meas/Reg Sta-Gen</t>
  </si>
  <si>
    <t>G-Structures &amp; Improvements</t>
  </si>
  <si>
    <t>G-Office Furniture &amp; Equip.</t>
  </si>
  <si>
    <t>Laboratory Equipment</t>
  </si>
  <si>
    <t>CKV-Land &amp; Land Rights</t>
  </si>
  <si>
    <t>CKV-Structures &amp; Improvements</t>
  </si>
  <si>
    <t>CKV-Communication Equipment</t>
  </si>
  <si>
    <t>CKV-Other Tangible Property</t>
  </si>
  <si>
    <t>CKV-Oth Tang Prop-PC Hardware</t>
  </si>
  <si>
    <t>CKV-Oth Tang Prop-PC Software</t>
  </si>
  <si>
    <t>depreciation expense due to the increased level of depreciable plant investment.</t>
  </si>
  <si>
    <t xml:space="preserve">Taxes Other - The purpose of this adjustment is to account for anticipated </t>
  </si>
  <si>
    <t>changes in Taxes, Other than Income Taxes</t>
  </si>
  <si>
    <t>Natural gas field line purchases</t>
  </si>
  <si>
    <t>Transmission and compression of gas by others</t>
  </si>
  <si>
    <t>Revenue-Transportation Distribution</t>
  </si>
  <si>
    <t xml:space="preserve">      Transmission and compression of gas by others</t>
  </si>
  <si>
    <t xml:space="preserve">      Natural gas field line purchases</t>
  </si>
  <si>
    <t xml:space="preserve">      Gas used for products extraction-Credit</t>
  </si>
  <si>
    <t>4893-4896</t>
  </si>
  <si>
    <t>**Note:  Provision for Income Taxes is not a component of Operating Income but is included on this schedule to develop the 12 month total for use elsewhere in the model</t>
  </si>
  <si>
    <t>Allocation Factors</t>
  </si>
  <si>
    <t>Forecast Period</t>
  </si>
  <si>
    <t>KY/ Md-Sts</t>
  </si>
  <si>
    <t>Charles K. Vaughan Center</t>
  </si>
  <si>
    <t>Greenville Avenue Data Center</t>
  </si>
  <si>
    <t>Forecast</t>
  </si>
  <si>
    <t>489 Revenue From Transporting Gas to Others</t>
  </si>
  <si>
    <t>Payroll Tax Projects</t>
  </si>
  <si>
    <t>Allocation from taxes other Gen Office</t>
  </si>
  <si>
    <t>Sales-Demonstrating and selling</t>
  </si>
  <si>
    <t>Distribution-Measuring and regulating station expenses-Genrl</t>
  </si>
  <si>
    <t>from O &amp; M for ratemaking and therefore the Revenue Requirements.  These amounts are shown properly classified on Schedule F-4, Advertising.</t>
  </si>
  <si>
    <t>ADVERTISING</t>
  </si>
  <si>
    <t>NOTE:  Country Club dues will be excluded from O &amp; M and therefore, excluded from the revenue requirements. A/C 870.</t>
  </si>
  <si>
    <t>Deferred  Credits</t>
  </si>
  <si>
    <t>(1) Unbilled Revenue is not included in the appropriate customer class.</t>
  </si>
  <si>
    <t>and 10 Most Recent Calendar Years</t>
  </si>
  <si>
    <r>
      <t xml:space="preserve">Capital structure:  </t>
    </r>
    <r>
      <rPr>
        <b/>
        <u/>
        <sz val="10.8"/>
        <rFont val="Helvetica-Narrow"/>
      </rPr>
      <t>(Total Company)</t>
    </r>
  </si>
  <si>
    <t>Account 923 - Outside Services Employed</t>
  </si>
  <si>
    <t>Source:</t>
  </si>
  <si>
    <t>Sources:</t>
  </si>
  <si>
    <t>Labor</t>
  </si>
  <si>
    <t xml:space="preserve">  PENSION &amp; RETIREMENT Income Plan</t>
  </si>
  <si>
    <t>% of</t>
  </si>
  <si>
    <t>forecast</t>
  </si>
  <si>
    <t>AR 15 general plant amortization</t>
  </si>
  <si>
    <t>Schedule F-9</t>
  </si>
  <si>
    <t>Total Amount</t>
  </si>
  <si>
    <t>Data Sources</t>
  </si>
  <si>
    <t>O&amp;M</t>
  </si>
  <si>
    <t>Base Year Revenues</t>
  </si>
  <si>
    <t>Base Year Gas Costs</t>
  </si>
  <si>
    <t>Base Year Gross Profit</t>
  </si>
  <si>
    <t>Test Year Revenues</t>
  </si>
  <si>
    <t>Test Year Gas costs</t>
  </si>
  <si>
    <t>Test Year Gross Profit</t>
  </si>
  <si>
    <t xml:space="preserve">SALE of Gas-Residential - the purpose of this Adjustment is to reflect the normalization of volumes </t>
  </si>
  <si>
    <t xml:space="preserve">SALE of Gas-Commercial - the purpose of this Adjustment is to reflect the normalization of volumes </t>
  </si>
  <si>
    <t>SALE of Gas-Industrial - the purpose of this Adjustment is to reflect known and measurable changes,</t>
  </si>
  <si>
    <t xml:space="preserve">SALE of Gas-Public Authority - The purpose of this Adjustment is to reflect the normalization of </t>
  </si>
  <si>
    <t>revenues for the base period.</t>
  </si>
  <si>
    <t xml:space="preserve">Revenue from Transportation  - the purpose of this Adjustment is to reflect known and measurable </t>
  </si>
  <si>
    <t xml:space="preserve">Forfeited discounts - the purpose of this adjustment is to reflect anticipated changes in the billed late </t>
  </si>
  <si>
    <t>payment fees from the base period to the test year.</t>
  </si>
  <si>
    <t xml:space="preserve">Benefits are projected as a fixed benefit load percentage of labor expense plus an amount for workers’ comp </t>
  </si>
  <si>
    <t>insurance.  This adjustment pertains to labor and benefits for Kentucky operations.</t>
  </si>
  <si>
    <t>Rent, Maintenance and Utilities - The purpose of this adjustment is to account for forecasted rent, maintenance</t>
  </si>
  <si>
    <t xml:space="preserve">and utilities.  Unlike other O&amp;M categories that are likely to increase with normal inflation, our building rents are  </t>
  </si>
  <si>
    <t xml:space="preserve">driven by leases already in place and can therefore be projected with a high level of accuracy.  The rent portion </t>
  </si>
  <si>
    <t>for Kentucky operations.</t>
  </si>
  <si>
    <t>of this O&amp;M category was projected by reviewing actual lease amounts.  This adjustment pertains to expenses</t>
  </si>
  <si>
    <t xml:space="preserve">Other O&amp;M - The purpose of this adjustment is to account for projected changes in O&amp;M expenses other than </t>
  </si>
  <si>
    <t xml:space="preserve">Bad Debt - The purpose of this adjustment is to account for anticipated bad debt costs due to uncollectible </t>
  </si>
  <si>
    <t xml:space="preserve">accounts.  The projection is made by calculating 0.50% of residential, commercial and public authority  </t>
  </si>
  <si>
    <t xml:space="preserve">Costs allocated from Shared Services and Kentucky-Mid States General Office - The purpose of this </t>
  </si>
  <si>
    <t xml:space="preserve">adjustment is to account for the forecasted amount of expenses that are allocated to Kentucky from the   </t>
  </si>
  <si>
    <t>Shared Services Unit and Division General Office.</t>
  </si>
  <si>
    <t>Schedule F-4</t>
  </si>
  <si>
    <t>F-9</t>
  </si>
  <si>
    <t>931 A&amp;G-Rents</t>
  </si>
  <si>
    <t>920 Administrative and General Salaries</t>
  </si>
  <si>
    <t>COMMITMENT FEE</t>
  </si>
  <si>
    <t>No. (s)</t>
  </si>
  <si>
    <t xml:space="preserve">Account No. </t>
  </si>
  <si>
    <t>NOTE:  This amount is included on ratemaking adjustments on Schedule C-2 and therefore excluded from the Revenue Requirements.</t>
  </si>
  <si>
    <t>A&amp;G-Administrative &amp; General Salaries</t>
  </si>
  <si>
    <t>Total Forecasted Period</t>
  </si>
  <si>
    <t>Unbilled Residential</t>
  </si>
  <si>
    <t>Unbilled Commercial</t>
  </si>
  <si>
    <t>Unbilled Public Authority</t>
  </si>
  <si>
    <t>Unbilled Residential Revenue</t>
  </si>
  <si>
    <t>Unbilled Comm Revenue</t>
  </si>
  <si>
    <t>Unbilled Public Authority Revenue</t>
  </si>
  <si>
    <t>Annualized Amortization of Debt Exp. &amp; Debt Dsct.</t>
  </si>
  <si>
    <t>Less Unamortized Debt Discount</t>
  </si>
  <si>
    <t>Total Plant  (Div 91)</t>
  </si>
  <si>
    <t>Total Plant  (Div 9)</t>
  </si>
  <si>
    <t>Total General Plant  (Div 2)</t>
  </si>
  <si>
    <t>Total General Plant  (Div 12)</t>
  </si>
  <si>
    <t>39103-Office Furn. - Copiers &amp; Type</t>
  </si>
  <si>
    <t>Total Depr Reserves  (Div 9)</t>
  </si>
  <si>
    <t>Total Depr Reserves  (Div 2)</t>
  </si>
  <si>
    <t>Total Depr Reserves  (Div 12)</t>
  </si>
  <si>
    <t>Total Depr Reserves  (Div 91)</t>
  </si>
  <si>
    <t>Ending</t>
  </si>
  <si>
    <t>12 Months</t>
  </si>
  <si>
    <t>Total Depreciation Expense  (Div 91)</t>
  </si>
  <si>
    <t>Total Depreciation Expense  (Div 9)</t>
  </si>
  <si>
    <t>Total Depreciation Expense  (Div 2)</t>
  </si>
  <si>
    <t>Total Depreciation Expense  (Div 12)</t>
  </si>
  <si>
    <t>Total General Plant Depr</t>
  </si>
  <si>
    <t>Total Distribution Plant Depr</t>
  </si>
  <si>
    <t>Total Intangible Plant Depr</t>
  </si>
  <si>
    <t>Total Storage Plant Depr</t>
  </si>
  <si>
    <t>Total Production Plant - (LPG)  Depr</t>
  </si>
  <si>
    <t>Total Natural Gas Production Plant Depr</t>
  </si>
  <si>
    <t>Total Intangible Plant Amort.</t>
  </si>
  <si>
    <t>Maintenance of other equipment</t>
  </si>
  <si>
    <t>Communication system expenses</t>
  </si>
  <si>
    <t>Transmission-Maintenance of compressor sta equipment</t>
  </si>
  <si>
    <t>Distribution-Compressor station labor and expenses</t>
  </si>
  <si>
    <t>Unbilled Industrial Revenue</t>
  </si>
  <si>
    <t xml:space="preserve">Depreciation  Expense - The purpose of this adjustment is to reflect the change in </t>
  </si>
  <si>
    <t>Production and gathering-Other</t>
  </si>
  <si>
    <t>Unbilled Industrial</t>
  </si>
  <si>
    <t>Total Transmission Plant</t>
  </si>
  <si>
    <t>Occupational Licenses</t>
  </si>
  <si>
    <t>Dot Transmission User Tax</t>
  </si>
  <si>
    <t>Total Allocated Amount from Div 91</t>
  </si>
  <si>
    <t>Total Allocated Amount from Div 12</t>
  </si>
  <si>
    <t>Total Allocated Amount from Div 2</t>
  </si>
  <si>
    <t>Rate of Return on Equity</t>
  </si>
  <si>
    <t>SSU</t>
  </si>
  <si>
    <t>Billing</t>
  </si>
  <si>
    <t>Adjs</t>
  </si>
  <si>
    <t>Schedule F-10</t>
  </si>
  <si>
    <t>Div</t>
  </si>
  <si>
    <t>Category</t>
  </si>
  <si>
    <t>Totals</t>
  </si>
  <si>
    <t>Variable Pay &amp; Management Incentive Plans</t>
  </si>
  <si>
    <t>VPP &amp; MIP</t>
  </si>
  <si>
    <t>Restricted Stock Plans</t>
  </si>
  <si>
    <t>RSU-LTIP - Time Lapse</t>
  </si>
  <si>
    <t>Total Allocated Restricted Stock Plans</t>
  </si>
  <si>
    <t>Total Allocated VPP &amp; MIP Plans</t>
  </si>
  <si>
    <t>Grand Total Allocated Expense</t>
  </si>
  <si>
    <t>INCENTIVE COMPENSATION EXPENSE</t>
  </si>
  <si>
    <t>F-10</t>
  </si>
  <si>
    <t>RSU-LTIP - Performance Based</t>
  </si>
  <si>
    <t>CHARITABLE CONTRIBUTIONS</t>
  </si>
  <si>
    <t>TEST PERIOD</t>
  </si>
  <si>
    <t xml:space="preserve">Misc Service Revenues - the purpose of this adjustment is to reflect modest reduction in service charge </t>
  </si>
  <si>
    <t>837 Maintenance of other equipment</t>
  </si>
  <si>
    <t>852 Communication system expenses</t>
  </si>
  <si>
    <t>Total General Plant Reserves</t>
  </si>
  <si>
    <t>Total Distribution Plant Reserves</t>
  </si>
  <si>
    <t>Total Production Plant - LPG Reserves</t>
  </si>
  <si>
    <t>Total Storage Plant Reserves</t>
  </si>
  <si>
    <t>Total Natural Gas Production Plant Reserves</t>
  </si>
  <si>
    <t>Total Intangible Plant Reserves</t>
  </si>
  <si>
    <t>Commercial Revenue</t>
  </si>
  <si>
    <t>Industrial Revenue</t>
  </si>
  <si>
    <t>4060</t>
  </si>
  <si>
    <t>Field measuring and regulating station expenses</t>
  </si>
  <si>
    <t>39924-Oth Tang Prop - Gen.</t>
  </si>
  <si>
    <t>* Standby Pay included in regular hours and dollars</t>
  </si>
  <si>
    <t>855 Other Fuel &amp; Power Comp</t>
  </si>
  <si>
    <t>Other fuel and power for Compression</t>
  </si>
  <si>
    <t>Other fuel &amp; power for compression</t>
  </si>
  <si>
    <t>Other Fuel &amp; Power for Compression</t>
  </si>
  <si>
    <t>Retirement Work in Progress Recon</t>
  </si>
  <si>
    <t>Transmission-Maintenance of me - Non-Inventory Supplies 8650-02005</t>
  </si>
  <si>
    <t>FR 16(8)(a)</t>
  </si>
  <si>
    <t>FR 16(8)(b)</t>
  </si>
  <si>
    <t>FR 16(8)(c)</t>
  </si>
  <si>
    <t>FR 16(8)(d)</t>
  </si>
  <si>
    <t>FR 16(8)(e)</t>
  </si>
  <si>
    <t>FR 16(8)(f)</t>
  </si>
  <si>
    <t>FR 16(8)(g)</t>
  </si>
  <si>
    <t>FR 16(8)(h)</t>
  </si>
  <si>
    <t>FR 16(8)(i)</t>
  </si>
  <si>
    <t>FR 16(8)(j)</t>
  </si>
  <si>
    <t>FR 16(8)(k)</t>
  </si>
  <si>
    <t>FR 16(8)(b)                 SCHEDULE B</t>
  </si>
  <si>
    <t>FR 16(8)(b)1</t>
  </si>
  <si>
    <t>FR 16(8)(b)2</t>
  </si>
  <si>
    <t>FR 16(8)(b)3</t>
  </si>
  <si>
    <t>FR 16(8)(b)3.1</t>
  </si>
  <si>
    <t>FR 16(8)(b)4</t>
  </si>
  <si>
    <t>FR 16(8)(b)4.1</t>
  </si>
  <si>
    <t>FR 16(8)(b)4.2</t>
  </si>
  <si>
    <t>FR 16(8)(b)5</t>
  </si>
  <si>
    <t>FR 16(8)(b)6</t>
  </si>
  <si>
    <t>FR 16(8)(c)                 SCHEDULE C</t>
  </si>
  <si>
    <t>FR 16(8)(c)1</t>
  </si>
  <si>
    <t>FR 16(8)(c)2</t>
  </si>
  <si>
    <t>FR 16(8)(c)2.1</t>
  </si>
  <si>
    <t>FR 16(8)(c)2.2</t>
  </si>
  <si>
    <t>FR 16(8)(c)2.3</t>
  </si>
  <si>
    <t>FR 16(8)(d)                 SCHEDULE D</t>
  </si>
  <si>
    <t>FR 16(8)(d)1</t>
  </si>
  <si>
    <t>FR 16(8)(d)2.1</t>
  </si>
  <si>
    <t>FR 16(8)(d)2.2</t>
  </si>
  <si>
    <t>FR 16(8)(d)2.3</t>
  </si>
  <si>
    <t>FR 16(8)(e)                 SCHEDULE E</t>
  </si>
  <si>
    <t>FR 16(8)(f)                 SCHEDULE F</t>
  </si>
  <si>
    <t>FR 16(8)(i)1</t>
  </si>
  <si>
    <t>FR 16(8)(i)2</t>
  </si>
  <si>
    <t>FR 16(8)(i)3</t>
  </si>
  <si>
    <t>Change in NOLC</t>
  </si>
  <si>
    <t>Regulated Asset Balance</t>
  </si>
  <si>
    <t>Amortization Expense</t>
  </si>
  <si>
    <t>(13 Month Average)</t>
  </si>
  <si>
    <t xml:space="preserve">Calculation of Change in NOLC </t>
  </si>
  <si>
    <t>(from 13-month average Base Period to 13-month average Forecasted Period</t>
  </si>
  <si>
    <t>13-month average Rate Base</t>
  </si>
  <si>
    <t>Forecasted Test Period</t>
  </si>
  <si>
    <t>B.1 F</t>
  </si>
  <si>
    <t>Required Operating Income</t>
  </si>
  <si>
    <t>A.1</t>
  </si>
  <si>
    <t>E.1</t>
  </si>
  <si>
    <t>Return on Equity Portion of Rate Base</t>
  </si>
  <si>
    <t>Return, grossed up for Income Tax</t>
  </si>
  <si>
    <t>B.1 F; B.1 B</t>
  </si>
  <si>
    <t>13-Month Average ADIT, Forecasted Period, excl, Change in NOLC</t>
  </si>
  <si>
    <t>Total Required Change in Accumulated Deferred Income Taxes</t>
  </si>
  <si>
    <t>ADIT Reconciliation</t>
  </si>
  <si>
    <t>Change In ADIT, excluding forecasted change in NOLC</t>
  </si>
  <si>
    <t>Required Change in NOLC</t>
  </si>
  <si>
    <t>Forecasted Change in NOLC</t>
  </si>
  <si>
    <t>Forecasted 13-month Average ADIT in Rate Base</t>
  </si>
  <si>
    <t>Tax Expense on Return</t>
  </si>
  <si>
    <t>B.5 B</t>
  </si>
  <si>
    <r>
      <t>Total Required Change in Accumulated Deferred Income Taxes</t>
    </r>
    <r>
      <rPr>
        <b/>
        <vertAlign val="superscript"/>
        <sz val="8.4"/>
        <rFont val="Helvetica-Narrow"/>
      </rPr>
      <t>1</t>
    </r>
  </si>
  <si>
    <r>
      <rPr>
        <i/>
        <vertAlign val="superscript"/>
        <sz val="8.4"/>
        <rFont val="Helvetica-Narrow"/>
      </rPr>
      <t>1</t>
    </r>
    <r>
      <rPr>
        <i/>
        <sz val="12"/>
        <rFont val="Helvetica-Narrow"/>
      </rPr>
      <t>Because the Company is in a NOLC position, the total change in ADIT must equal the tax expenses included in revenue requirement</t>
    </r>
  </si>
  <si>
    <t xml:space="preserve">      (excluding forecasted change in NOLC)</t>
  </si>
  <si>
    <t>Line 71 - Line 67</t>
  </si>
  <si>
    <t>Line 37</t>
  </si>
  <si>
    <t>Line 39</t>
  </si>
  <si>
    <t>line 50 - line 52</t>
  </si>
  <si>
    <t>Line 56 x tax rate</t>
  </si>
  <si>
    <t>Line 54 / (1-tax rate)</t>
  </si>
  <si>
    <t>Line 37; B.5 B</t>
  </si>
  <si>
    <t>13 Month Average Capital Structure</t>
  </si>
  <si>
    <t>Capital Structure</t>
  </si>
  <si>
    <t>6.75% Debentures Unsecured due July 2028</t>
  </si>
  <si>
    <t>6.67% MTN A1 due Dec 2025</t>
  </si>
  <si>
    <t>5.95% Sr Note due 10/15/2034</t>
  </si>
  <si>
    <t>Sr Note 5.50% Due 06/15/2041</t>
  </si>
  <si>
    <t>4.15% Sr Note due 1/15/2043</t>
  </si>
  <si>
    <t>Incentive Compensation Expense</t>
  </si>
  <si>
    <t>This adjustment pertains to expenses for Kentucky operations.</t>
  </si>
  <si>
    <t>Labor and Benefits - The purpose of this adjustment is to account for forecasted labor and benefits expense</t>
  </si>
  <si>
    <t>due primarily to adjustments to labor capitalization rate versus the base period.</t>
  </si>
  <si>
    <t xml:space="preserve">Other gas service revenues - the purpose of this adjustment is to reflect pro forma adjustments for </t>
  </si>
  <si>
    <t>individual customers and special contract reformations</t>
  </si>
  <si>
    <t>margins from the revenues projection.</t>
  </si>
  <si>
    <t xml:space="preserve">labor, benefits, rent, and bad debt.  </t>
  </si>
  <si>
    <t xml:space="preserve">*Test Period ending ADIT balance does not include forecasted change in NOLC.  Forecasted change in NOLC is calculated on B.5F on a 13 month average basis only and included in rate base and revenue requirement.  </t>
  </si>
  <si>
    <t>Gas Purchase Costs - The purpose of this Adjustment is to reflect the purchase quantities</t>
  </si>
  <si>
    <t>Communication Equip.</t>
  </si>
  <si>
    <t>Servers Hardware</t>
  </si>
  <si>
    <t>Servers Software</t>
  </si>
  <si>
    <t>Office Furniture And</t>
  </si>
  <si>
    <t>Struct &amp; Improv AEAM</t>
  </si>
  <si>
    <t>Improv-Leased AEAM</t>
  </si>
  <si>
    <t>Off Furn &amp; Equip-AEAM</t>
  </si>
  <si>
    <t>Tools And Garage-AEAM</t>
  </si>
  <si>
    <t>Commun Equip AEAM</t>
  </si>
  <si>
    <t>Misc Equip - AEAM</t>
  </si>
  <si>
    <t>Servers-Hardware-AEAM</t>
  </si>
  <si>
    <t>Servers-Software-AEAM</t>
  </si>
  <si>
    <t>Network Hardware-AEAM</t>
  </si>
  <si>
    <t>Remittance Processing</t>
  </si>
  <si>
    <t>CKV-Office Furn &amp; Eq</t>
  </si>
  <si>
    <t>CKV-Transportation Eq</t>
  </si>
  <si>
    <t>CKV-Tools Shop Garage</t>
  </si>
  <si>
    <t>CKV-Laboratory Equip</t>
  </si>
  <si>
    <t>CKV-Misc Equipment</t>
  </si>
  <si>
    <t>CKV-Oth Tang Prop-App</t>
  </si>
  <si>
    <t>Oth Tang Prop - Gen.</t>
  </si>
  <si>
    <t>Pc Hardware-AEAM</t>
  </si>
  <si>
    <t>Application SW-AEAM</t>
  </si>
  <si>
    <t>ALGN-Servers-Hardware</t>
  </si>
  <si>
    <t>ALGN-Servers-Software</t>
  </si>
  <si>
    <t>ALGN-Application SW</t>
  </si>
  <si>
    <t>NOTE:  There are no OCC expenses for the Base Period</t>
  </si>
  <si>
    <t>38900-Land &amp; Land Rights</t>
  </si>
  <si>
    <t>39000-Structures &amp; Improvements</t>
  </si>
  <si>
    <t>39002-Structures - Brick</t>
  </si>
  <si>
    <t>39003-Improvements</t>
  </si>
  <si>
    <t>39004-Air Conditioning Equipment</t>
  </si>
  <si>
    <t>39009-Improv. to Leased Premises</t>
  </si>
  <si>
    <t>39100-Office Furniture &amp; Equipment</t>
  </si>
  <si>
    <t>39200-Transportation Equipment</t>
  </si>
  <si>
    <t>39202-WKG Trailers</t>
  </si>
  <si>
    <t>39400-Tools, Shop, &amp; Garage Equip.</t>
  </si>
  <si>
    <t>39603-Ditchers</t>
  </si>
  <si>
    <t>39604-Backhoes</t>
  </si>
  <si>
    <t>39605-Welders</t>
  </si>
  <si>
    <t>39700-Communication Equipment</t>
  </si>
  <si>
    <t>39705-Comm. Equip. - Telemetering</t>
  </si>
  <si>
    <t>39800-Miscellaneous Equipment</t>
  </si>
  <si>
    <t>39903-Oth Tang Prop - Network - H/W</t>
  </si>
  <si>
    <t>39906-Oth Tang Prop - PC Hardware</t>
  </si>
  <si>
    <t>39907-Oth Tang Prop - PC Software</t>
  </si>
  <si>
    <t>39908-Oth Tang Prop - Appl Software</t>
  </si>
  <si>
    <t>39001-Structures - Frame</t>
  </si>
  <si>
    <t>39200-Trans Equip- Group</t>
  </si>
  <si>
    <t>39600-Power Operated Equipment</t>
  </si>
  <si>
    <t>39900-Other Tangible Property</t>
  </si>
  <si>
    <t>39901-Oth Tang Prop - Servers - H/W</t>
  </si>
  <si>
    <t>39902-Oth Tang Prop - Servers - S/W</t>
  </si>
  <si>
    <t>39005-G-Structures &amp; Improvements</t>
  </si>
  <si>
    <t>39102-Remittance Processing Equipment</t>
  </si>
  <si>
    <t>39104-G-Office Furniture &amp; Equip.</t>
  </si>
  <si>
    <t>39300-Stores Equipment</t>
  </si>
  <si>
    <t>39500-Laboratory Equipment</t>
  </si>
  <si>
    <t>39900-Other Tangible Equipm</t>
  </si>
  <si>
    <t>39904-Oth Tang Prop - CPU</t>
  </si>
  <si>
    <t>39905-Oth Tang Prop - MF Hardware</t>
  </si>
  <si>
    <t>39909-Oth Tang Prop - Mainframe S/W</t>
  </si>
  <si>
    <t>38900-Land</t>
  </si>
  <si>
    <t>38910-CKV-Land &amp; Land Rights</t>
  </si>
  <si>
    <t>39010-CKV-Structures &amp; Improvements</t>
  </si>
  <si>
    <t>39710-CKV-Communication Equipment</t>
  </si>
  <si>
    <t>39910-CKV-Other Tangible Property</t>
  </si>
  <si>
    <t>39916-CKV-Oth Tang Prop-PC Hardware</t>
  </si>
  <si>
    <t>39917-CKV-Oth Tang Prop-PC Software</t>
  </si>
  <si>
    <t>RWIP</t>
  </si>
  <si>
    <t>AEAM</t>
  </si>
  <si>
    <t>ALGN</t>
  </si>
  <si>
    <t>Less Unamortized Debt Expenses</t>
  </si>
  <si>
    <t>COMMITMENT FEE &amp; BANK ADMIN</t>
  </si>
  <si>
    <t>Donations</t>
  </si>
  <si>
    <t xml:space="preserve">  SERP</t>
  </si>
  <si>
    <t xml:space="preserve">  FICA/FUTA/SUTA</t>
  </si>
  <si>
    <t>changes in gas costs between the periods.</t>
  </si>
  <si>
    <t>Includes 7 Officers</t>
  </si>
  <si>
    <t>SVP, Utility Operations (created in January 2017)</t>
  </si>
  <si>
    <t xml:space="preserve">SVP, CFO </t>
  </si>
  <si>
    <t>for sales service.  The Base Period includes Unbilled Gas Costs that will zero out by the end</t>
  </si>
  <si>
    <t xml:space="preserve">changes in demand for existing industries and account for migration to/from transportation service </t>
  </si>
  <si>
    <t>increases and reductions, shifts from base period to test year and</t>
  </si>
  <si>
    <t>Deferred Liablity Amortization</t>
  </si>
  <si>
    <t>ADIT Excess Deferred Liabilities</t>
  </si>
  <si>
    <t>Account 2530 - 27909</t>
  </si>
  <si>
    <t>Regulatory Assets / Liabilities</t>
  </si>
  <si>
    <t>Regulatory Assets / Liabilities*</t>
  </si>
  <si>
    <t>Sales-Miscellaneous sales expenses</t>
  </si>
  <si>
    <t>Provision for Rate Refunds</t>
  </si>
  <si>
    <t>Amortization of Excess ADIT</t>
  </si>
  <si>
    <t>Regulatory Liability Balance</t>
  </si>
  <si>
    <t>Mains - Anodes</t>
  </si>
  <si>
    <t>Mains - Leak Clamps</t>
  </si>
  <si>
    <t>Div 009 Direct O&amp;M</t>
  </si>
  <si>
    <t>Total O&amp;M</t>
  </si>
  <si>
    <t>SSU Direct O&amp;M</t>
  </si>
  <si>
    <t>O&amp;M Comparison</t>
  </si>
  <si>
    <t>Maintenance Supervision and Engineering</t>
  </si>
  <si>
    <t>Mains Expenses</t>
  </si>
  <si>
    <t>Case No. 2018-00281</t>
  </si>
  <si>
    <t>Rate Case (3 year Amortization)</t>
  </si>
  <si>
    <t>Balance Total</t>
  </si>
  <si>
    <t>Amortization Total</t>
  </si>
  <si>
    <t>002</t>
  </si>
  <si>
    <t>Directors Retirement Expenses - 04113</t>
  </si>
  <si>
    <t>Budget Sub Account</t>
  </si>
  <si>
    <t>Amortization</t>
  </si>
  <si>
    <t xml:space="preserve">Depreciation </t>
  </si>
  <si>
    <t>2017-00349 O&amp;M Adjustments</t>
  </si>
  <si>
    <t>Removal of Retirement Benefits</t>
  </si>
  <si>
    <t xml:space="preserve">Three (3) Year Amortization of Rate Case Expenses </t>
  </si>
  <si>
    <t>Avg ADIT, Base Period</t>
  </si>
  <si>
    <t>Lead/Lag Study</t>
  </si>
  <si>
    <t>012</t>
  </si>
  <si>
    <t>009</t>
  </si>
  <si>
    <t>091</t>
  </si>
  <si>
    <t xml:space="preserve">Payroll </t>
  </si>
  <si>
    <t>Payroll</t>
  </si>
  <si>
    <t>due to cold weather in base period, and changes in gas costs between the periods</t>
  </si>
  <si>
    <t>volumes due to cold weather in base period, and changes in gas costs between the periods</t>
  </si>
  <si>
    <t>primarily due to lower estimated GCA price</t>
  </si>
  <si>
    <t>(1) Based on fiscal year-end of parent company, except for Base Period &amp; Test Period which are based on Atmos Energy Corporation, Kentucky.  Return calculations cannot be used for revenue requirement purposes</t>
  </si>
  <si>
    <t>Thirteen Month Average as of September 30, 2022</t>
  </si>
  <si>
    <t>4.3% Sr Note due 10/1/2048</t>
  </si>
  <si>
    <t>4.125% Sr Note due 10/15/2044 (500MM(2014) &amp; 250MM(2017)</t>
  </si>
  <si>
    <t>3.00% Sr Note due 6/15/2027</t>
  </si>
  <si>
    <t>4.125% Sr Note due 3/15/49</t>
  </si>
  <si>
    <t xml:space="preserve">2.625% Sr Notes Due 2029 </t>
  </si>
  <si>
    <t xml:space="preserve">3.375% Sr Notes Due 2049 </t>
  </si>
  <si>
    <t>$200MM 3YR. Term Loan (Established 4/09/20)</t>
  </si>
  <si>
    <t xml:space="preserve">1.500% Sr Notes Due 2031 </t>
  </si>
  <si>
    <t>Depreciation Study - D. Watson</t>
  </si>
  <si>
    <t>(Forecast Total)</t>
  </si>
  <si>
    <t>OM for KY-2021.xlsx</t>
  </si>
  <si>
    <t>as of March 31, 2020</t>
  </si>
  <si>
    <t>Base Period: Twelve Months Ended September 30, 2021</t>
  </si>
  <si>
    <t>Forecasted Test Period: Twelve Months Ended December 31, 2022</t>
  </si>
  <si>
    <t>For Forecast, reflects balance outstanding for 13 months in 13-month average rather than 12 months for Base; reflects last interest rate @ March 31, 2021</t>
  </si>
  <si>
    <t>For Forecast, reflects balance outstanding for 13 months in 13-month average rather than 6 months for Base</t>
  </si>
  <si>
    <t>KY Plant Data-2021.xlsx</t>
  </si>
  <si>
    <t>projected</t>
  </si>
  <si>
    <t>Kentucky Jurisdiction Case No. 2021-00214</t>
  </si>
  <si>
    <t>KMD TB BS &amp; IS end Mar-21_DIV 009 &amp; DIV 091 IS Activity.xlsx</t>
  </si>
  <si>
    <t>SSU TB BS &amp; IS end Mar-21_DIV 002 &amp; DIV 012 IS Activity.xlsx</t>
  </si>
  <si>
    <t>Income Statement_Report-9220 Accts - end Mar-21.xlsx</t>
  </si>
  <si>
    <t>Gas Cost by FERC-end Mar-21.xlsx</t>
  </si>
  <si>
    <t>Balance Sheet_Report-Misc BS Accts_with projections.xlsx</t>
  </si>
  <si>
    <t>Gas Storage-Mar-21.xlsx</t>
  </si>
  <si>
    <t>Balance Sheet_Report-AIC Accts_with projections.xlsx</t>
  </si>
  <si>
    <t>Advertising &amp; Acct 4264.xlsx</t>
  </si>
  <si>
    <t>Case No. 2021-00214</t>
  </si>
  <si>
    <t>this links to C.2 for a ratemaking adjustment</t>
  </si>
  <si>
    <t>F.6 Schedule Rate Case Expenses - 2019.2020.xlsx</t>
  </si>
  <si>
    <t>KY Revenue  Billing Unit Forecast TYE 12.31.2022.xlsx</t>
  </si>
  <si>
    <t>Apr'20-Mar'21 002 WEXP Review.xlsx</t>
  </si>
  <si>
    <t>Apr'20-Mar'21 012 WEXP Review.xlsx</t>
  </si>
  <si>
    <t>KMD Expense Report Review Apr20-Mar21 (009).xlsx</t>
  </si>
  <si>
    <t>KMD Expense Report Review Apr20-Mar21 (091).xlsx</t>
  </si>
  <si>
    <t>Apr20-Mar2_F.11 Retirement Benefits Adj Mailout.xlsx</t>
  </si>
  <si>
    <t>Base Period estimated using 12 months actual, month ending March 31, 2021</t>
  </si>
  <si>
    <t>H.1 PSC Assessment fees 2021 (003).xlsx</t>
  </si>
  <si>
    <t>DATA SOURCES:</t>
  </si>
  <si>
    <t>Income Statement_Report-Historic Statements CY 20.xlsx</t>
  </si>
  <si>
    <t>(000s)</t>
  </si>
  <si>
    <t>SOURCE:</t>
  </si>
  <si>
    <t>F.2.1 Schedule 04.30.20 - 03.31.21.xlsx</t>
  </si>
  <si>
    <t>F.1 Schedule 04.30.20 - 03.31.21.xlsx</t>
  </si>
  <si>
    <t>SOURCES:</t>
  </si>
  <si>
    <t>Income Statement - Taxes Other-2021.xlsx</t>
  </si>
  <si>
    <t>DATA SOURCE:</t>
  </si>
  <si>
    <t>KY Plant Data-2021_6-2-21.xlsx</t>
  </si>
  <si>
    <t>(3) No longer required to provide Computation of Earnings to Fixed charges in SEC filings.</t>
  </si>
  <si>
    <t>(4) The high cost of short-term debt for 2020 is due to fixed commitment fees and low short-term borrowings.</t>
  </si>
  <si>
    <t>Costs of Capital</t>
  </si>
  <si>
    <t xml:space="preserve">  SEC Coverage (3)</t>
  </si>
  <si>
    <t xml:space="preserve">  After Tax Fixed Charge Coverage (3)</t>
  </si>
  <si>
    <t>FR_16(8) (k)_Att1 - Schedule K.xlsx</t>
  </si>
  <si>
    <t>links to source doc</t>
  </si>
  <si>
    <t>base</t>
  </si>
  <si>
    <t>test</t>
  </si>
  <si>
    <t>G.2 Division 009 labor analysis-2021.xlsx</t>
  </si>
  <si>
    <t>KY 2021 Rate Case Tab G 2 Payroll Analysis-CY16-CY20 - mailout 021721.xlsx</t>
  </si>
  <si>
    <t>Witness: Christian</t>
  </si>
  <si>
    <t>Witness: Christian, Densman</t>
  </si>
  <si>
    <t>Witness: Faulk, Christian, Densman</t>
  </si>
  <si>
    <t>Witness: Faulk, Densman</t>
  </si>
  <si>
    <t>F-11</t>
  </si>
  <si>
    <t>F-12</t>
  </si>
  <si>
    <t>Schedule F-12</t>
  </si>
  <si>
    <t>Misc Regulatory Liabilities</t>
  </si>
  <si>
    <t>Distribution COS summary 5.31.21.xlsx</t>
  </si>
  <si>
    <t>G.1 KY Benefit Rates Calc FY21 Mailout.xlsx</t>
  </si>
  <si>
    <t>Payroll Taxes Expense Adjustment</t>
  </si>
  <si>
    <t>Adjustment %</t>
  </si>
  <si>
    <t>Adjusted Amount</t>
  </si>
  <si>
    <t>(exclusion for lobbying)</t>
  </si>
  <si>
    <t xml:space="preserve"> 2021 * * Composite Tax Rate Calculation:  5.00% + 21%(100% - 5.00%)  =  24.95%</t>
  </si>
  <si>
    <t>CWIP Without AFUDC</t>
  </si>
  <si>
    <t>NOTE: CWIP is excluded</t>
  </si>
  <si>
    <t>Regulatory Liabilities</t>
  </si>
  <si>
    <t>Cost of Service Reserve 2420-27910</t>
  </si>
  <si>
    <t>Accrual</t>
  </si>
  <si>
    <t>(13-Month Avg)</t>
  </si>
  <si>
    <t>Total Regulatory Liabilities</t>
  </si>
  <si>
    <t>Balance (13-Mo.)</t>
  </si>
  <si>
    <t>KY Depreciation Reg Liability Summary.xlsx</t>
  </si>
  <si>
    <t>(Rate Implementation March 2022)</t>
  </si>
  <si>
    <t>Amortization of COS and Depreciation Reserves</t>
  </si>
  <si>
    <t>this links to A.1 rathe than C.2 ratemaking adjustment; no ratebase adjustment has been made</t>
  </si>
  <si>
    <t>Regulatory Liability</t>
  </si>
  <si>
    <t>Depreciation Reserve 2540-27913</t>
  </si>
  <si>
    <t>Revenue Requirements (line 12 plus line 13)</t>
  </si>
  <si>
    <t>WP B.5 B1, WP B.5 F1</t>
  </si>
  <si>
    <t>(exclusion for lobbying: using higher percentage of 6.2% per 2020 invoice versus 3.8% per 2021 invoice)</t>
  </si>
  <si>
    <t>WP B-5 B1; F-6</t>
  </si>
  <si>
    <t>WP B-5 F1; F-6</t>
  </si>
  <si>
    <t>ADIT for KY 04-30-21.xlsx</t>
  </si>
  <si>
    <t>Deferred Income Taxes and Investment Tax Credits</t>
  </si>
  <si>
    <t>Wtd Avg</t>
  </si>
  <si>
    <t>SERP Expense</t>
  </si>
  <si>
    <t>SERP EXPENSE</t>
  </si>
  <si>
    <t>SERP Expense Adjustment</t>
  </si>
  <si>
    <t>Line 16 payroll tax expense adjust @ 6.5%</t>
  </si>
  <si>
    <t>Links to schedule C.2</t>
  </si>
  <si>
    <t>F-1, F-6, F-8, F-9, F-10, F-11</t>
  </si>
  <si>
    <t>Most Recent Five Years*</t>
  </si>
  <si>
    <t>2023-2025 numeric inputs from enterprise model</t>
  </si>
  <si>
    <t>Prorated</t>
  </si>
  <si>
    <t>Cell I73: use Excel solver function such that I70 + I75 = 0</t>
  </si>
  <si>
    <t>Full Amortization Schedule</t>
  </si>
  <si>
    <t>Beginning Regulatory Liability</t>
  </si>
  <si>
    <t>Accelerated Unprotected</t>
  </si>
  <si>
    <t>Protected</t>
  </si>
  <si>
    <t>Unprotected</t>
  </si>
  <si>
    <t>New Rate Set</t>
  </si>
  <si>
    <t>Total Reg Liability</t>
  </si>
  <si>
    <t>First Change in Rates</t>
  </si>
  <si>
    <t>End of 5 Year Acceleration</t>
  </si>
  <si>
    <t>Test Period Ending Balance</t>
  </si>
  <si>
    <t>Test Period 13-Month Balance</t>
  </si>
  <si>
    <t>Test Period Amort. Expense</t>
  </si>
  <si>
    <t>Cost of Capital - D'Ascendis, D.</t>
  </si>
  <si>
    <t>Cases Combined</t>
  </si>
  <si>
    <t>* The Payroll System accumulates data most readily on a fiscal year basis (Oct. 1 - Sept. 30) rather than calendar basis.  However, data presented here on calendar year basis.</t>
  </si>
  <si>
    <t xml:space="preserve">of the base period when replaced by actuals.  Gas costs in the Forecasted Period are higher </t>
  </si>
  <si>
    <t>Witness:  Christian</t>
  </si>
  <si>
    <t xml:space="preserve">   (1)  Interest Rate is the actual average rate for 12 Months Ended March 31, 2021</t>
  </si>
  <si>
    <t>KY Co 50 G.3 - Exec Comp Apr20-Mar21 - mailout 052521_CONFIDENTIAL.xlsx</t>
  </si>
  <si>
    <t>Executive Chairman</t>
  </si>
  <si>
    <t>SVP, General Counsel &amp; Corporate Secretary (vacant from Mar17-Jul17, filled in Aug-17)</t>
  </si>
  <si>
    <t>President and CEO</t>
  </si>
  <si>
    <t>SVP, Human Resources (created in January 2017)</t>
  </si>
  <si>
    <t>Rate Strike Difference</t>
  </si>
  <si>
    <t>Subtotal (line 8 plus line 9 plus line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</si>
</sst>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_)"/>
    <numFmt numFmtId="166" formatCode="0.000000_)"/>
    <numFmt numFmtId="167" formatCode="mm/dd/yy_)"/>
    <numFmt numFmtId="168" formatCode="hh:mm:ss_)"/>
    <numFmt numFmtId="169" formatCode="0.000%"/>
    <numFmt numFmtId="170" formatCode="0.0000%"/>
    <numFmt numFmtId="171" formatCode="#,##0.0_);\(#,##0.0\)"/>
    <numFmt numFmtId="172" formatCode="0.000_)"/>
    <numFmt numFmtId="173" formatCode="0.0%"/>
    <numFmt numFmtId="174" formatCode="0.000000%"/>
    <numFmt numFmtId="175" formatCode="#,##0.000_);\(#,##0.000\)"/>
    <numFmt numFmtId="176" formatCode="#,##0.000000_);\(#,##0.000000\)"/>
    <numFmt numFmtId="177" formatCode="_(* #,##0.0000_);_(* \(#,##0.0000\);_(* &quot;-&quot;??_);_(@_)"/>
    <numFmt numFmtId="178" formatCode="_(* #,##0.00000_);_(* \(#,##0.00000\);_(* &quot;-&quot;??_);_(@_)"/>
    <numFmt numFmtId="179" formatCode="0.00000%"/>
    <numFmt numFmtId="180" formatCode="0_);\(0\)"/>
    <numFmt numFmtId="181" formatCode="&quot;$&quot;#,##0"/>
    <numFmt numFmtId="182" formatCode="_(&quot;$&quot;* #,##0_);_(&quot;$&quot;* \(#,##0\);_(&quot;$&quot;* &quot;-&quot;??_);_(@_)"/>
    <numFmt numFmtId="183" formatCode="0000"/>
    <numFmt numFmtId="184" formatCode="000.0"/>
    <numFmt numFmtId="185" formatCode="_(* #,##0_);_(* \(#,##0\);_(* &quot;-&quot;??_);_(@_)"/>
    <numFmt numFmtId="186" formatCode="[$-409]mmm\-yy;@"/>
    <numFmt numFmtId="187" formatCode="_(* #,##0.0_);_(* \(#,##0.0\);_(* &quot;-&quot;??_);_(@_)"/>
    <numFmt numFmtId="188" formatCode="0.0000000%"/>
    <numFmt numFmtId="189" formatCode="mm/dd/yy;@"/>
    <numFmt numFmtId="190" formatCode="#,##0.0000_);\(#,##0.0000\)"/>
    <numFmt numFmtId="191" formatCode="0.000000000000000%"/>
  </numFmts>
  <fonts count="84">
    <font>
      <sz val="12"/>
      <name val="Helvetica-Narrow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Helvetica-Narrow"/>
      <family val="2"/>
    </font>
    <font>
      <b/>
      <sz val="12"/>
      <name val="Helvetica-Narrow"/>
      <family val="2"/>
    </font>
    <font>
      <u/>
      <sz val="12"/>
      <name val="Helvetica-Narrow"/>
      <family val="2"/>
    </font>
    <font>
      <u val="double"/>
      <sz val="12"/>
      <name val="Helvetica-Narrow"/>
      <family val="2"/>
    </font>
    <font>
      <sz val="12"/>
      <color indexed="12"/>
      <name val="Helvetica-Narrow"/>
      <family val="2"/>
    </font>
    <font>
      <sz val="12"/>
      <name val="Helvetica-Narrow"/>
      <family val="2"/>
    </font>
    <font>
      <sz val="12"/>
      <color indexed="10"/>
      <name val="Helvetica-Narrow"/>
      <family val="2"/>
    </font>
    <font>
      <sz val="12"/>
      <color indexed="10"/>
      <name val="Helvetica-Narrow"/>
    </font>
    <font>
      <sz val="12"/>
      <color indexed="12"/>
      <name val="Helvetica-Narrow"/>
    </font>
    <font>
      <sz val="12"/>
      <name val="Helvetica-Narrow"/>
    </font>
    <font>
      <u/>
      <sz val="12"/>
      <name val="Helvetica-Narrow"/>
    </font>
    <font>
      <b/>
      <sz val="12"/>
      <name val="Helvetica-Narrow"/>
    </font>
    <font>
      <u val="double"/>
      <sz val="12"/>
      <name val="Helvetica-Narrow"/>
    </font>
    <font>
      <b/>
      <sz val="12"/>
      <color indexed="14"/>
      <name val="Helvetica-Narrow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Helvetica-Narrow"/>
      <family val="2"/>
    </font>
    <font>
      <sz val="8"/>
      <name val="Helvetica-Narrow"/>
      <family val="2"/>
    </font>
    <font>
      <sz val="12"/>
      <color indexed="20"/>
      <name val="Helvetica-Narrow"/>
      <family val="2"/>
    </font>
    <font>
      <sz val="12"/>
      <color indexed="20"/>
      <name val="Helvetica-Narrow"/>
    </font>
    <font>
      <sz val="10"/>
      <name val="Arial"/>
      <family val="2"/>
    </font>
    <font>
      <u/>
      <sz val="9"/>
      <color indexed="12"/>
      <name val="Helvetica-Narrow"/>
      <family val="2"/>
    </font>
    <font>
      <sz val="10"/>
      <name val="Arial"/>
      <family val="2"/>
    </font>
    <font>
      <b/>
      <sz val="10"/>
      <name val="Times New Roman"/>
      <family val="1"/>
    </font>
    <font>
      <b/>
      <i/>
      <sz val="16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name val="Helvetica-Narrow"/>
      <family val="2"/>
    </font>
    <font>
      <b/>
      <u/>
      <sz val="12"/>
      <name val="Helvetica-Narrow"/>
    </font>
    <font>
      <sz val="12"/>
      <name val="Helvetica-Narrow"/>
      <family val="2"/>
    </font>
    <font>
      <sz val="9"/>
      <name val="Helvetica-Narrow"/>
      <family val="2"/>
    </font>
    <font>
      <sz val="12"/>
      <name val="Helvetica Narrow"/>
      <family val="2"/>
    </font>
    <font>
      <b/>
      <sz val="9"/>
      <name val="Helvetica-Narrow"/>
      <family val="2"/>
    </font>
    <font>
      <sz val="12"/>
      <name val="Helvetica-Narrow"/>
      <family val="2"/>
    </font>
    <font>
      <u/>
      <sz val="12"/>
      <color indexed="12"/>
      <name val="Helvetica-Narrow"/>
      <family val="2"/>
    </font>
    <font>
      <sz val="12"/>
      <color rgb="FF0000FF"/>
      <name val="Helvetica-Narrow"/>
      <family val="2"/>
    </font>
    <font>
      <b/>
      <sz val="12"/>
      <color rgb="FF0000FF"/>
      <name val="Helvetica-Narrow"/>
    </font>
    <font>
      <sz val="12"/>
      <color rgb="FF0000FF"/>
      <name val="Helvetica-Narrow"/>
    </font>
    <font>
      <sz val="12"/>
      <color rgb="FFFF0000"/>
      <name val="Helvetica-Narrow"/>
      <family val="2"/>
    </font>
    <font>
      <b/>
      <sz val="12"/>
      <color rgb="FF00B050"/>
      <name val="Helvetica-Narrow"/>
    </font>
    <font>
      <sz val="10"/>
      <color rgb="FF0000FF"/>
      <name val="Helvetica-Narrow"/>
      <family val="2"/>
    </font>
    <font>
      <sz val="12"/>
      <color rgb="FF0000FF"/>
      <name val="Times New Roman"/>
      <family val="1"/>
    </font>
    <font>
      <b/>
      <u/>
      <sz val="10.8"/>
      <name val="Helvetica-Narrow"/>
    </font>
    <font>
      <u/>
      <sz val="12"/>
      <name val="Helvetica Narrow"/>
      <family val="2"/>
    </font>
    <font>
      <sz val="12"/>
      <color theme="0" tint="-0.34998626667073579"/>
      <name val="Helvetica-Narrow"/>
      <family val="2"/>
    </font>
    <font>
      <sz val="12"/>
      <color theme="0" tint="-0.249977111117893"/>
      <name val="Helvetica-Narrow"/>
    </font>
    <font>
      <sz val="12"/>
      <color theme="0" tint="-0.249977111117893"/>
      <name val="Helvetica-Narrow"/>
      <family val="2"/>
    </font>
    <font>
      <b/>
      <sz val="12"/>
      <color rgb="FFFF0000"/>
      <name val="Helvetica-Narrow"/>
    </font>
    <font>
      <b/>
      <sz val="10"/>
      <color rgb="FFFF0000"/>
      <name val="Arial"/>
      <family val="2"/>
    </font>
    <font>
      <sz val="12"/>
      <color theme="0" tint="-0.499984740745262"/>
      <name val="Helvetica-Narrow"/>
      <family val="2"/>
    </font>
    <font>
      <sz val="10"/>
      <color theme="0" tint="-0.499984740745262"/>
      <name val="Helvetica-Narrow"/>
      <family val="2"/>
    </font>
    <font>
      <u/>
      <sz val="12"/>
      <color rgb="FF0000FF"/>
      <name val="Helvetica-Narrow"/>
      <family val="2"/>
    </font>
    <font>
      <sz val="10"/>
      <name val="Arial"/>
      <family val="2"/>
    </font>
    <font>
      <sz val="12"/>
      <color rgb="FFFF0000"/>
      <name val="Helvetica-Narrow"/>
    </font>
    <font>
      <sz val="10.8"/>
      <color rgb="FFFF0000"/>
      <name val="Helvetica-Narrow"/>
    </font>
    <font>
      <sz val="12"/>
      <color theme="0"/>
      <name val="Helvetica-Narrow"/>
      <family val="2"/>
    </font>
    <font>
      <b/>
      <vertAlign val="superscript"/>
      <sz val="8.4"/>
      <name val="Helvetica-Narrow"/>
    </font>
    <font>
      <i/>
      <sz val="12"/>
      <name val="Helvetica-Narrow"/>
    </font>
    <font>
      <i/>
      <vertAlign val="superscript"/>
      <sz val="8.4"/>
      <name val="Helvetica-Narrow"/>
    </font>
    <font>
      <i/>
      <sz val="8"/>
      <name val="Helvetica-Narrow"/>
    </font>
    <font>
      <sz val="12"/>
      <name val="Arial MT"/>
    </font>
    <font>
      <sz val="10"/>
      <name val="Helvetica-Narrow"/>
    </font>
    <font>
      <sz val="11"/>
      <color rgb="FF000000"/>
      <name val="Calibri"/>
      <family val="2"/>
    </font>
    <font>
      <sz val="12"/>
      <color rgb="FF7030A0"/>
      <name val="Helvetica-Narrow"/>
      <family val="2"/>
    </font>
    <font>
      <sz val="12"/>
      <color rgb="FF008000"/>
      <name val="Helvetica-Narrow"/>
      <family val="2"/>
    </font>
    <font>
      <sz val="12"/>
      <color rgb="FF7030A0"/>
      <name val="Helvetica-Narrow"/>
    </font>
    <font>
      <sz val="12"/>
      <color rgb="FF008000"/>
      <name val="Helvetica-Narrow"/>
    </font>
    <font>
      <sz val="10"/>
      <color theme="1"/>
      <name val="Arial"/>
      <family val="2"/>
    </font>
    <font>
      <sz val="10"/>
      <color rgb="FFFF0000"/>
      <name val="Helvetica-Narrow"/>
    </font>
    <font>
      <sz val="10"/>
      <color rgb="FFFF0000"/>
      <name val="Helvetica-Narrow"/>
      <family val="2"/>
    </font>
    <font>
      <i/>
      <sz val="10"/>
      <color rgb="FFFF0000"/>
      <name val="Helvetica-Narrow"/>
    </font>
    <font>
      <i/>
      <sz val="10"/>
      <name val="Helvetica-Narrow"/>
    </font>
    <font>
      <b/>
      <i/>
      <sz val="12"/>
      <name val="Helvetica-Narrow"/>
    </font>
    <font>
      <sz val="12"/>
      <color rgb="FF0070C0"/>
      <name val="Helvetica-Narrow"/>
    </font>
    <font>
      <sz val="12"/>
      <color rgb="FF0070C0"/>
      <name val="Helvetica-Narrow"/>
      <family val="2"/>
    </font>
    <font>
      <b/>
      <sz val="11"/>
      <name val="Helvetica-Narrow"/>
    </font>
    <font>
      <b/>
      <sz val="10"/>
      <name val="Helvetica-Narrow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4">
    <xf numFmtId="37" fontId="0" fillId="0" borderId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8" fillId="0" borderId="0"/>
    <xf numFmtId="37" fontId="3" fillId="0" borderId="0" applyProtection="0"/>
    <xf numFmtId="0" fontId="24" fillId="0" borderId="0"/>
    <xf numFmtId="0" fontId="24" fillId="0" borderId="0"/>
    <xf numFmtId="40" fontId="29" fillId="2" borderId="0">
      <alignment horizontal="right"/>
    </xf>
    <xf numFmtId="0" fontId="30" fillId="3" borderId="0">
      <alignment horizontal="center"/>
    </xf>
    <xf numFmtId="0" fontId="31" fillId="2" borderId="1"/>
    <xf numFmtId="0" fontId="32" fillId="0" borderId="0" applyBorder="0">
      <alignment horizontal="centerContinuous"/>
    </xf>
    <xf numFmtId="0" fontId="33" fillId="0" borderId="0" applyBorder="0">
      <alignment horizontal="centerContinuous"/>
    </xf>
    <xf numFmtId="9" fontId="2" fillId="0" borderId="0" applyFont="0" applyFill="0" applyBorder="0" applyAlignment="0" applyProtection="0"/>
    <xf numFmtId="0" fontId="59" fillId="0" borderId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59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7" fontId="3" fillId="0" borderId="0" applyProtection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0" borderId="0"/>
    <xf numFmtId="0" fontId="1" fillId="0" borderId="0"/>
    <xf numFmtId="0" fontId="24" fillId="0" borderId="0"/>
    <xf numFmtId="9" fontId="2" fillId="0" borderId="0" applyFont="0" applyFill="0" applyBorder="0" applyAlignment="0" applyProtection="0"/>
    <xf numFmtId="0" fontId="69" fillId="0" borderId="0" applyNumberFormat="0" applyBorder="0" applyAlignment="0"/>
    <xf numFmtId="37" fontId="3" fillId="0" borderId="0" applyProtection="0"/>
  </cellStyleXfs>
  <cellXfs count="1304">
    <xf numFmtId="37" fontId="0" fillId="0" borderId="0" xfId="0"/>
    <xf numFmtId="37" fontId="3" fillId="0" borderId="0" xfId="0" applyFont="1"/>
    <xf numFmtId="37" fontId="3" fillId="0" borderId="0" xfId="0" applyFont="1" applyAlignment="1" applyProtection="1">
      <alignment horizontal="center"/>
    </xf>
    <xf numFmtId="164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2" xfId="0" applyFont="1" applyBorder="1" applyAlignment="1" applyProtection="1">
      <alignment horizontal="left"/>
    </xf>
    <xf numFmtId="37" fontId="3" fillId="0" borderId="2" xfId="0" applyFont="1" applyBorder="1"/>
    <xf numFmtId="165" fontId="3" fillId="0" borderId="2" xfId="0" applyNumberFormat="1" applyFont="1" applyBorder="1" applyProtection="1"/>
    <xf numFmtId="165" fontId="3" fillId="0" borderId="0" xfId="0" applyNumberFormat="1" applyFont="1" applyProtection="1"/>
    <xf numFmtId="37" fontId="3" fillId="0" borderId="2" xfId="0" applyFont="1" applyBorder="1" applyAlignment="1" applyProtection="1">
      <alignment horizontal="center"/>
    </xf>
    <xf numFmtId="37" fontId="3" fillId="0" borderId="0" xfId="0" applyNumberFormat="1" applyFont="1" applyProtection="1"/>
    <xf numFmtId="10" fontId="3" fillId="0" borderId="0" xfId="0" applyNumberFormat="1" applyFont="1" applyProtection="1"/>
    <xf numFmtId="37" fontId="4" fillId="0" borderId="0" xfId="0" applyFont="1"/>
    <xf numFmtId="37" fontId="3" fillId="0" borderId="3" xfId="0" applyFont="1" applyBorder="1"/>
    <xf numFmtId="168" fontId="3" fillId="0" borderId="0" xfId="0" applyNumberFormat="1" applyFont="1" applyProtection="1"/>
    <xf numFmtId="37" fontId="5" fillId="0" borderId="0" xfId="0" applyFont="1"/>
    <xf numFmtId="37" fontId="5" fillId="0" borderId="0" xfId="0" applyFont="1" applyAlignment="1" applyProtection="1">
      <alignment horizontal="left"/>
    </xf>
    <xf numFmtId="37" fontId="3" fillId="0" borderId="0" xfId="0" applyNumberFormat="1" applyFont="1" applyAlignment="1" applyProtection="1">
      <alignment horizontal="right"/>
    </xf>
    <xf numFmtId="173" fontId="3" fillId="0" borderId="0" xfId="0" applyNumberFormat="1" applyFont="1" applyProtection="1"/>
    <xf numFmtId="37" fontId="3" fillId="0" borderId="0" xfId="0" applyNumberFormat="1" applyFont="1" applyAlignment="1" applyProtection="1">
      <alignment horizontal="center"/>
    </xf>
    <xf numFmtId="37" fontId="5" fillId="0" borderId="0" xfId="0" applyFont="1" applyAlignment="1" applyProtection="1">
      <alignment horizontal="center"/>
    </xf>
    <xf numFmtId="174" fontId="3" fillId="0" borderId="0" xfId="0" applyNumberFormat="1" applyFont="1" applyProtection="1"/>
    <xf numFmtId="37" fontId="7" fillId="0" borderId="0" xfId="0" applyFont="1" applyProtection="1">
      <protection locked="0"/>
    </xf>
    <xf numFmtId="37" fontId="4" fillId="0" borderId="0" xfId="0" applyFont="1" applyAlignment="1" applyProtection="1">
      <alignment horizontal="left"/>
    </xf>
    <xf numFmtId="5" fontId="3" fillId="0" borderId="0" xfId="0" applyNumberFormat="1" applyFont="1" applyProtection="1"/>
    <xf numFmtId="171" fontId="3" fillId="0" borderId="0" xfId="0" applyNumberFormat="1" applyFont="1" applyProtection="1"/>
    <xf numFmtId="37" fontId="3" fillId="0" borderId="0" xfId="0" applyFont="1" applyAlignment="1">
      <alignment horizontal="centerContinuous"/>
    </xf>
    <xf numFmtId="37" fontId="3" fillId="0" borderId="0" xfId="0" applyFont="1" applyAlignment="1" applyProtection="1">
      <alignment horizontal="centerContinuous"/>
    </xf>
    <xf numFmtId="37" fontId="3" fillId="0" borderId="5" xfId="0" applyFont="1" applyBorder="1" applyAlignment="1" applyProtection="1">
      <alignment horizontal="center"/>
    </xf>
    <xf numFmtId="37" fontId="3" fillId="0" borderId="5" xfId="0" applyFont="1" applyBorder="1"/>
    <xf numFmtId="37" fontId="3" fillId="0" borderId="0" xfId="0" applyFont="1" applyBorder="1" applyAlignment="1" applyProtection="1">
      <alignment horizontal="center"/>
    </xf>
    <xf numFmtId="37" fontId="3" fillId="0" borderId="0" xfId="0" applyFont="1" applyBorder="1"/>
    <xf numFmtId="37" fontId="3" fillId="0" borderId="0" xfId="0" applyFont="1" applyAlignment="1"/>
    <xf numFmtId="37" fontId="3" fillId="0" borderId="0" xfId="0" applyFont="1" applyAlignment="1" applyProtection="1"/>
    <xf numFmtId="37" fontId="3" fillId="0" borderId="2" xfId="0" applyFont="1" applyBorder="1" applyAlignment="1"/>
    <xf numFmtId="37" fontId="3" fillId="0" borderId="2" xfId="0" applyFont="1" applyBorder="1" applyAlignment="1" applyProtection="1"/>
    <xf numFmtId="37" fontId="8" fillId="0" borderId="0" xfId="0" applyFont="1"/>
    <xf numFmtId="37" fontId="5" fillId="0" borderId="0" xfId="0" applyFont="1" applyAlignment="1" applyProtection="1">
      <alignment horizontal="left"/>
      <protection locked="0"/>
    </xf>
    <xf numFmtId="37" fontId="3" fillId="0" borderId="0" xfId="0" applyNumberFormat="1" applyFont="1" applyBorder="1" applyProtection="1"/>
    <xf numFmtId="176" fontId="3" fillId="0" borderId="0" xfId="0" applyNumberFormat="1" applyFont="1" applyProtection="1"/>
    <xf numFmtId="10" fontId="3" fillId="0" borderId="0" xfId="13" applyNumberFormat="1" applyFont="1" applyProtection="1"/>
    <xf numFmtId="10" fontId="3" fillId="0" borderId="0" xfId="13" applyNumberFormat="1" applyFont="1"/>
    <xf numFmtId="37" fontId="3" fillId="0" borderId="0" xfId="0" applyFont="1" applyBorder="1" applyAlignment="1" applyProtection="1">
      <alignment horizontal="left"/>
    </xf>
    <xf numFmtId="37" fontId="3" fillId="0" borderId="0" xfId="0" applyFont="1" applyBorder="1" applyAlignment="1" applyProtection="1"/>
    <xf numFmtId="37" fontId="3" fillId="0" borderId="0" xfId="0" applyFont="1" applyBorder="1" applyAlignment="1"/>
    <xf numFmtId="37" fontId="3" fillId="0" borderId="5" xfId="0" applyFont="1" applyBorder="1" applyAlignment="1" applyProtection="1">
      <alignment horizontal="left"/>
    </xf>
    <xf numFmtId="37" fontId="0" fillId="0" borderId="5" xfId="0" applyBorder="1"/>
    <xf numFmtId="37" fontId="0" fillId="0" borderId="0" xfId="0" applyAlignment="1">
      <alignment horizontal="center"/>
    </xf>
    <xf numFmtId="37" fontId="3" fillId="0" borderId="0" xfId="0" applyFont="1" applyAlignment="1">
      <alignment horizontal="center"/>
    </xf>
    <xf numFmtId="10" fontId="0" fillId="0" borderId="0" xfId="13" applyNumberFormat="1" applyFont="1"/>
    <xf numFmtId="37" fontId="3" fillId="0" borderId="5" xfId="0" applyFont="1" applyBorder="1" applyAlignment="1">
      <alignment horizontal="center"/>
    </xf>
    <xf numFmtId="37" fontId="0" fillId="0" borderId="0" xfId="0" applyBorder="1"/>
    <xf numFmtId="37" fontId="0" fillId="0" borderId="5" xfId="0" applyBorder="1" applyAlignment="1">
      <alignment horizontal="center"/>
    </xf>
    <xf numFmtId="37" fontId="3" fillId="0" borderId="7" xfId="0" applyFont="1" applyBorder="1"/>
    <xf numFmtId="37" fontId="8" fillId="0" borderId="5" xfId="0" applyFont="1" applyBorder="1"/>
    <xf numFmtId="37" fontId="11" fillId="0" borderId="0" xfId="0" applyNumberFormat="1" applyFont="1" applyProtection="1"/>
    <xf numFmtId="37" fontId="12" fillId="0" borderId="0" xfId="0" applyFont="1"/>
    <xf numFmtId="37" fontId="12" fillId="0" borderId="0" xfId="0" applyNumberFormat="1" applyFont="1" applyProtection="1"/>
    <xf numFmtId="37" fontId="0" fillId="0" borderId="0" xfId="0" applyBorder="1" applyAlignment="1">
      <alignment horizontal="center"/>
    </xf>
    <xf numFmtId="37" fontId="12" fillId="0" borderId="0" xfId="0" applyFont="1" applyAlignment="1" applyProtection="1">
      <alignment horizontal="centerContinuous"/>
      <protection locked="0"/>
    </xf>
    <xf numFmtId="37" fontId="12" fillId="0" borderId="0" xfId="0" applyFont="1" applyAlignment="1" applyProtection="1">
      <alignment horizontal="left"/>
    </xf>
    <xf numFmtId="10" fontId="11" fillId="0" borderId="0" xfId="0" applyNumberFormat="1" applyFont="1" applyProtection="1"/>
    <xf numFmtId="9" fontId="11" fillId="0" borderId="0" xfId="13" applyFont="1"/>
    <xf numFmtId="37" fontId="11" fillId="0" borderId="0" xfId="0" applyNumberFormat="1" applyFont="1" applyFill="1" applyProtection="1"/>
    <xf numFmtId="37" fontId="3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Fill="1" applyProtection="1"/>
    <xf numFmtId="37" fontId="3" fillId="0" borderId="0" xfId="0" applyFont="1" applyFill="1" applyBorder="1"/>
    <xf numFmtId="37" fontId="3" fillId="0" borderId="0" xfId="0" applyFont="1" applyFill="1" applyBorder="1" applyAlignment="1" applyProtection="1">
      <alignment horizontal="center"/>
    </xf>
    <xf numFmtId="37" fontId="3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Protection="1"/>
    <xf numFmtId="37" fontId="8" fillId="0" borderId="0" xfId="0" applyFont="1" applyAlignment="1">
      <alignment horizontal="center"/>
    </xf>
    <xf numFmtId="39" fontId="0" fillId="0" borderId="0" xfId="0" applyNumberFormat="1"/>
    <xf numFmtId="37" fontId="0" fillId="0" borderId="0" xfId="0" applyFill="1"/>
    <xf numFmtId="37" fontId="3" fillId="0" borderId="0" xfId="0" applyFont="1" applyFill="1"/>
    <xf numFmtId="37" fontId="3" fillId="0" borderId="5" xfId="0" applyFont="1" applyFill="1" applyBorder="1"/>
    <xf numFmtId="37" fontId="3" fillId="0" borderId="5" xfId="0" applyNumberFormat="1" applyFont="1" applyFill="1" applyBorder="1" applyProtection="1"/>
    <xf numFmtId="37" fontId="12" fillId="0" borderId="0" xfId="0" applyNumberFormat="1" applyFont="1" applyBorder="1" applyProtection="1"/>
    <xf numFmtId="37" fontId="3" fillId="0" borderId="2" xfId="0" applyNumberFormat="1" applyFont="1" applyFill="1" applyBorder="1" applyProtection="1"/>
    <xf numFmtId="37" fontId="12" fillId="0" borderId="0" xfId="0" applyNumberFormat="1" applyFont="1" applyFill="1" applyProtection="1"/>
    <xf numFmtId="37" fontId="12" fillId="0" borderId="0" xfId="0" applyNumberFormat="1" applyFont="1" applyFill="1" applyBorder="1" applyProtection="1"/>
    <xf numFmtId="37" fontId="3" fillId="0" borderId="0" xfId="0" applyFont="1" applyFill="1" applyAlignment="1" applyProtection="1">
      <alignment horizontal="left"/>
    </xf>
    <xf numFmtId="37" fontId="0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left"/>
    </xf>
    <xf numFmtId="37" fontId="0" fillId="0" borderId="2" xfId="0" applyFont="1" applyBorder="1" applyAlignment="1" applyProtection="1">
      <alignment horizontal="left"/>
    </xf>
    <xf numFmtId="37" fontId="0" fillId="0" borderId="0" xfId="0" applyFont="1"/>
    <xf numFmtId="37" fontId="0" fillId="0" borderId="0" xfId="0" applyFont="1" applyBorder="1"/>
    <xf numFmtId="37" fontId="12" fillId="0" borderId="0" xfId="0" applyFont="1" applyBorder="1"/>
    <xf numFmtId="37" fontId="0" fillId="0" borderId="5" xfId="0" applyFont="1" applyBorder="1"/>
    <xf numFmtId="37" fontId="12" fillId="0" borderId="0" xfId="0" applyFont="1" applyFill="1"/>
    <xf numFmtId="37" fontId="0" fillId="0" borderId="2" xfId="0" applyFont="1" applyBorder="1"/>
    <xf numFmtId="37" fontId="0" fillId="0" borderId="0" xfId="0" applyFont="1" applyAlignment="1">
      <alignment horizontal="centerContinuous"/>
    </xf>
    <xf numFmtId="37" fontId="0" fillId="0" borderId="0" xfId="0" applyFont="1" applyAlignment="1">
      <alignment horizontal="center"/>
    </xf>
    <xf numFmtId="37" fontId="0" fillId="0" borderId="0" xfId="0" applyFont="1" applyAlignment="1" applyProtection="1">
      <alignment horizontal="center"/>
    </xf>
    <xf numFmtId="37" fontId="0" fillId="0" borderId="2" xfId="0" applyFont="1" applyBorder="1" applyAlignment="1" applyProtection="1">
      <alignment horizontal="center"/>
    </xf>
    <xf numFmtId="37" fontId="14" fillId="0" borderId="0" xfId="0" applyFont="1"/>
    <xf numFmtId="37" fontId="0" fillId="0" borderId="0" xfId="0" applyFont="1" applyFill="1"/>
    <xf numFmtId="37" fontId="0" fillId="0" borderId="0" xfId="0" applyFont="1" applyProtection="1"/>
    <xf numFmtId="10" fontId="0" fillId="0" borderId="0" xfId="0" applyNumberFormat="1" applyFont="1" applyProtection="1"/>
    <xf numFmtId="37" fontId="0" fillId="0" borderId="0" xfId="0" applyNumberFormat="1" applyFont="1" applyProtection="1"/>
    <xf numFmtId="37" fontId="12" fillId="0" borderId="0" xfId="0" applyFont="1" applyFill="1" applyBorder="1"/>
    <xf numFmtId="37" fontId="0" fillId="0" borderId="0" xfId="0" applyNumberFormat="1" applyFont="1" applyFill="1" applyProtection="1"/>
    <xf numFmtId="37" fontId="0" fillId="0" borderId="2" xfId="0" applyNumberFormat="1" applyFont="1" applyFill="1" applyBorder="1" applyProtection="1"/>
    <xf numFmtId="164" fontId="3" fillId="0" borderId="0" xfId="0" applyNumberFormat="1" applyFont="1" applyFill="1" applyProtection="1"/>
    <xf numFmtId="10" fontId="12" fillId="0" borderId="0" xfId="13" applyNumberFormat="1" applyFont="1" applyProtection="1"/>
    <xf numFmtId="10" fontId="3" fillId="0" borderId="0" xfId="0" applyNumberFormat="1" applyFont="1" applyFill="1" applyProtection="1"/>
    <xf numFmtId="10" fontId="6" fillId="0" borderId="0" xfId="0" applyNumberFormat="1" applyFont="1" applyFill="1" applyProtection="1"/>
    <xf numFmtId="37" fontId="16" fillId="0" borderId="0" xfId="0" applyFont="1"/>
    <xf numFmtId="37" fontId="11" fillId="0" borderId="0" xfId="0" applyFont="1" applyFill="1" applyAlignment="1" applyProtection="1">
      <alignment horizontal="left"/>
    </xf>
    <xf numFmtId="37" fontId="3" fillId="0" borderId="0" xfId="0" applyFont="1" applyFill="1" applyAlignment="1" applyProtection="1">
      <alignment horizontal="center"/>
    </xf>
    <xf numFmtId="37" fontId="0" fillId="0" borderId="0" xfId="0" applyNumberFormat="1"/>
    <xf numFmtId="37" fontId="0" fillId="0" borderId="3" xfId="0" applyFont="1" applyBorder="1"/>
    <xf numFmtId="37" fontId="0" fillId="0" borderId="3" xfId="0" applyFont="1" applyBorder="1" applyAlignment="1" applyProtection="1">
      <alignment horizontal="center"/>
    </xf>
    <xf numFmtId="37" fontId="0" fillId="0" borderId="0" xfId="0" applyFont="1" applyFill="1" applyAlignment="1" applyProtection="1">
      <alignment horizontal="center"/>
    </xf>
    <xf numFmtId="37" fontId="0" fillId="0" borderId="0" xfId="0" quotePrefix="1" applyFont="1" applyAlignment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Fill="1" applyProtection="1">
      <protection locked="0"/>
    </xf>
    <xf numFmtId="37" fontId="12" fillId="0" borderId="2" xfId="0" applyNumberFormat="1" applyFont="1" applyFill="1" applyBorder="1" applyProtection="1"/>
    <xf numFmtId="37" fontId="0" fillId="0" borderId="0" xfId="0" applyAlignment="1" applyProtection="1">
      <alignment horizontal="left"/>
    </xf>
    <xf numFmtId="37" fontId="16" fillId="0" borderId="0" xfId="0" applyFont="1" applyFill="1"/>
    <xf numFmtId="10" fontId="0" fillId="0" borderId="0" xfId="0" applyNumberFormat="1" applyFont="1" applyAlignment="1" applyProtection="1">
      <alignment horizontal="center"/>
    </xf>
    <xf numFmtId="10" fontId="0" fillId="0" borderId="0" xfId="0" applyNumberFormat="1" applyFont="1" applyAlignment="1" applyProtection="1">
      <alignment horizontal="left"/>
    </xf>
    <xf numFmtId="37" fontId="0" fillId="0" borderId="2" xfId="0" applyFont="1" applyBorder="1" applyAlignment="1" applyProtection="1">
      <alignment horizontal="left"/>
      <protection locked="0"/>
    </xf>
    <xf numFmtId="37" fontId="0" fillId="0" borderId="0" xfId="0" applyNumberFormat="1" applyFont="1" applyFill="1" applyProtection="1">
      <protection locked="0"/>
    </xf>
    <xf numFmtId="169" fontId="6" fillId="0" borderId="0" xfId="0" applyNumberFormat="1" applyFont="1" applyFill="1" applyProtection="1"/>
    <xf numFmtId="37" fontId="0" fillId="0" borderId="0" xfId="0" applyNumberFormat="1" applyFont="1" applyFill="1" applyAlignment="1" applyProtection="1">
      <alignment horizontal="left"/>
    </xf>
    <xf numFmtId="164" fontId="0" fillId="0" borderId="0" xfId="0" applyNumberFormat="1" applyFont="1" applyFill="1" applyProtection="1"/>
    <xf numFmtId="3" fontId="0" fillId="0" borderId="0" xfId="0" applyNumberFormat="1"/>
    <xf numFmtId="181" fontId="0" fillId="0" borderId="0" xfId="0" applyNumberFormat="1"/>
    <xf numFmtId="3" fontId="0" fillId="0" borderId="0" xfId="1" applyNumberFormat="1" applyFont="1"/>
    <xf numFmtId="181" fontId="17" fillId="0" borderId="0" xfId="0" applyNumberFormat="1" applyFont="1"/>
    <xf numFmtId="37" fontId="18" fillId="0" borderId="0" xfId="0" applyNumberFormat="1" applyFont="1"/>
    <xf numFmtId="37" fontId="19" fillId="0" borderId="0" xfId="0" applyFont="1"/>
    <xf numFmtId="37" fontId="20" fillId="0" borderId="0" xfId="0" applyFont="1"/>
    <xf numFmtId="37" fontId="3" fillId="0" borderId="0" xfId="0" applyFont="1" applyFill="1" applyAlignment="1">
      <alignment horizontal="centerContinuous"/>
    </xf>
    <xf numFmtId="37" fontId="3" fillId="0" borderId="2" xfId="0" applyFont="1" applyFill="1" applyBorder="1"/>
    <xf numFmtId="10" fontId="3" fillId="0" borderId="0" xfId="0" applyNumberFormat="1" applyFont="1"/>
    <xf numFmtId="37" fontId="12" fillId="0" borderId="0" xfId="0" applyNumberFormat="1" applyFont="1" applyFill="1" applyBorder="1" applyProtection="1">
      <protection locked="0"/>
    </xf>
    <xf numFmtId="37" fontId="3" fillId="0" borderId="5" xfId="0" applyFont="1" applyBorder="1" applyAlignment="1"/>
    <xf numFmtId="37" fontId="3" fillId="0" borderId="0" xfId="0" applyNumberFormat="1" applyFont="1" applyAlignment="1">
      <alignment horizontal="right"/>
    </xf>
    <xf numFmtId="37" fontId="3" fillId="0" borderId="0" xfId="0" applyFont="1" applyAlignment="1">
      <alignment horizontal="left" indent="2"/>
    </xf>
    <xf numFmtId="37" fontId="3" fillId="0" borderId="0" xfId="0" applyFont="1" applyAlignment="1">
      <alignment horizontal="left" indent="3"/>
    </xf>
    <xf numFmtId="169" fontId="3" fillId="0" borderId="5" xfId="13" applyNumberFormat="1" applyFont="1" applyBorder="1" applyAlignment="1" applyProtection="1">
      <alignment horizontal="right"/>
    </xf>
    <xf numFmtId="37" fontId="14" fillId="0" borderId="0" xfId="0" applyFont="1" applyAlignment="1">
      <alignment horizontal="left" indent="1"/>
    </xf>
    <xf numFmtId="37" fontId="14" fillId="0" borderId="0" xfId="0" applyNumberFormat="1" applyFont="1" applyBorder="1" applyAlignment="1" applyProtection="1">
      <alignment horizontal="right"/>
    </xf>
    <xf numFmtId="37" fontId="13" fillId="0" borderId="0" xfId="0" applyFont="1" applyAlignment="1"/>
    <xf numFmtId="10" fontId="3" fillId="0" borderId="0" xfId="13" applyNumberFormat="1" applyFont="1" applyAlignment="1"/>
    <xf numFmtId="173" fontId="3" fillId="0" borderId="0" xfId="0" applyNumberFormat="1" applyFont="1" applyFill="1" applyProtection="1"/>
    <xf numFmtId="37" fontId="3" fillId="0" borderId="0" xfId="0" applyFont="1" applyFill="1" applyAlignment="1" applyProtection="1">
      <alignment horizontal="centerContinuous"/>
    </xf>
    <xf numFmtId="37" fontId="3" fillId="0" borderId="0" xfId="0" applyNumberFormat="1" applyFont="1" applyBorder="1" applyAlignment="1" applyProtection="1">
      <alignment horizontal="center"/>
    </xf>
    <xf numFmtId="37" fontId="3" fillId="0" borderId="0" xfId="0" applyFont="1" applyFill="1" applyAlignment="1">
      <alignment horizontal="center"/>
    </xf>
    <xf numFmtId="37" fontId="3" fillId="0" borderId="0" xfId="0" applyFont="1" applyFill="1" applyAlignment="1">
      <alignment horizontal="right"/>
    </xf>
    <xf numFmtId="37" fontId="0" fillId="0" borderId="0" xfId="0" applyAlignment="1">
      <alignment horizontal="left"/>
    </xf>
    <xf numFmtId="37" fontId="0" fillId="0" borderId="0" xfId="0" applyFont="1" applyFill="1" applyAlignment="1" applyProtection="1">
      <alignment horizontal="centerContinuous"/>
    </xf>
    <xf numFmtId="37" fontId="23" fillId="0" borderId="0" xfId="0" applyFont="1" applyAlignment="1" applyProtection="1">
      <alignment horizontal="centerContinuous"/>
    </xf>
    <xf numFmtId="37" fontId="10" fillId="0" borderId="0" xfId="0" applyFont="1" applyFill="1" applyAlignment="1" applyProtection="1">
      <alignment horizontal="left"/>
    </xf>
    <xf numFmtId="37" fontId="0" fillId="0" borderId="0" xfId="0" applyFill="1" applyAlignment="1">
      <alignment horizontal="center"/>
    </xf>
    <xf numFmtId="43" fontId="26" fillId="0" borderId="0" xfId="1" applyFont="1"/>
    <xf numFmtId="43" fontId="26" fillId="0" borderId="0" xfId="1" applyFont="1" applyFill="1"/>
    <xf numFmtId="9" fontId="0" fillId="0" borderId="0" xfId="13" applyFont="1"/>
    <xf numFmtId="37" fontId="8" fillId="0" borderId="0" xfId="0" applyFont="1" applyAlignment="1" applyProtection="1">
      <alignment horizontal="left"/>
    </xf>
    <xf numFmtId="10" fontId="12" fillId="0" borderId="0" xfId="0" applyNumberFormat="1" applyFont="1" applyAlignment="1" applyProtection="1">
      <alignment horizontal="center"/>
    </xf>
    <xf numFmtId="0" fontId="24" fillId="0" borderId="0" xfId="7"/>
    <xf numFmtId="9" fontId="3" fillId="0" borderId="0" xfId="13" applyFont="1" applyProtection="1"/>
    <xf numFmtId="37" fontId="3" fillId="0" borderId="5" xfId="0" applyFont="1" applyFill="1" applyBorder="1" applyAlignment="1" applyProtection="1">
      <alignment horizontal="center"/>
    </xf>
    <xf numFmtId="37" fontId="3" fillId="0" borderId="0" xfId="0" applyFont="1" applyAlignment="1" applyProtection="1">
      <alignment horizontal="centerContinuous"/>
      <protection locked="0"/>
    </xf>
    <xf numFmtId="37" fontId="8" fillId="0" borderId="0" xfId="0" applyNumberFormat="1" applyFont="1" applyProtection="1"/>
    <xf numFmtId="37" fontId="8" fillId="0" borderId="0" xfId="0" applyFont="1" applyAlignment="1" applyProtection="1">
      <alignment horizontal="center"/>
    </xf>
    <xf numFmtId="37" fontId="8" fillId="0" borderId="5" xfId="0" applyNumberFormat="1" applyFont="1" applyBorder="1" applyProtection="1"/>
    <xf numFmtId="37" fontId="8" fillId="0" borderId="2" xfId="0" applyFont="1" applyBorder="1"/>
    <xf numFmtId="37" fontId="8" fillId="0" borderId="0" xfId="0" applyFont="1" applyBorder="1"/>
    <xf numFmtId="37" fontId="8" fillId="0" borderId="2" xfId="0" applyNumberFormat="1" applyFont="1" applyBorder="1" applyProtection="1"/>
    <xf numFmtId="37" fontId="8" fillId="0" borderId="0" xfId="0" applyNumberFormat="1" applyFont="1" applyFill="1" applyBorder="1" applyProtection="1"/>
    <xf numFmtId="37" fontId="8" fillId="0" borderId="0" xfId="0" applyFont="1" applyFill="1"/>
    <xf numFmtId="37" fontId="35" fillId="0" borderId="0" xfId="0" applyFont="1" applyAlignment="1" applyProtection="1">
      <alignment horizontal="left"/>
    </xf>
    <xf numFmtId="37" fontId="12" fillId="0" borderId="0" xfId="0" applyFont="1" applyAlignment="1">
      <alignment horizontal="centerContinuous"/>
    </xf>
    <xf numFmtId="37" fontId="8" fillId="0" borderId="0" xfId="0" applyFont="1" applyFill="1" applyAlignment="1">
      <alignment horizontal="centerContinuous"/>
    </xf>
    <xf numFmtId="37" fontId="8" fillId="0" borderId="2" xfId="0" applyFont="1" applyBorder="1" applyAlignment="1" applyProtection="1">
      <alignment horizontal="left"/>
    </xf>
    <xf numFmtId="37" fontId="8" fillId="0" borderId="2" xfId="0" applyFont="1" applyFill="1" applyBorder="1" applyAlignment="1" applyProtection="1">
      <alignment horizontal="left"/>
      <protection locked="0"/>
    </xf>
    <xf numFmtId="37" fontId="8" fillId="0" borderId="0" xfId="0" applyFont="1" applyAlignment="1" applyProtection="1">
      <alignment horizontal="left"/>
      <protection locked="0"/>
    </xf>
    <xf numFmtId="37" fontId="8" fillId="0" borderId="0" xfId="0" applyFont="1" applyAlignment="1" applyProtection="1">
      <alignment horizontal="center"/>
      <protection locked="0"/>
    </xf>
    <xf numFmtId="37" fontId="8" fillId="0" borderId="2" xfId="0" applyFont="1" applyBorder="1" applyAlignment="1" applyProtection="1">
      <alignment horizontal="left"/>
      <protection locked="0"/>
    </xf>
    <xf numFmtId="37" fontId="8" fillId="0" borderId="0" xfId="0" applyFont="1" applyBorder="1" applyAlignment="1">
      <alignment horizontal="center"/>
    </xf>
    <xf numFmtId="37" fontId="8" fillId="0" borderId="0" xfId="0" applyFont="1" applyFill="1" applyAlignment="1" applyProtection="1">
      <alignment horizontal="center"/>
    </xf>
    <xf numFmtId="37" fontId="20" fillId="0" borderId="0" xfId="0" applyFont="1" applyFill="1"/>
    <xf numFmtId="183" fontId="20" fillId="0" borderId="0" xfId="0" applyNumberFormat="1" applyFont="1" applyAlignment="1" applyProtection="1">
      <alignment horizontal="left"/>
      <protection locked="0"/>
    </xf>
    <xf numFmtId="37" fontId="36" fillId="0" borderId="0" xfId="0" applyFont="1"/>
    <xf numFmtId="37" fontId="36" fillId="2" borderId="0" xfId="0" applyFont="1" applyFill="1"/>
    <xf numFmtId="5" fontId="36" fillId="0" borderId="0" xfId="0" applyNumberFormat="1" applyFont="1" applyBorder="1"/>
    <xf numFmtId="37" fontId="36" fillId="0" borderId="0" xfId="0" applyFont="1" applyFill="1"/>
    <xf numFmtId="10" fontId="36" fillId="0" borderId="0" xfId="13" applyNumberFormat="1" applyFont="1"/>
    <xf numFmtId="37" fontId="36" fillId="0" borderId="0" xfId="0" applyFont="1" applyBorder="1"/>
    <xf numFmtId="37" fontId="36" fillId="0" borderId="0" xfId="0" applyFont="1" applyFill="1" applyBorder="1"/>
    <xf numFmtId="37" fontId="8" fillId="0" borderId="0" xfId="0" applyFont="1" applyProtection="1">
      <protection locked="0"/>
    </xf>
    <xf numFmtId="37" fontId="3" fillId="0" borderId="0" xfId="0" applyFont="1" applyBorder="1" applyAlignment="1">
      <alignment horizontal="center"/>
    </xf>
    <xf numFmtId="37" fontId="8" fillId="0" borderId="5" xfId="0" applyFont="1" applyBorder="1" applyAlignment="1">
      <alignment horizontal="center"/>
    </xf>
    <xf numFmtId="37" fontId="8" fillId="0" borderId="0" xfId="0" applyNumberFormat="1" applyFont="1" applyFill="1" applyProtection="1"/>
    <xf numFmtId="37" fontId="8" fillId="0" borderId="0" xfId="0" quotePrefix="1" applyFont="1" applyBorder="1" applyAlignment="1">
      <alignment horizontal="left"/>
    </xf>
    <xf numFmtId="10" fontId="8" fillId="0" borderId="0" xfId="13" applyNumberFormat="1" applyFont="1" applyBorder="1" applyAlignment="1">
      <alignment horizontal="left"/>
    </xf>
    <xf numFmtId="37" fontId="8" fillId="0" borderId="0" xfId="0" applyFont="1" applyAlignment="1">
      <alignment horizontal="left" indent="1"/>
    </xf>
    <xf numFmtId="10" fontId="8" fillId="0" borderId="0" xfId="0" applyNumberFormat="1" applyFont="1" applyProtection="1"/>
    <xf numFmtId="37" fontId="8" fillId="0" borderId="2" xfId="0" applyFont="1" applyBorder="1" applyAlignment="1" applyProtection="1">
      <alignment horizontal="center"/>
    </xf>
    <xf numFmtId="37" fontId="8" fillId="0" borderId="0" xfId="0" applyNumberFormat="1" applyFont="1" applyAlignment="1" applyProtection="1">
      <alignment horizontal="center"/>
    </xf>
    <xf numFmtId="37" fontId="8" fillId="0" borderId="0" xfId="0" applyFont="1" applyFill="1" applyBorder="1"/>
    <xf numFmtId="37" fontId="8" fillId="0" borderId="5" xfId="0" applyNumberFormat="1" applyFont="1" applyFill="1" applyBorder="1" applyProtection="1"/>
    <xf numFmtId="37" fontId="8" fillId="0" borderId="0" xfId="0" applyFont="1" applyAlignment="1"/>
    <xf numFmtId="37" fontId="8" fillId="0" borderId="0" xfId="0" applyFont="1" applyFill="1" applyAlignment="1" applyProtection="1">
      <alignment horizontal="left"/>
    </xf>
    <xf numFmtId="180" fontId="8" fillId="0" borderId="0" xfId="0" applyNumberFormat="1" applyFont="1" applyAlignment="1">
      <alignment horizontal="center"/>
    </xf>
    <xf numFmtId="37" fontId="38" fillId="0" borderId="0" xfId="0" applyFont="1"/>
    <xf numFmtId="37" fontId="8" fillId="0" borderId="2" xfId="0" applyFont="1" applyFill="1" applyBorder="1"/>
    <xf numFmtId="37" fontId="8" fillId="0" borderId="5" xfId="0" applyFont="1" applyFill="1" applyBorder="1"/>
    <xf numFmtId="37" fontId="8" fillId="0" borderId="0" xfId="0" applyNumberFormat="1" applyFont="1" applyFill="1" applyAlignment="1" applyProtection="1">
      <alignment horizontal="center"/>
    </xf>
    <xf numFmtId="37" fontId="12" fillId="0" borderId="2" xfId="0" applyFont="1" applyBorder="1" applyAlignment="1" applyProtection="1">
      <alignment horizontal="left"/>
    </xf>
    <xf numFmtId="37" fontId="12" fillId="0" borderId="2" xfId="0" applyFont="1" applyBorder="1"/>
    <xf numFmtId="37" fontId="12" fillId="0" borderId="0" xfId="0" applyFont="1" applyAlignment="1" applyProtection="1">
      <alignment horizontal="center"/>
    </xf>
    <xf numFmtId="37" fontId="12" fillId="0" borderId="0" xfId="0" applyFont="1" applyBorder="1" applyAlignment="1" applyProtection="1">
      <alignment horizontal="center"/>
    </xf>
    <xf numFmtId="10" fontId="12" fillId="0" borderId="0" xfId="0" applyNumberFormat="1" applyFont="1" applyBorder="1" applyProtection="1"/>
    <xf numFmtId="10" fontId="12" fillId="0" borderId="0" xfId="0" applyNumberFormat="1" applyFont="1" applyProtection="1"/>
    <xf numFmtId="37" fontId="8" fillId="0" borderId="0" xfId="0" applyFont="1" applyAlignment="1" applyProtection="1">
      <alignment horizontal="left" indent="2"/>
    </xf>
    <xf numFmtId="37" fontId="8" fillId="0" borderId="0" xfId="0" applyFont="1" applyAlignment="1">
      <alignment horizontal="left" indent="2"/>
    </xf>
    <xf numFmtId="37" fontId="3" fillId="0" borderId="23" xfId="0" applyFont="1" applyBorder="1"/>
    <xf numFmtId="37" fontId="8" fillId="0" borderId="0" xfId="0" applyFont="1" applyAlignment="1" applyProtection="1">
      <alignment horizontal="left" indent="1"/>
    </xf>
    <xf numFmtId="37" fontId="3" fillId="0" borderId="0" xfId="0" applyFont="1" applyProtection="1">
      <protection locked="0"/>
    </xf>
    <xf numFmtId="37" fontId="3" fillId="0" borderId="0" xfId="0" applyFont="1" applyAlignment="1" applyProtection="1">
      <alignment horizontal="left"/>
      <protection locked="0"/>
    </xf>
    <xf numFmtId="37" fontId="3" fillId="0" borderId="2" xfId="0" applyFont="1" applyBorder="1" applyAlignment="1" applyProtection="1">
      <alignment horizontal="left"/>
      <protection locked="0"/>
    </xf>
    <xf numFmtId="37" fontId="5" fillId="0" borderId="0" xfId="0" applyFont="1" applyProtection="1">
      <protection locked="0"/>
    </xf>
    <xf numFmtId="37" fontId="8" fillId="0" borderId="2" xfId="0" applyFont="1" applyBorder="1" applyAlignment="1" applyProtection="1">
      <alignment horizontal="center"/>
      <protection locked="0"/>
    </xf>
    <xf numFmtId="37" fontId="8" fillId="0" borderId="2" xfId="0" applyFont="1" applyBorder="1" applyAlignment="1">
      <alignment horizontal="center"/>
    </xf>
    <xf numFmtId="180" fontId="8" fillId="0" borderId="0" xfId="0" applyNumberFormat="1" applyFont="1" applyAlignment="1" applyProtection="1">
      <alignment horizontal="center"/>
      <protection locked="0"/>
    </xf>
    <xf numFmtId="37" fontId="8" fillId="0" borderId="0" xfId="0" applyNumberFormat="1" applyFont="1" applyProtection="1">
      <protection locked="0"/>
    </xf>
    <xf numFmtId="37" fontId="8" fillId="0" borderId="0" xfId="0" applyNumberFormat="1" applyFont="1" applyAlignment="1" applyProtection="1">
      <alignment horizontal="center"/>
      <protection locked="0"/>
    </xf>
    <xf numFmtId="37" fontId="8" fillId="0" borderId="0" xfId="0" applyNumberFormat="1" applyFont="1" applyFill="1" applyProtection="1">
      <protection locked="0"/>
    </xf>
    <xf numFmtId="37" fontId="8" fillId="0" borderId="0" xfId="0" applyNumberFormat="1" applyFont="1"/>
    <xf numFmtId="37" fontId="8" fillId="0" borderId="0" xfId="0" applyFont="1" applyAlignment="1" applyProtection="1">
      <alignment horizontal="left" indent="1"/>
      <protection locked="0"/>
    </xf>
    <xf numFmtId="169" fontId="8" fillId="0" borderId="0" xfId="0" applyNumberFormat="1" applyFont="1" applyProtection="1"/>
    <xf numFmtId="37" fontId="8" fillId="0" borderId="0" xfId="0" applyFont="1" applyFill="1" applyAlignment="1" applyProtection="1">
      <alignment horizontal="left" indent="1"/>
      <protection locked="0"/>
    </xf>
    <xf numFmtId="37" fontId="8" fillId="0" borderId="0" xfId="0" applyNumberFormat="1" applyFont="1" applyFill="1" applyAlignment="1" applyProtection="1">
      <alignment horizontal="center"/>
      <protection locked="0"/>
    </xf>
    <xf numFmtId="37" fontId="8" fillId="0" borderId="2" xfId="0" applyNumberFormat="1" applyFont="1" applyBorder="1" applyProtection="1">
      <protection locked="0"/>
    </xf>
    <xf numFmtId="37" fontId="8" fillId="0" borderId="5" xfId="0" applyNumberFormat="1" applyFont="1" applyBorder="1" applyProtection="1">
      <protection locked="0"/>
    </xf>
    <xf numFmtId="37" fontId="8" fillId="0" borderId="0" xfId="0" quotePrefix="1" applyNumberFormat="1" applyFont="1" applyProtection="1"/>
    <xf numFmtId="37" fontId="39" fillId="0" borderId="0" xfId="0" quotePrefix="1" applyFont="1"/>
    <xf numFmtId="37" fontId="40" fillId="0" borderId="0" xfId="0" applyFont="1"/>
    <xf numFmtId="37" fontId="40" fillId="0" borderId="0" xfId="0" applyNumberFormat="1" applyFont="1" applyProtection="1"/>
    <xf numFmtId="180" fontId="40" fillId="0" borderId="0" xfId="0" applyNumberFormat="1" applyFont="1" applyAlignment="1" applyProtection="1">
      <alignment horizontal="center"/>
      <protection locked="0"/>
    </xf>
    <xf numFmtId="37" fontId="37" fillId="0" borderId="0" xfId="0" quotePrefix="1" applyFont="1"/>
    <xf numFmtId="10" fontId="40" fillId="0" borderId="0" xfId="0" applyNumberFormat="1" applyFont="1" applyProtection="1"/>
    <xf numFmtId="169" fontId="40" fillId="0" borderId="0" xfId="0" applyNumberFormat="1" applyFont="1" applyProtection="1"/>
    <xf numFmtId="37" fontId="12" fillId="0" borderId="0" xfId="0" applyFont="1" applyAlignment="1" applyProtection="1">
      <alignment horizontal="center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2" xfId="0" applyFont="1" applyBorder="1" applyAlignment="1" applyProtection="1">
      <alignment horizontal="left"/>
      <protection locked="0"/>
    </xf>
    <xf numFmtId="37" fontId="12" fillId="0" borderId="2" xfId="0" applyFont="1" applyBorder="1" applyAlignment="1" applyProtection="1">
      <alignment horizontal="center"/>
      <protection locked="0"/>
    </xf>
    <xf numFmtId="37" fontId="12" fillId="0" borderId="0" xfId="0" applyFont="1" applyProtection="1">
      <protection locked="0"/>
    </xf>
    <xf numFmtId="37" fontId="13" fillId="0" borderId="0" xfId="0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 indent="2"/>
      <protection locked="0"/>
    </xf>
    <xf numFmtId="37" fontId="12" fillId="0" borderId="0" xfId="0" applyFont="1" applyAlignment="1" applyProtection="1">
      <protection locked="0"/>
    </xf>
    <xf numFmtId="37" fontId="12" fillId="0" borderId="0" xfId="0" applyFont="1" applyAlignment="1"/>
    <xf numFmtId="37" fontId="12" fillId="0" borderId="0" xfId="0" applyFont="1" applyBorder="1" applyAlignment="1" applyProtection="1">
      <alignment horizontal="left" indent="2"/>
      <protection locked="0"/>
    </xf>
    <xf numFmtId="37" fontId="15" fillId="0" borderId="0" xfId="0" applyNumberFormat="1" applyFont="1" applyFill="1" applyProtection="1"/>
    <xf numFmtId="37" fontId="13" fillId="0" borderId="0" xfId="0" applyFont="1" applyAlignment="1" applyProtection="1">
      <alignment horizontal="left" indent="1"/>
      <protection locked="0"/>
    </xf>
    <xf numFmtId="37" fontId="12" fillId="0" borderId="0" xfId="0" applyFont="1" applyAlignment="1" applyProtection="1">
      <alignment horizontal="left" indent="1"/>
      <protection locked="0"/>
    </xf>
    <xf numFmtId="37" fontId="12" fillId="0" borderId="0" xfId="0" applyFont="1" applyAlignment="1" applyProtection="1">
      <alignment horizontal="left" indent="2"/>
    </xf>
    <xf numFmtId="37" fontId="13" fillId="0" borderId="0" xfId="0" applyFont="1" applyBorder="1" applyAlignment="1" applyProtection="1">
      <alignment horizontal="left" indent="1"/>
      <protection locked="0"/>
    </xf>
    <xf numFmtId="37" fontId="12" fillId="0" borderId="0" xfId="0" applyFont="1" applyAlignment="1" applyProtection="1"/>
    <xf numFmtId="37" fontId="8" fillId="0" borderId="0" xfId="0" applyFont="1" applyAlignment="1" applyProtection="1">
      <alignment horizontal="left" indent="2"/>
      <protection locked="0"/>
    </xf>
    <xf numFmtId="37" fontId="8" fillId="0" borderId="0" xfId="0" applyFont="1" applyAlignment="1" applyProtection="1">
      <protection locked="0"/>
    </xf>
    <xf numFmtId="37" fontId="8" fillId="0" borderId="0" xfId="0" applyFont="1" applyBorder="1" applyAlignment="1" applyProtection="1">
      <alignment horizontal="left" indent="2"/>
      <protection locked="0"/>
    </xf>
    <xf numFmtId="37" fontId="5" fillId="0" borderId="0" xfId="0" applyFont="1" applyAlignment="1" applyProtection="1">
      <alignment horizontal="left" indent="1"/>
      <protection locked="0"/>
    </xf>
    <xf numFmtId="37" fontId="8" fillId="0" borderId="0" xfId="0" applyFont="1" applyAlignment="1" applyProtection="1"/>
    <xf numFmtId="37" fontId="4" fillId="0" borderId="0" xfId="0" applyFont="1" applyFill="1" applyBorder="1" applyAlignment="1" applyProtection="1">
      <alignment horizontal="left"/>
    </xf>
    <xf numFmtId="37" fontId="0" fillId="0" borderId="0" xfId="0" applyFont="1" applyFill="1" applyAlignment="1" applyProtection="1">
      <alignment horizontal="centerContinuous"/>
      <protection locked="0"/>
    </xf>
    <xf numFmtId="37" fontId="14" fillId="0" borderId="0" xfId="0" applyFont="1" applyAlignment="1">
      <alignment horizontal="center"/>
    </xf>
    <xf numFmtId="177" fontId="8" fillId="0" borderId="0" xfId="1" applyNumberFormat="1" applyFont="1"/>
    <xf numFmtId="49" fontId="3" fillId="0" borderId="0" xfId="0" applyNumberFormat="1" applyFont="1" applyAlignment="1">
      <alignment horizontal="center"/>
    </xf>
    <xf numFmtId="37" fontId="14" fillId="0" borderId="5" xfId="0" applyFont="1" applyBorder="1" applyAlignment="1">
      <alignment horizontal="center"/>
    </xf>
    <xf numFmtId="37" fontId="41" fillId="0" borderId="0" xfId="3" applyNumberFormat="1" applyFont="1" applyAlignment="1" applyProtection="1"/>
    <xf numFmtId="182" fontId="3" fillId="0" borderId="0" xfId="2" applyNumberFormat="1" applyFont="1"/>
    <xf numFmtId="182" fontId="3" fillId="0" borderId="0" xfId="2" applyNumberFormat="1" applyFont="1" applyFill="1" applyProtection="1"/>
    <xf numFmtId="185" fontId="8" fillId="0" borderId="0" xfId="1" applyNumberFormat="1" applyFont="1" applyFill="1" applyProtection="1"/>
    <xf numFmtId="185" fontId="3" fillId="0" borderId="0" xfId="1" applyNumberFormat="1" applyFont="1"/>
    <xf numFmtId="0" fontId="8" fillId="0" borderId="0" xfId="0" applyNumberFormat="1" applyFont="1" applyAlignment="1">
      <alignment horizontal="center"/>
    </xf>
    <xf numFmtId="37" fontId="8" fillId="0" borderId="23" xfId="0" applyFont="1" applyFill="1" applyBorder="1"/>
    <xf numFmtId="37" fontId="8" fillId="0" borderId="21" xfId="0" applyFont="1" applyFill="1" applyBorder="1"/>
    <xf numFmtId="37" fontId="0" fillId="0" borderId="0" xfId="0" applyAlignment="1">
      <alignment horizontal="left" indent="1"/>
    </xf>
    <xf numFmtId="37" fontId="0" fillId="0" borderId="5" xfId="0" applyBorder="1" applyAlignment="1">
      <alignment horizontal="center" wrapText="1"/>
    </xf>
    <xf numFmtId="37" fontId="0" fillId="0" borderId="0" xfId="0" applyBorder="1" applyAlignment="1">
      <alignment horizontal="center" wrapText="1"/>
    </xf>
    <xf numFmtId="10" fontId="8" fillId="0" borderId="0" xfId="13" applyNumberFormat="1" applyFont="1" applyFill="1" applyBorder="1"/>
    <xf numFmtId="37" fontId="12" fillId="0" borderId="0" xfId="0" applyFont="1" applyAlignment="1" applyProtection="1">
      <alignment horizontal="left" indent="1"/>
    </xf>
    <xf numFmtId="182" fontId="0" fillId="0" borderId="0" xfId="2" applyNumberFormat="1" applyFont="1" applyBorder="1"/>
    <xf numFmtId="182" fontId="0" fillId="0" borderId="0" xfId="2" applyNumberFormat="1" applyFont="1" applyFill="1" applyBorder="1"/>
    <xf numFmtId="10" fontId="0" fillId="0" borderId="0" xfId="13" applyNumberFormat="1" applyFont="1" applyFill="1" applyAlignment="1">
      <alignment horizontal="center"/>
    </xf>
    <xf numFmtId="10" fontId="0" fillId="0" borderId="0" xfId="13" applyNumberFormat="1" applyFont="1" applyAlignment="1">
      <alignment horizontal="center"/>
    </xf>
    <xf numFmtId="182" fontId="3" fillId="0" borderId="0" xfId="2" applyNumberFormat="1" applyFont="1" applyFill="1" applyBorder="1"/>
    <xf numFmtId="37" fontId="3" fillId="0" borderId="1" xfId="0" applyFont="1" applyBorder="1" applyAlignment="1" applyProtection="1">
      <alignment horizontal="center"/>
    </xf>
    <xf numFmtId="37" fontId="3" fillId="0" borderId="21" xfId="0" applyFont="1" applyBorder="1" applyAlignment="1" applyProtection="1">
      <alignment horizontal="center"/>
    </xf>
    <xf numFmtId="37" fontId="3" fillId="0" borderId="25" xfId="0" applyFont="1" applyBorder="1" applyAlignment="1" applyProtection="1">
      <alignment horizontal="center"/>
    </xf>
    <xf numFmtId="37" fontId="3" fillId="0" borderId="8" xfId="0" applyFont="1" applyBorder="1" applyAlignment="1" applyProtection="1">
      <alignment horizontal="center"/>
    </xf>
    <xf numFmtId="37" fontId="3" fillId="0" borderId="8" xfId="0" applyFont="1" applyBorder="1" applyAlignment="1">
      <alignment horizontal="center"/>
    </xf>
    <xf numFmtId="9" fontId="0" fillId="0" borderId="0" xfId="13" applyFont="1" applyFill="1" applyAlignment="1">
      <alignment horizontal="center"/>
    </xf>
    <xf numFmtId="37" fontId="3" fillId="0" borderId="7" xfId="0" applyFont="1" applyBorder="1" applyAlignment="1">
      <alignment horizontal="center"/>
    </xf>
    <xf numFmtId="37" fontId="3" fillId="0" borderId="7" xfId="0" applyFont="1" applyBorder="1" applyAlignment="1" applyProtection="1">
      <alignment horizontal="center"/>
    </xf>
    <xf numFmtId="182" fontId="12" fillId="0" borderId="0" xfId="2" applyNumberFormat="1" applyFont="1" applyFill="1" applyProtection="1"/>
    <xf numFmtId="37" fontId="12" fillId="0" borderId="23" xfId="0" applyFont="1" applyBorder="1"/>
    <xf numFmtId="37" fontId="12" fillId="0" borderId="9" xfId="0" applyFont="1" applyBorder="1"/>
    <xf numFmtId="37" fontId="12" fillId="0" borderId="1" xfId="0" applyFont="1" applyBorder="1" applyAlignment="1" applyProtection="1">
      <alignment horizontal="center"/>
    </xf>
    <xf numFmtId="37" fontId="12" fillId="0" borderId="25" xfId="0" applyFont="1" applyBorder="1" applyAlignment="1" applyProtection="1">
      <alignment horizontal="center"/>
    </xf>
    <xf numFmtId="182" fontId="3" fillId="0" borderId="0" xfId="2" applyNumberFormat="1" applyFont="1" applyFill="1"/>
    <xf numFmtId="185" fontId="12" fillId="0" borderId="0" xfId="1" applyNumberFormat="1" applyFont="1" applyFill="1" applyProtection="1"/>
    <xf numFmtId="185" fontId="12" fillId="0" borderId="5" xfId="1" applyNumberFormat="1" applyFont="1" applyFill="1" applyBorder="1" applyProtection="1"/>
    <xf numFmtId="185" fontId="3" fillId="0" borderId="0" xfId="1" applyNumberFormat="1" applyFont="1" applyFill="1" applyProtection="1"/>
    <xf numFmtId="185" fontId="12" fillId="0" borderId="0" xfId="1" applyNumberFormat="1" applyFont="1" applyBorder="1" applyProtection="1"/>
    <xf numFmtId="9" fontId="12" fillId="0" borderId="0" xfId="13" applyFont="1" applyFill="1" applyAlignment="1" applyProtection="1">
      <alignment horizontal="center"/>
    </xf>
    <xf numFmtId="182" fontId="0" fillId="0" borderId="0" xfId="2" applyNumberFormat="1" applyFont="1" applyFill="1"/>
    <xf numFmtId="37" fontId="3" fillId="0" borderId="2" xfId="0" applyFont="1" applyFill="1" applyBorder="1" applyAlignment="1" applyProtection="1">
      <alignment horizontal="left"/>
      <protection locked="0"/>
    </xf>
    <xf numFmtId="183" fontId="3" fillId="0" borderId="0" xfId="0" applyNumberFormat="1" applyFont="1" applyFill="1" applyAlignment="1">
      <alignment horizontal="left"/>
    </xf>
    <xf numFmtId="185" fontId="8" fillId="0" borderId="0" xfId="1" applyNumberFormat="1" applyFont="1" applyFill="1" applyBorder="1" applyProtection="1"/>
    <xf numFmtId="0" fontId="20" fillId="0" borderId="0" xfId="0" applyNumberFormat="1" applyFont="1" applyFill="1" applyAlignment="1">
      <alignment horizontal="center"/>
    </xf>
    <xf numFmtId="37" fontId="36" fillId="0" borderId="0" xfId="0" applyFont="1" applyFill="1" applyAlignment="1">
      <alignment horizontal="left" indent="1"/>
    </xf>
    <xf numFmtId="37" fontId="3" fillId="0" borderId="2" xfId="0" applyFont="1" applyBorder="1" applyAlignment="1">
      <alignment horizontal="center"/>
    </xf>
    <xf numFmtId="37" fontId="3" fillId="0" borderId="0" xfId="0" applyFont="1" applyFill="1" applyBorder="1" applyAlignment="1">
      <alignment horizontal="centerContinuous"/>
    </xf>
    <xf numFmtId="180" fontId="3" fillId="0" borderId="0" xfId="0" applyNumberFormat="1" applyFont="1" applyProtection="1"/>
    <xf numFmtId="180" fontId="3" fillId="0" borderId="0" xfId="0" applyNumberFormat="1" applyFont="1"/>
    <xf numFmtId="180" fontId="3" fillId="0" borderId="0" xfId="0" quotePrefix="1" applyNumberFormat="1" applyFont="1" applyAlignment="1" applyProtection="1">
      <alignment horizontal="center"/>
    </xf>
    <xf numFmtId="37" fontId="3" fillId="0" borderId="0" xfId="0" applyNumberFormat="1" applyFont="1" applyFill="1" applyBorder="1" applyAlignment="1" applyProtection="1">
      <alignment horizontal="center"/>
    </xf>
    <xf numFmtId="37" fontId="3" fillId="0" borderId="0" xfId="0" applyFont="1" applyAlignment="1">
      <alignment horizontal="right"/>
    </xf>
    <xf numFmtId="185" fontId="3" fillId="0" borderId="0" xfId="1" applyNumberFormat="1" applyFont="1" applyFill="1" applyBorder="1" applyProtection="1"/>
    <xf numFmtId="185" fontId="3" fillId="0" borderId="0" xfId="1" applyNumberFormat="1" applyFont="1" applyBorder="1" applyProtection="1"/>
    <xf numFmtId="185" fontId="3" fillId="0" borderId="0" xfId="1" applyNumberFormat="1" applyFont="1" applyBorder="1"/>
    <xf numFmtId="185" fontId="3" fillId="0" borderId="0" xfId="1" applyNumberFormat="1" applyFont="1" applyFill="1" applyBorder="1"/>
    <xf numFmtId="185" fontId="3" fillId="0" borderId="0" xfId="1" applyNumberFormat="1" applyFont="1" applyFill="1" applyBorder="1" applyAlignment="1" applyProtection="1">
      <alignment horizontal="center"/>
    </xf>
    <xf numFmtId="185" fontId="3" fillId="0" borderId="0" xfId="1" applyNumberFormat="1" applyFont="1" applyFill="1" applyBorder="1" applyAlignment="1">
      <alignment horizontal="center"/>
    </xf>
    <xf numFmtId="37" fontId="0" fillId="0" borderId="0" xfId="0" applyAlignment="1">
      <alignment horizontal="left" indent="2"/>
    </xf>
    <xf numFmtId="37" fontId="14" fillId="0" borderId="5" xfId="0" applyFont="1" applyBorder="1"/>
    <xf numFmtId="37" fontId="36" fillId="0" borderId="0" xfId="0" applyFont="1" applyFill="1" applyAlignment="1">
      <alignment horizontal="right"/>
    </xf>
    <xf numFmtId="37" fontId="3" fillId="0" borderId="0" xfId="0" applyFont="1" applyFill="1" applyBorder="1" applyAlignment="1">
      <alignment horizontal="right"/>
    </xf>
    <xf numFmtId="37" fontId="3" fillId="0" borderId="9" xfId="0" applyFont="1" applyBorder="1"/>
    <xf numFmtId="0" fontId="3" fillId="0" borderId="0" xfId="0" applyNumberFormat="1" applyFont="1" applyFill="1"/>
    <xf numFmtId="37" fontId="3" fillId="0" borderId="5" xfId="0" applyFont="1" applyFill="1" applyBorder="1" applyAlignment="1" applyProtection="1">
      <alignment horizontal="left"/>
    </xf>
    <xf numFmtId="37" fontId="3" fillId="0" borderId="23" xfId="0" applyFont="1" applyFill="1" applyBorder="1"/>
    <xf numFmtId="37" fontId="3" fillId="0" borderId="21" xfId="0" applyFont="1" applyFill="1" applyBorder="1"/>
    <xf numFmtId="37" fontId="14" fillId="0" borderId="0" xfId="0" applyFont="1" applyBorder="1"/>
    <xf numFmtId="185" fontId="12" fillId="0" borderId="0" xfId="1" applyNumberFormat="1" applyFont="1" applyFill="1"/>
    <xf numFmtId="10" fontId="3" fillId="0" borderId="0" xfId="13" applyNumberFormat="1" applyFont="1" applyAlignment="1" applyProtection="1">
      <alignment horizontal="center"/>
    </xf>
    <xf numFmtId="37" fontId="0" fillId="0" borderId="0" xfId="0" applyFont="1" applyBorder="1" applyAlignment="1" applyProtection="1">
      <alignment horizontal="center"/>
    </xf>
    <xf numFmtId="37" fontId="0" fillId="0" borderId="0" xfId="0" applyFont="1" applyFill="1" applyBorder="1" applyProtection="1"/>
    <xf numFmtId="37" fontId="12" fillId="0" borderId="0" xfId="0" applyFont="1" applyAlignment="1">
      <alignment horizontal="left" indent="1"/>
    </xf>
    <xf numFmtId="37" fontId="0" fillId="0" borderId="5" xfId="0" applyFont="1" applyBorder="1" applyAlignment="1" applyProtection="1">
      <alignment horizontal="center"/>
    </xf>
    <xf numFmtId="37" fontId="0" fillId="0" borderId="0" xfId="0" applyFont="1" applyFill="1" applyBorder="1" applyAlignment="1">
      <alignment horizontal="left" indent="2"/>
    </xf>
    <xf numFmtId="185" fontId="8" fillId="0" borderId="0" xfId="1" applyNumberFormat="1" applyFont="1"/>
    <xf numFmtId="5" fontId="12" fillId="0" borderId="0" xfId="0" applyNumberFormat="1" applyFont="1" applyFill="1" applyProtection="1"/>
    <xf numFmtId="10" fontId="12" fillId="0" borderId="0" xfId="13" applyNumberFormat="1" applyFont="1"/>
    <xf numFmtId="37" fontId="3" fillId="0" borderId="5" xfId="0" applyNumberFormat="1" applyFont="1" applyBorder="1" applyAlignment="1" applyProtection="1">
      <alignment horizontal="left"/>
    </xf>
    <xf numFmtId="185" fontId="3" fillId="0" borderId="0" xfId="1" applyNumberFormat="1" applyFont="1" applyBorder="1" applyAlignment="1">
      <alignment horizontal="center"/>
    </xf>
    <xf numFmtId="10" fontId="3" fillId="0" borderId="0" xfId="13" applyNumberFormat="1" applyFont="1" applyBorder="1" applyAlignment="1">
      <alignment horizontal="center"/>
    </xf>
    <xf numFmtId="37" fontId="0" fillId="0" borderId="0" xfId="0" applyFill="1" applyAlignment="1">
      <alignment horizontal="left" indent="2"/>
    </xf>
    <xf numFmtId="37" fontId="0" fillId="0" borderId="0" xfId="0" applyFill="1" applyAlignment="1">
      <alignment horizontal="left" indent="3"/>
    </xf>
    <xf numFmtId="185" fontId="3" fillId="0" borderId="5" xfId="1" applyNumberFormat="1" applyFont="1" applyFill="1" applyBorder="1" applyProtection="1"/>
    <xf numFmtId="37" fontId="14" fillId="0" borderId="0" xfId="0" applyFont="1" applyFill="1" applyAlignment="1">
      <alignment horizontal="left" indent="1"/>
    </xf>
    <xf numFmtId="9" fontId="3" fillId="0" borderId="0" xfId="13" applyFont="1" applyFill="1" applyBorder="1" applyAlignment="1">
      <alignment horizontal="center"/>
    </xf>
    <xf numFmtId="10" fontId="3" fillId="0" borderId="0" xfId="13" applyNumberFormat="1" applyFont="1" applyFill="1" applyBorder="1" applyAlignment="1">
      <alignment horizontal="center"/>
    </xf>
    <xf numFmtId="10" fontId="0" fillId="0" borderId="0" xfId="13" applyNumberFormat="1" applyFont="1" applyFill="1"/>
    <xf numFmtId="173" fontId="12" fillId="0" borderId="0" xfId="13" applyNumberFormat="1" applyFont="1" applyFill="1"/>
    <xf numFmtId="188" fontId="12" fillId="0" borderId="0" xfId="13" applyNumberFormat="1" applyFont="1" applyFill="1"/>
    <xf numFmtId="37" fontId="0" fillId="0" borderId="5" xfId="0" applyNumberFormat="1" applyFont="1" applyFill="1" applyBorder="1" applyProtection="1"/>
    <xf numFmtId="9" fontId="0" fillId="0" borderId="0" xfId="13" applyFont="1" applyFill="1"/>
    <xf numFmtId="37" fontId="0" fillId="0" borderId="0" xfId="0" applyFont="1" applyFill="1" applyBorder="1" applyAlignment="1" applyProtection="1">
      <alignment horizontal="center"/>
    </xf>
    <xf numFmtId="185" fontId="3" fillId="0" borderId="0" xfId="1" applyNumberFormat="1" applyFont="1" applyFill="1"/>
    <xf numFmtId="182" fontId="3" fillId="0" borderId="0" xfId="2" applyNumberFormat="1" applyFont="1" applyBorder="1" applyProtection="1"/>
    <xf numFmtId="37" fontId="3" fillId="0" borderId="2" xfId="0" applyFont="1" applyFill="1" applyBorder="1" applyAlignment="1" applyProtection="1">
      <alignment horizontal="left"/>
    </xf>
    <xf numFmtId="37" fontId="0" fillId="0" borderId="5" xfId="0" applyFont="1" applyFill="1" applyBorder="1" applyAlignment="1" applyProtection="1">
      <alignment horizontal="center"/>
    </xf>
    <xf numFmtId="37" fontId="3" fillId="0" borderId="2" xfId="0" applyFont="1" applyFill="1" applyBorder="1" applyAlignment="1" applyProtection="1">
      <alignment horizontal="center"/>
    </xf>
    <xf numFmtId="37" fontId="3" fillId="0" borderId="0" xfId="0" applyNumberFormat="1" applyFont="1" applyAlignment="1" applyProtection="1">
      <alignment horizontal="center"/>
      <protection locked="0"/>
    </xf>
    <xf numFmtId="37" fontId="3" fillId="0" borderId="0" xfId="5" applyFont="1"/>
    <xf numFmtId="37" fontId="4" fillId="0" borderId="0" xfId="5" applyFont="1"/>
    <xf numFmtId="37" fontId="3" fillId="0" borderId="0" xfId="5" applyFont="1" applyAlignment="1" applyProtection="1">
      <alignment horizontal="left"/>
    </xf>
    <xf numFmtId="37" fontId="3" fillId="0" borderId="0" xfId="5" applyAlignment="1" applyProtection="1">
      <alignment horizontal="left"/>
    </xf>
    <xf numFmtId="37" fontId="3" fillId="0" borderId="3" xfId="5" applyFont="1" applyBorder="1" applyAlignment="1" applyProtection="1">
      <alignment horizontal="center"/>
    </xf>
    <xf numFmtId="37" fontId="3" fillId="0" borderId="3" xfId="5" applyFont="1" applyBorder="1"/>
    <xf numFmtId="37" fontId="3" fillId="0" borderId="2" xfId="5" applyFont="1" applyBorder="1" applyAlignment="1" applyProtection="1">
      <alignment horizontal="center"/>
    </xf>
    <xf numFmtId="37" fontId="3" fillId="0" borderId="0" xfId="5" applyFont="1" applyProtection="1"/>
    <xf numFmtId="37" fontId="3" fillId="0" borderId="0" xfId="5" applyFont="1" applyAlignment="1" applyProtection="1">
      <alignment horizontal="center"/>
    </xf>
    <xf numFmtId="37" fontId="6" fillId="0" borderId="0" xfId="5" applyFont="1" applyAlignment="1" applyProtection="1">
      <alignment horizontal="center"/>
    </xf>
    <xf numFmtId="37" fontId="3" fillId="0" borderId="0" xfId="5"/>
    <xf numFmtId="179" fontId="3" fillId="0" borderId="0" xfId="5" applyNumberFormat="1" applyFont="1"/>
    <xf numFmtId="37" fontId="4" fillId="0" borderId="0" xfId="5" applyFont="1" applyAlignment="1" applyProtection="1">
      <alignment horizontal="right"/>
    </xf>
    <xf numFmtId="37" fontId="3" fillId="0" borderId="0" xfId="5" applyFont="1" applyBorder="1" applyAlignment="1" applyProtection="1">
      <alignment horizontal="center"/>
    </xf>
    <xf numFmtId="37" fontId="14" fillId="0" borderId="5" xfId="5" applyFont="1" applyBorder="1" applyAlignment="1" applyProtection="1">
      <alignment horizontal="left"/>
    </xf>
    <xf numFmtId="185" fontId="12" fillId="0" borderId="0" xfId="1" applyNumberFormat="1" applyFont="1" applyFill="1" applyProtection="1">
      <protection locked="0"/>
    </xf>
    <xf numFmtId="185" fontId="12" fillId="0" borderId="0" xfId="1" applyNumberFormat="1" applyFont="1" applyFill="1" applyBorder="1" applyProtection="1"/>
    <xf numFmtId="44" fontId="0" fillId="0" borderId="0" xfId="2" applyFont="1" applyFill="1"/>
    <xf numFmtId="37" fontId="14" fillId="0" borderId="5" xfId="0" applyFont="1" applyFill="1" applyBorder="1" applyAlignment="1">
      <alignment horizontal="center"/>
    </xf>
    <xf numFmtId="37" fontId="8" fillId="0" borderId="0" xfId="0" applyFont="1" applyFill="1" applyAlignment="1">
      <alignment horizontal="center"/>
    </xf>
    <xf numFmtId="37" fontId="12" fillId="0" borderId="5" xfId="0" applyNumberFormat="1" applyFont="1" applyFill="1" applyBorder="1" applyProtection="1"/>
    <xf numFmtId="37" fontId="36" fillId="0" borderId="0" xfId="0" applyFont="1" applyAlignment="1">
      <alignment horizontal="right"/>
    </xf>
    <xf numFmtId="37" fontId="3" fillId="0" borderId="0" xfId="5" applyFont="1" applyBorder="1" applyProtection="1"/>
    <xf numFmtId="37" fontId="8" fillId="0" borderId="0" xfId="0" applyNumberFormat="1" applyFont="1" applyFill="1"/>
    <xf numFmtId="9" fontId="3" fillId="0" borderId="0" xfId="13" applyFont="1" applyFill="1" applyAlignment="1">
      <alignment horizontal="center"/>
    </xf>
    <xf numFmtId="10" fontId="3" fillId="0" borderId="0" xfId="13" applyNumberFormat="1" applyFont="1" applyFill="1" applyAlignment="1">
      <alignment horizontal="center"/>
    </xf>
    <xf numFmtId="37" fontId="12" fillId="0" borderId="0" xfId="0" applyFont="1" applyBorder="1" applyAlignment="1" applyProtection="1">
      <alignment horizontal="left"/>
    </xf>
    <xf numFmtId="37" fontId="12" fillId="0" borderId="8" xfId="0" applyFont="1" applyBorder="1"/>
    <xf numFmtId="37" fontId="12" fillId="0" borderId="1" xfId="0" applyFont="1" applyBorder="1"/>
    <xf numFmtId="37" fontId="12" fillId="0" borderId="8" xfId="0" applyFont="1" applyBorder="1" applyAlignment="1" applyProtection="1">
      <alignment horizontal="center"/>
    </xf>
    <xf numFmtId="37" fontId="12" fillId="0" borderId="21" xfId="0" applyFont="1" applyBorder="1" applyAlignment="1" applyProtection="1">
      <alignment horizontal="center"/>
    </xf>
    <xf numFmtId="37" fontId="12" fillId="0" borderId="25" xfId="0" applyFont="1" applyBorder="1" applyAlignment="1" applyProtection="1">
      <alignment horizontal="left"/>
    </xf>
    <xf numFmtId="182" fontId="8" fillId="0" borderId="0" xfId="2" applyNumberFormat="1" applyFont="1" applyProtection="1"/>
    <xf numFmtId="9" fontId="3" fillId="0" borderId="0" xfId="0" applyNumberFormat="1" applyFont="1" applyAlignment="1" applyProtection="1">
      <alignment horizontal="center"/>
    </xf>
    <xf numFmtId="9" fontId="3" fillId="0" borderId="0" xfId="13" applyFont="1" applyAlignment="1" applyProtection="1">
      <alignment horizontal="center"/>
    </xf>
    <xf numFmtId="9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Alignment="1" applyProtection="1">
      <alignment horizontal="center"/>
    </xf>
    <xf numFmtId="37" fontId="3" fillId="0" borderId="23" xfId="0" applyFont="1" applyBorder="1" applyAlignment="1">
      <alignment horizontal="center"/>
    </xf>
    <xf numFmtId="37" fontId="3" fillId="0" borderId="9" xfId="0" applyFont="1" applyBorder="1" applyAlignment="1" applyProtection="1">
      <alignment horizontal="center"/>
    </xf>
    <xf numFmtId="37" fontId="3" fillId="0" borderId="21" xfId="0" applyFont="1" applyBorder="1" applyAlignment="1">
      <alignment horizontal="center"/>
    </xf>
    <xf numFmtId="37" fontId="3" fillId="0" borderId="23" xfId="0" applyFont="1" applyBorder="1" applyAlignment="1" applyProtection="1">
      <alignment horizontal="center"/>
    </xf>
    <xf numFmtId="37" fontId="3" fillId="0" borderId="1" xfId="0" applyFont="1" applyFill="1" applyBorder="1" applyAlignment="1" applyProtection="1">
      <alignment horizontal="center"/>
    </xf>
    <xf numFmtId="37" fontId="3" fillId="0" borderId="25" xfId="0" applyFont="1" applyBorder="1" applyAlignment="1">
      <alignment horizontal="center"/>
    </xf>
    <xf numFmtId="37" fontId="3" fillId="0" borderId="0" xfId="0" applyFont="1" applyAlignment="1" applyProtection="1">
      <alignment horizontal="right"/>
    </xf>
    <xf numFmtId="37" fontId="3" fillId="0" borderId="2" xfId="0" applyFont="1" applyBorder="1" applyAlignment="1" applyProtection="1">
      <alignment horizontal="right"/>
    </xf>
    <xf numFmtId="37" fontId="3" fillId="0" borderId="0" xfId="0" applyFont="1" applyAlignment="1" applyProtection="1">
      <alignment horizontal="right"/>
      <protection locked="0"/>
    </xf>
    <xf numFmtId="182" fontId="12" fillId="0" borderId="5" xfId="2" applyNumberFormat="1" applyFont="1" applyFill="1" applyBorder="1" applyProtection="1"/>
    <xf numFmtId="182" fontId="12" fillId="0" borderId="0" xfId="2" applyNumberFormat="1" applyFont="1" applyFill="1" applyBorder="1" applyProtection="1"/>
    <xf numFmtId="37" fontId="12" fillId="0" borderId="0" xfId="0" applyFont="1" applyAlignment="1">
      <alignment horizontal="right"/>
    </xf>
    <xf numFmtId="37" fontId="12" fillId="0" borderId="0" xfId="0" applyFont="1" applyBorder="1" applyAlignment="1" applyProtection="1">
      <alignment horizontal="right"/>
      <protection locked="0"/>
    </xf>
    <xf numFmtId="182" fontId="3" fillId="0" borderId="0" xfId="2" applyNumberFormat="1" applyFont="1" applyFill="1" applyBorder="1" applyProtection="1"/>
    <xf numFmtId="182" fontId="3" fillId="0" borderId="5" xfId="2" applyNumberFormat="1" applyFont="1" applyFill="1" applyBorder="1" applyProtection="1"/>
    <xf numFmtId="182" fontId="3" fillId="0" borderId="0" xfId="2" applyNumberFormat="1" applyFont="1" applyFill="1" applyProtection="1">
      <protection locked="0"/>
    </xf>
    <xf numFmtId="37" fontId="8" fillId="0" borderId="0" xfId="0" applyFont="1" applyBorder="1" applyAlignment="1"/>
    <xf numFmtId="37" fontId="8" fillId="0" borderId="0" xfId="0" applyFont="1" applyBorder="1" applyAlignment="1" applyProtection="1"/>
    <xf numFmtId="37" fontId="8" fillId="0" borderId="0" xfId="0" applyFont="1" applyFill="1" applyAlignment="1">
      <alignment horizontal="right"/>
    </xf>
    <xf numFmtId="37" fontId="8" fillId="0" borderId="0" xfId="0" applyFont="1" applyFill="1" applyAlignment="1" applyProtection="1">
      <alignment horizontal="right"/>
      <protection locked="0"/>
    </xf>
    <xf numFmtId="37" fontId="8" fillId="0" borderId="2" xfId="0" applyFont="1" applyFill="1" applyBorder="1" applyAlignment="1" applyProtection="1">
      <alignment horizontal="right"/>
      <protection locked="0"/>
    </xf>
    <xf numFmtId="37" fontId="3" fillId="0" borderId="0" xfId="0" applyFont="1" applyFill="1" applyAlignment="1" applyProtection="1">
      <alignment horizontal="right"/>
      <protection locked="0"/>
    </xf>
    <xf numFmtId="37" fontId="8" fillId="0" borderId="0" xfId="0" applyFont="1" applyAlignment="1">
      <alignment horizontal="right"/>
    </xf>
    <xf numFmtId="185" fontId="8" fillId="0" borderId="0" xfId="1" applyNumberFormat="1" applyFont="1" applyFill="1"/>
    <xf numFmtId="0" fontId="3" fillId="0" borderId="0" xfId="0" applyNumberFormat="1" applyFont="1" applyFill="1" applyAlignment="1" applyProtection="1">
      <alignment horizontal="center"/>
    </xf>
    <xf numFmtId="37" fontId="14" fillId="0" borderId="0" xfId="0" applyFont="1" applyFill="1" applyAlignment="1" applyProtection="1">
      <alignment horizontal="left"/>
    </xf>
    <xf numFmtId="9" fontId="3" fillId="0" borderId="0" xfId="0" applyNumberFormat="1" applyFont="1" applyBorder="1" applyAlignment="1" applyProtection="1">
      <alignment horizontal="center"/>
    </xf>
    <xf numFmtId="37" fontId="3" fillId="0" borderId="27" xfId="0" applyFont="1" applyBorder="1" applyAlignment="1">
      <alignment horizontal="center"/>
    </xf>
    <xf numFmtId="37" fontId="3" fillId="0" borderId="27" xfId="0" applyFont="1" applyBorder="1" applyAlignment="1" applyProtection="1">
      <alignment horizontal="center"/>
    </xf>
    <xf numFmtId="37" fontId="3" fillId="0" borderId="5" xfId="0" applyFont="1" applyFill="1" applyBorder="1" applyAlignment="1">
      <alignment horizontal="center"/>
    </xf>
    <xf numFmtId="185" fontId="8" fillId="0" borderId="0" xfId="1" applyNumberFormat="1" applyFont="1" applyProtection="1"/>
    <xf numFmtId="183" fontId="12" fillId="0" borderId="0" xfId="0" applyNumberFormat="1" applyFont="1" applyAlignment="1" applyProtection="1">
      <alignment horizontal="center"/>
      <protection locked="0"/>
    </xf>
    <xf numFmtId="37" fontId="12" fillId="0" borderId="0" xfId="0" applyFont="1" applyAlignment="1">
      <alignment horizontal="center"/>
    </xf>
    <xf numFmtId="183" fontId="12" fillId="0" borderId="0" xfId="0" applyNumberFormat="1" applyFont="1" applyBorder="1" applyAlignment="1" applyProtection="1">
      <alignment horizontal="center"/>
      <protection locked="0"/>
    </xf>
    <xf numFmtId="183" fontId="12" fillId="0" borderId="0" xfId="0" applyNumberFormat="1" applyFont="1" applyAlignment="1" applyProtection="1">
      <alignment horizontal="center"/>
    </xf>
    <xf numFmtId="183" fontId="12" fillId="0" borderId="0" xfId="0" applyNumberFormat="1" applyFont="1" applyAlignment="1">
      <alignment horizontal="center"/>
    </xf>
    <xf numFmtId="37" fontId="12" fillId="0" borderId="0" xfId="0" quotePrefix="1" applyFont="1" applyAlignment="1">
      <alignment horizontal="center"/>
    </xf>
    <xf numFmtId="184" fontId="12" fillId="0" borderId="0" xfId="0" applyNumberFormat="1" applyFont="1" applyAlignment="1" applyProtection="1">
      <alignment horizontal="center"/>
      <protection locked="0"/>
    </xf>
    <xf numFmtId="183" fontId="8" fillId="0" borderId="0" xfId="0" applyNumberFormat="1" applyFont="1" applyAlignment="1" applyProtection="1">
      <alignment horizontal="center"/>
      <protection locked="0"/>
    </xf>
    <xf numFmtId="183" fontId="8" fillId="0" borderId="0" xfId="0" applyNumberFormat="1" applyFont="1" applyBorder="1" applyAlignment="1" applyProtection="1">
      <alignment horizontal="center"/>
      <protection locked="0"/>
    </xf>
    <xf numFmtId="183" fontId="8" fillId="0" borderId="0" xfId="0" applyNumberFormat="1" applyFont="1" applyAlignment="1" applyProtection="1">
      <alignment horizontal="center"/>
    </xf>
    <xf numFmtId="183" fontId="8" fillId="0" borderId="0" xfId="0" applyNumberFormat="1" applyFont="1" applyAlignment="1">
      <alignment horizontal="center"/>
    </xf>
    <xf numFmtId="37" fontId="8" fillId="0" borderId="0" xfId="0" quotePrefix="1" applyFont="1" applyAlignment="1">
      <alignment horizontal="center"/>
    </xf>
    <xf numFmtId="183" fontId="8" fillId="0" borderId="0" xfId="0" quotePrefix="1" applyNumberFormat="1" applyFont="1" applyAlignment="1" applyProtection="1">
      <alignment horizontal="center"/>
      <protection locked="0"/>
    </xf>
    <xf numFmtId="184" fontId="8" fillId="0" borderId="0" xfId="0" applyNumberFormat="1" applyFont="1" applyAlignment="1" applyProtection="1">
      <alignment horizontal="center"/>
      <protection locked="0"/>
    </xf>
    <xf numFmtId="37" fontId="3" fillId="0" borderId="0" xfId="0" applyFont="1" applyBorder="1" applyAlignment="1">
      <alignment horizontal="right"/>
    </xf>
    <xf numFmtId="37" fontId="3" fillId="0" borderId="2" xfId="0" applyFont="1" applyFill="1" applyBorder="1" applyAlignment="1" applyProtection="1">
      <alignment horizontal="right"/>
    </xf>
    <xf numFmtId="37" fontId="12" fillId="0" borderId="0" xfId="5" applyFont="1" applyAlignment="1" applyProtection="1">
      <alignment horizontal="left"/>
    </xf>
    <xf numFmtId="37" fontId="3" fillId="0" borderId="0" xfId="5" applyFont="1" applyAlignment="1">
      <alignment horizontal="right"/>
    </xf>
    <xf numFmtId="37" fontId="3" fillId="0" borderId="0" xfId="5" applyFont="1" applyAlignment="1" applyProtection="1">
      <alignment horizontal="right"/>
    </xf>
    <xf numFmtId="37" fontId="3" fillId="0" borderId="0" xfId="5" applyAlignment="1" applyProtection="1">
      <alignment horizontal="right"/>
    </xf>
    <xf numFmtId="37" fontId="0" fillId="0" borderId="0" xfId="0" applyFont="1" applyAlignment="1" applyProtection="1">
      <alignment horizontal="right"/>
    </xf>
    <xf numFmtId="37" fontId="0" fillId="0" borderId="29" xfId="0" applyFont="1" applyBorder="1"/>
    <xf numFmtId="37" fontId="4" fillId="0" borderId="19" xfId="0" applyFont="1" applyBorder="1" applyAlignment="1" applyProtection="1">
      <alignment horizontal="center"/>
    </xf>
    <xf numFmtId="37" fontId="0" fillId="0" borderId="24" xfId="0" applyFont="1" applyBorder="1"/>
    <xf numFmtId="37" fontId="18" fillId="0" borderId="0" xfId="0" applyFont="1" applyAlignment="1">
      <alignment horizontal="right"/>
    </xf>
    <xf numFmtId="37" fontId="12" fillId="0" borderId="5" xfId="0" applyFont="1" applyBorder="1" applyAlignment="1" applyProtection="1">
      <alignment horizontal="left"/>
    </xf>
    <xf numFmtId="182" fontId="0" fillId="0" borderId="0" xfId="2" applyNumberFormat="1" applyFont="1" applyFill="1" applyProtection="1"/>
    <xf numFmtId="174" fontId="11" fillId="0" borderId="0" xfId="0" applyNumberFormat="1" applyFont="1" applyFill="1" applyProtection="1"/>
    <xf numFmtId="10" fontId="0" fillId="0" borderId="0" xfId="0" applyNumberFormat="1" applyFont="1" applyFill="1" applyProtection="1"/>
    <xf numFmtId="169" fontId="12" fillId="0" borderId="0" xfId="13" applyNumberFormat="1" applyFont="1"/>
    <xf numFmtId="10" fontId="8" fillId="0" borderId="0" xfId="13" applyNumberFormat="1" applyFont="1" applyBorder="1"/>
    <xf numFmtId="10" fontId="8" fillId="0" borderId="0" xfId="13" applyNumberFormat="1" applyFont="1" applyFill="1"/>
    <xf numFmtId="5" fontId="3" fillId="0" borderId="0" xfId="0" applyNumberFormat="1" applyFont="1" applyFill="1" applyProtection="1"/>
    <xf numFmtId="37" fontId="0" fillId="0" borderId="0" xfId="0" applyFont="1" applyFill="1" applyAlignment="1" applyProtection="1"/>
    <xf numFmtId="37" fontId="0" fillId="0" borderId="0" xfId="0" applyFont="1" applyFill="1" applyAlignment="1" applyProtection="1">
      <alignment horizontal="left"/>
    </xf>
    <xf numFmtId="37" fontId="3" fillId="0" borderId="27" xfId="0" applyFont="1" applyBorder="1"/>
    <xf numFmtId="37" fontId="3" fillId="0" borderId="30" xfId="0" applyFont="1" applyBorder="1" applyAlignment="1" applyProtection="1">
      <alignment horizontal="center"/>
    </xf>
    <xf numFmtId="37" fontId="3" fillId="0" borderId="31" xfId="0" applyFont="1" applyBorder="1" applyAlignment="1" applyProtection="1">
      <alignment horizontal="center"/>
    </xf>
    <xf numFmtId="37" fontId="3" fillId="0" borderId="31" xfId="0" applyFont="1" applyBorder="1" applyAlignment="1">
      <alignment horizontal="center"/>
    </xf>
    <xf numFmtId="37" fontId="42" fillId="0" borderId="0" xfId="0" applyFont="1"/>
    <xf numFmtId="37" fontId="43" fillId="0" borderId="0" xfId="0" applyFont="1"/>
    <xf numFmtId="14" fontId="14" fillId="0" borderId="8" xfId="0" applyNumberFormat="1" applyFont="1" applyFill="1" applyBorder="1" applyAlignment="1">
      <alignment horizontal="center"/>
    </xf>
    <xf numFmtId="37" fontId="3" fillId="0" borderId="0" xfId="0" applyFont="1" applyFill="1" applyAlignment="1" applyProtection="1">
      <alignment horizontal="center"/>
      <protection locked="0"/>
    </xf>
    <xf numFmtId="37" fontId="12" fillId="0" borderId="0" xfId="0" applyFont="1" applyFill="1" applyAlignment="1">
      <alignment horizontal="right"/>
    </xf>
    <xf numFmtId="37" fontId="44" fillId="0" borderId="0" xfId="0" applyFont="1"/>
    <xf numFmtId="37" fontId="8" fillId="0" borderId="0" xfId="0" applyFont="1" applyBorder="1" applyAlignment="1">
      <alignment horizontal="right"/>
    </xf>
    <xf numFmtId="37" fontId="8" fillId="0" borderId="0" xfId="0" applyFont="1" applyBorder="1" applyAlignment="1" applyProtection="1">
      <alignment horizontal="center"/>
      <protection locked="0"/>
    </xf>
    <xf numFmtId="37" fontId="35" fillId="0" borderId="0" xfId="0" applyFont="1" applyFill="1" applyAlignment="1" applyProtection="1">
      <alignment horizontal="left"/>
    </xf>
    <xf numFmtId="37" fontId="0" fillId="0" borderId="0" xfId="0" applyAlignment="1">
      <alignment horizontal="center"/>
    </xf>
    <xf numFmtId="37" fontId="14" fillId="0" borderId="0" xfId="0" applyFont="1" applyFill="1" applyAlignment="1">
      <alignment horizontal="center"/>
    </xf>
    <xf numFmtId="37" fontId="0" fillId="0" borderId="5" xfId="0" applyFont="1" applyBorder="1" applyAlignment="1">
      <alignment horizontal="center"/>
    </xf>
    <xf numFmtId="37" fontId="14" fillId="0" borderId="0" xfId="0" applyFont="1" applyBorder="1" applyAlignment="1"/>
    <xf numFmtId="37" fontId="3" fillId="0" borderId="0" xfId="0" applyNumberFormat="1" applyFont="1" applyFill="1" applyBorder="1" applyAlignment="1" applyProtection="1">
      <alignment horizontal="right"/>
    </xf>
    <xf numFmtId="185" fontId="3" fillId="0" borderId="0" xfId="1" applyNumberFormat="1" applyFont="1" applyFill="1" applyBorder="1" applyAlignment="1" applyProtection="1">
      <alignment horizontal="right"/>
    </xf>
    <xf numFmtId="185" fontId="3" fillId="0" borderId="0" xfId="1" applyNumberFormat="1" applyFont="1" applyFill="1" applyAlignment="1">
      <alignment horizontal="right"/>
    </xf>
    <xf numFmtId="37" fontId="0" fillId="0" borderId="0" xfId="0" applyAlignment="1">
      <alignment horizontal="center"/>
    </xf>
    <xf numFmtId="186" fontId="0" fillId="0" borderId="5" xfId="0" applyNumberFormat="1" applyFill="1" applyBorder="1" applyAlignment="1">
      <alignment horizontal="center"/>
    </xf>
    <xf numFmtId="37" fontId="8" fillId="0" borderId="0" xfId="0" applyFont="1" applyFill="1" applyAlignment="1" applyProtection="1">
      <alignment horizontal="left" wrapText="1"/>
    </xf>
    <xf numFmtId="37" fontId="3" fillId="0" borderId="0" xfId="0" applyFont="1" applyFill="1" applyAlignment="1" applyProtection="1">
      <alignment horizontal="left" wrapText="1"/>
    </xf>
    <xf numFmtId="9" fontId="0" fillId="0" borderId="0" xfId="13" applyFont="1" applyFill="1" applyBorder="1" applyAlignment="1">
      <alignment horizontal="center"/>
    </xf>
    <xf numFmtId="185" fontId="0" fillId="0" borderId="0" xfId="1" applyNumberFormat="1" applyFont="1" applyFill="1"/>
    <xf numFmtId="37" fontId="0" fillId="0" borderId="7" xfId="0" applyFill="1" applyBorder="1"/>
    <xf numFmtId="37" fontId="5" fillId="0" borderId="0" xfId="0" applyFont="1" applyFill="1" applyAlignment="1" applyProtection="1">
      <alignment horizontal="left"/>
    </xf>
    <xf numFmtId="187" fontId="0" fillId="0" borderId="0" xfId="1" applyNumberFormat="1" applyFont="1" applyFill="1"/>
    <xf numFmtId="187" fontId="3" fillId="0" borderId="0" xfId="1" applyNumberFormat="1" applyFont="1" applyFill="1"/>
    <xf numFmtId="43" fontId="3" fillId="0" borderId="0" xfId="1" applyFont="1" applyFill="1"/>
    <xf numFmtId="9" fontId="3" fillId="0" borderId="0" xfId="1" applyNumberFormat="1" applyFont="1" applyFill="1" applyAlignment="1">
      <alignment horizontal="center"/>
    </xf>
    <xf numFmtId="183" fontId="43" fillId="0" borderId="0" xfId="0" applyNumberFormat="1" applyFont="1" applyAlignment="1" applyProtection="1">
      <alignment horizontal="left"/>
      <protection locked="0"/>
    </xf>
    <xf numFmtId="0" fontId="43" fillId="0" borderId="0" xfId="0" applyNumberFormat="1" applyFont="1" applyAlignment="1">
      <alignment horizontal="center"/>
    </xf>
    <xf numFmtId="185" fontId="42" fillId="0" borderId="0" xfId="1" applyNumberFormat="1" applyFont="1" applyFill="1"/>
    <xf numFmtId="185" fontId="0" fillId="0" borderId="0" xfId="1" applyNumberFormat="1" applyFont="1" applyFill="1" applyProtection="1"/>
    <xf numFmtId="185" fontId="0" fillId="0" borderId="5" xfId="1" applyNumberFormat="1" applyFont="1" applyFill="1" applyBorder="1" applyProtection="1"/>
    <xf numFmtId="185" fontId="8" fillId="0" borderId="0" xfId="1" applyNumberFormat="1" applyFont="1" applyFill="1" applyAlignment="1">
      <alignment horizontal="right"/>
    </xf>
    <xf numFmtId="37" fontId="36" fillId="0" borderId="0" xfId="0" applyFont="1" applyFill="1" applyBorder="1" applyAlignment="1">
      <alignment horizontal="right"/>
    </xf>
    <xf numFmtId="37" fontId="0" fillId="0" borderId="0" xfId="0" applyFill="1" applyAlignment="1" applyProtection="1">
      <alignment horizontal="left"/>
    </xf>
    <xf numFmtId="37" fontId="47" fillId="0" borderId="0" xfId="0" applyFont="1"/>
    <xf numFmtId="180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/>
    <xf numFmtId="37" fontId="0" fillId="0" borderId="7" xfId="0" applyNumberFormat="1" applyFont="1" applyFill="1" applyBorder="1"/>
    <xf numFmtId="37" fontId="0" fillId="0" borderId="19" xfId="0" applyNumberFormat="1" applyFont="1" applyFill="1" applyBorder="1"/>
    <xf numFmtId="37" fontId="0" fillId="0" borderId="10" xfId="0" applyNumberFormat="1" applyFont="1" applyFill="1" applyBorder="1"/>
    <xf numFmtId="37" fontId="12" fillId="0" borderId="2" xfId="0" applyFont="1" applyFill="1" applyBorder="1"/>
    <xf numFmtId="37" fontId="0" fillId="0" borderId="0" xfId="0" quotePrefix="1"/>
    <xf numFmtId="10" fontId="42" fillId="0" borderId="0" xfId="13" applyNumberFormat="1" applyFont="1"/>
    <xf numFmtId="37" fontId="0" fillId="0" borderId="5" xfId="0" applyNumberFormat="1" applyFont="1" applyFill="1" applyBorder="1"/>
    <xf numFmtId="37" fontId="0" fillId="0" borderId="2" xfId="0" applyNumberFormat="1" applyFont="1" applyFill="1" applyBorder="1" applyProtection="1">
      <protection locked="0"/>
    </xf>
    <xf numFmtId="37" fontId="0" fillId="0" borderId="0" xfId="0" quotePrefix="1" applyFont="1" applyAlignment="1">
      <alignment horizontal="center"/>
    </xf>
    <xf numFmtId="37" fontId="0" fillId="0" borderId="7" xfId="0" applyFont="1" applyBorder="1"/>
    <xf numFmtId="37" fontId="50" fillId="0" borderId="0" xfId="0" applyFont="1"/>
    <xf numFmtId="37" fontId="0" fillId="0" borderId="2" xfId="0" applyFont="1" applyFill="1" applyBorder="1" applyAlignment="1" applyProtection="1">
      <alignment horizontal="center"/>
    </xf>
    <xf numFmtId="169" fontId="27" fillId="0" borderId="0" xfId="13" applyNumberFormat="1" applyFont="1" applyFill="1"/>
    <xf numFmtId="5" fontId="36" fillId="0" borderId="0" xfId="0" applyNumberFormat="1" applyFont="1" applyFill="1" applyBorder="1"/>
    <xf numFmtId="37" fontId="3" fillId="0" borderId="0" xfId="0" applyFont="1" applyFill="1" applyAlignment="1">
      <alignment horizontal="left" indent="2"/>
    </xf>
    <xf numFmtId="37" fontId="3" fillId="0" borderId="0" xfId="0" applyFont="1" applyFill="1" applyAlignment="1"/>
    <xf numFmtId="10" fontId="3" fillId="0" borderId="0" xfId="13" applyNumberFormat="1" applyFont="1" applyFill="1" applyAlignment="1"/>
    <xf numFmtId="37" fontId="13" fillId="0" borderId="0" xfId="0" applyFont="1" applyFill="1"/>
    <xf numFmtId="10" fontId="0" fillId="0" borderId="0" xfId="0" applyNumberFormat="1" applyFont="1" applyFill="1" applyAlignment="1" applyProtection="1">
      <alignment horizontal="center"/>
    </xf>
    <xf numFmtId="37" fontId="0" fillId="0" borderId="0" xfId="0" quotePrefix="1" applyFont="1" applyFill="1"/>
    <xf numFmtId="37" fontId="42" fillId="0" borderId="0" xfId="0" applyNumberFormat="1" applyFont="1" applyProtection="1"/>
    <xf numFmtId="10" fontId="42" fillId="0" borderId="0" xfId="13" applyNumberFormat="1" applyFont="1" applyFill="1" applyAlignment="1">
      <alignment horizontal="center"/>
    </xf>
    <xf numFmtId="37" fontId="4" fillId="0" borderId="5" xfId="0" applyFont="1" applyBorder="1"/>
    <xf numFmtId="37" fontId="13" fillId="0" borderId="0" xfId="0" applyFont="1" applyAlignment="1" applyProtection="1">
      <alignment horizontal="left"/>
    </xf>
    <xf numFmtId="37" fontId="51" fillId="0" borderId="0" xfId="0" applyFont="1"/>
    <xf numFmtId="37" fontId="51" fillId="0" borderId="0" xfId="0" applyNumberFormat="1" applyFont="1" applyProtection="1"/>
    <xf numFmtId="37" fontId="51" fillId="0" borderId="0" xfId="0" applyNumberFormat="1" applyFont="1" applyFill="1" applyProtection="1"/>
    <xf numFmtId="185" fontId="51" fillId="0" borderId="0" xfId="1" applyNumberFormat="1" applyFont="1" applyFill="1" applyProtection="1"/>
    <xf numFmtId="37" fontId="42" fillId="0" borderId="0" xfId="0" applyFont="1" applyFill="1"/>
    <xf numFmtId="37" fontId="53" fillId="0" borderId="0" xfId="0" applyFont="1" applyAlignment="1">
      <alignment horizontal="right"/>
    </xf>
    <xf numFmtId="37" fontId="53" fillId="0" borderId="0" xfId="0" applyFont="1"/>
    <xf numFmtId="37" fontId="0" fillId="0" borderId="0" xfId="0" applyFont="1" applyBorder="1" applyAlignment="1" applyProtection="1">
      <alignment horizontal="left" indent="1"/>
      <protection locked="0"/>
    </xf>
    <xf numFmtId="37" fontId="0" fillId="0" borderId="0" xfId="0" applyFill="1" applyAlignment="1">
      <alignment horizontal="center"/>
    </xf>
    <xf numFmtId="37" fontId="8" fillId="0" borderId="0" xfId="0" applyFont="1" applyAlignment="1" applyProtection="1">
      <alignment horizontal="right"/>
    </xf>
    <xf numFmtId="169" fontId="42" fillId="0" borderId="0" xfId="0" applyNumberFormat="1" applyFont="1" applyProtection="1"/>
    <xf numFmtId="37" fontId="42" fillId="0" borderId="0" xfId="0" applyNumberFormat="1" applyFont="1" applyProtection="1">
      <protection locked="0"/>
    </xf>
    <xf numFmtId="10" fontId="42" fillId="0" borderId="0" xfId="0" applyNumberFormat="1" applyFont="1" applyProtection="1"/>
    <xf numFmtId="37" fontId="0" fillId="0" borderId="0" xfId="0" applyNumberFormat="1" applyFont="1" applyFill="1" applyBorder="1" applyProtection="1"/>
    <xf numFmtId="37" fontId="0" fillId="0" borderId="0" xfId="0" applyNumberFormat="1" applyFont="1" applyFill="1" applyAlignment="1" applyProtection="1">
      <alignment horizontal="right"/>
    </xf>
    <xf numFmtId="173" fontId="0" fillId="0" borderId="0" xfId="0" applyNumberFormat="1" applyFont="1" applyFill="1" applyProtection="1"/>
    <xf numFmtId="0" fontId="0" fillId="0" borderId="2" xfId="0" applyNumberFormat="1" applyFont="1" applyFill="1" applyBorder="1" applyAlignment="1" applyProtection="1">
      <alignment horizontal="center"/>
    </xf>
    <xf numFmtId="37" fontId="45" fillId="0" borderId="0" xfId="0" applyFont="1" applyFill="1"/>
    <xf numFmtId="37" fontId="42" fillId="0" borderId="0" xfId="0" applyFont="1" applyAlignment="1"/>
    <xf numFmtId="39" fontId="42" fillId="0" borderId="0" xfId="0" applyNumberFormat="1" applyFont="1"/>
    <xf numFmtId="175" fontId="3" fillId="0" borderId="0" xfId="0" applyNumberFormat="1" applyFont="1" applyAlignment="1"/>
    <xf numFmtId="37" fontId="12" fillId="0" borderId="0" xfId="0" applyFont="1" applyFill="1" applyAlignment="1" applyProtection="1">
      <alignment horizontal="left"/>
    </xf>
    <xf numFmtId="37" fontId="12" fillId="0" borderId="0" xfId="0" applyFont="1" applyAlignment="1" applyProtection="1">
      <alignment horizontal="right"/>
    </xf>
    <xf numFmtId="37" fontId="12" fillId="0" borderId="0" xfId="0" applyFont="1" applyBorder="1" applyAlignment="1" applyProtection="1">
      <alignment horizontal="right"/>
    </xf>
    <xf numFmtId="37" fontId="12" fillId="0" borderId="5" xfId="0" applyFont="1" applyBorder="1"/>
    <xf numFmtId="37" fontId="4" fillId="0" borderId="0" xfId="0" applyFont="1" applyFill="1" applyAlignment="1"/>
    <xf numFmtId="180" fontId="8" fillId="0" borderId="0" xfId="0" applyNumberFormat="1" applyFont="1"/>
    <xf numFmtId="37" fontId="3" fillId="0" borderId="0" xfId="0" quotePrefix="1" applyFont="1" applyFill="1"/>
    <xf numFmtId="37" fontId="3" fillId="0" borderId="0" xfId="0" applyFont="1" applyAlignment="1" applyProtection="1">
      <alignment horizontal="center"/>
    </xf>
    <xf numFmtId="37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 applyProtection="1">
      <alignment horizontal="center"/>
      <protection locked="0"/>
    </xf>
    <xf numFmtId="37" fontId="12" fillId="0" borderId="0" xfId="0" applyFont="1" applyFill="1" applyAlignment="1" applyProtection="1">
      <alignment horizontal="left" indent="2"/>
      <protection locked="0"/>
    </xf>
    <xf numFmtId="182" fontId="3" fillId="0" borderId="0" xfId="2" applyNumberFormat="1" applyFont="1" applyFill="1" applyAlignment="1">
      <alignment horizontal="center"/>
    </xf>
    <xf numFmtId="185" fontId="3" fillId="0" borderId="0" xfId="1" applyNumberFormat="1" applyFont="1" applyFill="1" applyAlignment="1">
      <alignment horizontal="center"/>
    </xf>
    <xf numFmtId="3" fontId="0" fillId="0" borderId="0" xfId="0" quotePrefix="1" applyNumberFormat="1" applyFill="1" applyAlignment="1">
      <alignment horizontal="left"/>
    </xf>
    <xf numFmtId="3" fontId="0" fillId="0" borderId="0" xfId="0" quotePrefix="1" applyNumberFormat="1" applyFill="1" applyAlignment="1">
      <alignment horizontal="right"/>
    </xf>
    <xf numFmtId="10" fontId="0" fillId="0" borderId="0" xfId="13" quotePrefix="1" applyNumberFormat="1" applyFont="1" applyFill="1" applyAlignment="1">
      <alignment horizontal="right"/>
    </xf>
    <xf numFmtId="3" fontId="0" fillId="0" borderId="0" xfId="0" quotePrefix="1" applyNumberFormat="1" applyFill="1"/>
    <xf numFmtId="37" fontId="42" fillId="0" borderId="0" xfId="0" applyFont="1" applyFill="1" applyBorder="1" applyAlignment="1">
      <alignment horizontal="center"/>
    </xf>
    <xf numFmtId="37" fontId="0" fillId="4" borderId="0" xfId="0" applyFill="1"/>
    <xf numFmtId="37" fontId="42" fillId="0" borderId="0" xfId="0" applyFont="1" applyBorder="1"/>
    <xf numFmtId="37" fontId="3" fillId="0" borderId="0" xfId="0" applyFont="1" applyAlignment="1" applyProtection="1">
      <alignment horizontal="center"/>
    </xf>
    <xf numFmtId="182" fontId="0" fillId="0" borderId="7" xfId="2" applyNumberFormat="1" applyFont="1" applyFill="1" applyBorder="1"/>
    <xf numFmtId="37" fontId="55" fillId="0" borderId="0" xfId="0" applyFont="1"/>
    <xf numFmtId="37" fontId="51" fillId="0" borderId="0" xfId="0" applyFont="1" applyAlignment="1" applyProtection="1">
      <alignment horizontal="center"/>
    </xf>
    <xf numFmtId="37" fontId="51" fillId="0" borderId="0" xfId="0" applyFont="1" applyFill="1"/>
    <xf numFmtId="182" fontId="51" fillId="0" borderId="0" xfId="2" applyNumberFormat="1" applyFont="1" applyBorder="1" applyProtection="1"/>
    <xf numFmtId="183" fontId="20" fillId="0" borderId="0" xfId="0" applyNumberFormat="1" applyFont="1" applyFill="1" applyAlignment="1">
      <alignment horizontal="left"/>
    </xf>
    <xf numFmtId="37" fontId="44" fillId="0" borderId="0" xfId="0" applyFont="1" applyFill="1"/>
    <xf numFmtId="37" fontId="42" fillId="0" borderId="0" xfId="0" quotePrefix="1" applyFont="1" applyFill="1"/>
    <xf numFmtId="37" fontId="12" fillId="0" borderId="7" xfId="0" applyNumberFormat="1" applyFont="1" applyFill="1" applyBorder="1" applyProtection="1"/>
    <xf numFmtId="37" fontId="51" fillId="0" borderId="0" xfId="0" applyFont="1" applyAlignment="1" applyProtection="1">
      <alignment horizontal="left"/>
    </xf>
    <xf numFmtId="37" fontId="56" fillId="0" borderId="0" xfId="0" applyFont="1"/>
    <xf numFmtId="37" fontId="56" fillId="0" borderId="0" xfId="0" quotePrefix="1" applyFont="1" applyAlignment="1">
      <alignment horizontal="center"/>
    </xf>
    <xf numFmtId="37" fontId="56" fillId="0" borderId="0" xfId="0" applyFont="1" applyAlignment="1" applyProtection="1">
      <alignment horizontal="center"/>
    </xf>
    <xf numFmtId="165" fontId="56" fillId="0" borderId="0" xfId="0" applyNumberFormat="1" applyFont="1" applyProtection="1"/>
    <xf numFmtId="10" fontId="56" fillId="0" borderId="0" xfId="0" applyNumberFormat="1" applyFont="1" applyFill="1" applyProtection="1"/>
    <xf numFmtId="37" fontId="57" fillId="0" borderId="0" xfId="0" applyNumberFormat="1" applyFont="1" applyBorder="1" applyProtection="1"/>
    <xf numFmtId="170" fontId="52" fillId="0" borderId="0" xfId="0" applyNumberFormat="1" applyFont="1" applyFill="1" applyProtection="1"/>
    <xf numFmtId="170" fontId="8" fillId="0" borderId="0" xfId="0" applyNumberFormat="1" applyFont="1" applyProtection="1"/>
    <xf numFmtId="37" fontId="5" fillId="0" borderId="0" xfId="0" applyFont="1" applyAlignment="1">
      <alignment horizontal="center"/>
    </xf>
    <xf numFmtId="37" fontId="51" fillId="0" borderId="0" xfId="0" applyFont="1" applyAlignment="1">
      <alignment horizontal="center"/>
    </xf>
    <xf numFmtId="37" fontId="56" fillId="0" borderId="0" xfId="0" applyFont="1" applyAlignment="1">
      <alignment horizontal="center"/>
    </xf>
    <xf numFmtId="37" fontId="56" fillId="0" borderId="0" xfId="0" applyFont="1" applyAlignment="1">
      <alignment horizontal="left"/>
    </xf>
    <xf numFmtId="185" fontId="56" fillId="0" borderId="0" xfId="1" applyNumberFormat="1" applyFont="1" applyFill="1" applyProtection="1"/>
    <xf numFmtId="37" fontId="56" fillId="0" borderId="0" xfId="0" applyFont="1" applyFill="1"/>
    <xf numFmtId="37" fontId="56" fillId="0" borderId="0" xfId="0" applyNumberFormat="1" applyFont="1" applyFill="1" applyProtection="1"/>
    <xf numFmtId="185" fontId="56" fillId="0" borderId="0" xfId="1" applyNumberFormat="1" applyFont="1" applyFill="1"/>
    <xf numFmtId="185" fontId="56" fillId="0" borderId="0" xfId="1" applyNumberFormat="1" applyFont="1"/>
    <xf numFmtId="185" fontId="56" fillId="0" borderId="0" xfId="1" applyNumberFormat="1" applyFont="1" applyProtection="1"/>
    <xf numFmtId="37" fontId="56" fillId="0" borderId="0" xfId="0" applyNumberFormat="1" applyFont="1" applyProtection="1"/>
    <xf numFmtId="10" fontId="56" fillId="0" borderId="0" xfId="0" applyNumberFormat="1" applyFont="1" applyBorder="1" applyProtection="1"/>
    <xf numFmtId="37" fontId="4" fillId="0" borderId="0" xfId="0" applyFont="1" applyFill="1" applyAlignment="1">
      <alignment horizontal="center"/>
    </xf>
    <xf numFmtId="3" fontId="42" fillId="0" borderId="0" xfId="0" applyNumberFormat="1" applyFont="1"/>
    <xf numFmtId="37" fontId="58" fillId="0" borderId="0" xfId="0" applyFont="1" applyFill="1"/>
    <xf numFmtId="173" fontId="56" fillId="0" borderId="0" xfId="13" applyNumberFormat="1" applyFont="1" applyProtection="1"/>
    <xf numFmtId="37" fontId="42" fillId="0" borderId="0" xfId="0" applyFont="1" applyFill="1" applyBorder="1"/>
    <xf numFmtId="37" fontId="8" fillId="0" borderId="7" xfId="0" applyFont="1" applyBorder="1" applyAlignment="1" applyProtection="1">
      <alignment horizontal="center"/>
    </xf>
    <xf numFmtId="37" fontId="0" fillId="0" borderId="0" xfId="0" applyFont="1" applyFill="1" applyAlignment="1">
      <alignment horizontal="center"/>
    </xf>
    <xf numFmtId="37" fontId="51" fillId="0" borderId="0" xfId="0" applyFont="1" applyAlignment="1">
      <alignment horizontal="right"/>
    </xf>
    <xf numFmtId="37" fontId="51" fillId="0" borderId="0" xfId="0" quotePrefix="1" applyNumberFormat="1" applyFont="1" applyProtection="1"/>
    <xf numFmtId="37" fontId="3" fillId="6" borderId="0" xfId="0" applyFont="1" applyFill="1"/>
    <xf numFmtId="37" fontId="3" fillId="6" borderId="0" xfId="0" applyFont="1" applyFill="1" applyBorder="1"/>
    <xf numFmtId="37" fontId="3" fillId="6" borderId="0" xfId="0" applyNumberFormat="1" applyFont="1" applyFill="1" applyProtection="1"/>
    <xf numFmtId="37" fontId="3" fillId="6" borderId="0" xfId="0" applyNumberFormat="1" applyFont="1" applyFill="1" applyBorder="1" applyProtection="1"/>
    <xf numFmtId="10" fontId="3" fillId="6" borderId="0" xfId="0" applyNumberFormat="1" applyFont="1" applyFill="1" applyBorder="1" applyProtection="1"/>
    <xf numFmtId="10" fontId="3" fillId="6" borderId="0" xfId="13" applyNumberFormat="1" applyFont="1" applyFill="1" applyBorder="1"/>
    <xf numFmtId="166" fontId="3" fillId="6" borderId="0" xfId="0" applyNumberFormat="1" applyFont="1" applyFill="1" applyBorder="1" applyProtection="1"/>
    <xf numFmtId="182" fontId="4" fillId="6" borderId="0" xfId="2" applyNumberFormat="1" applyFont="1" applyFill="1" applyProtection="1"/>
    <xf numFmtId="37" fontId="8" fillId="6" borderId="0" xfId="0" applyFont="1" applyFill="1" applyBorder="1"/>
    <xf numFmtId="37" fontId="0" fillId="0" borderId="0" xfId="0" applyFont="1" applyFill="1" applyAlignment="1" applyProtection="1">
      <alignment horizontal="left"/>
      <protection locked="0"/>
    </xf>
    <xf numFmtId="37" fontId="3" fillId="0" borderId="0" xfId="0" applyFont="1" applyAlignment="1" applyProtection="1">
      <alignment horizontal="center"/>
    </xf>
    <xf numFmtId="37" fontId="0" fillId="0" borderId="0" xfId="0" applyAlignment="1">
      <alignment horizontal="center"/>
    </xf>
    <xf numFmtId="0" fontId="24" fillId="0" borderId="0" xfId="0" applyNumberFormat="1" applyFont="1" applyFill="1" applyBorder="1"/>
    <xf numFmtId="37" fontId="0" fillId="0" borderId="0" xfId="0"/>
    <xf numFmtId="37" fontId="0" fillId="0" borderId="0" xfId="0"/>
    <xf numFmtId="37" fontId="0" fillId="0" borderId="0" xfId="0"/>
    <xf numFmtId="37" fontId="0" fillId="0" borderId="0" xfId="0"/>
    <xf numFmtId="37" fontId="0" fillId="0" borderId="0" xfId="0"/>
    <xf numFmtId="37" fontId="45" fillId="0" borderId="0" xfId="0" applyFont="1"/>
    <xf numFmtId="37" fontId="45" fillId="0" borderId="0" xfId="0" applyFont="1" applyFill="1" applyBorder="1" applyAlignment="1">
      <alignment horizontal="centerContinuous"/>
    </xf>
    <xf numFmtId="37" fontId="60" fillId="0" borderId="0" xfId="0" applyFont="1"/>
    <xf numFmtId="37" fontId="45" fillId="0" borderId="0" xfId="0" applyFont="1" applyBorder="1"/>
    <xf numFmtId="37" fontId="45" fillId="0" borderId="0" xfId="0" applyNumberFormat="1" applyFont="1" applyProtection="1"/>
    <xf numFmtId="190" fontId="3" fillId="0" borderId="0" xfId="0" applyNumberFormat="1" applyFont="1"/>
    <xf numFmtId="37" fontId="0" fillId="0" borderId="0" xfId="0" applyFont="1" applyFill="1" applyBorder="1"/>
    <xf numFmtId="37" fontId="3" fillId="0" borderId="0" xfId="0" applyFont="1" applyAlignment="1" applyProtection="1">
      <alignment horizontal="center"/>
    </xf>
    <xf numFmtId="37" fontId="0" fillId="0" borderId="32" xfId="0" applyBorder="1"/>
    <xf numFmtId="37" fontId="3" fillId="0" borderId="32" xfId="0" applyFont="1" applyBorder="1"/>
    <xf numFmtId="37" fontId="0" fillId="0" borderId="0" xfId="0" applyFill="1" applyBorder="1"/>
    <xf numFmtId="37" fontId="12" fillId="0" borderId="0" xfId="0" applyFont="1" applyFill="1" applyAlignment="1" applyProtection="1">
      <alignment horizontal="left" indent="1"/>
    </xf>
    <xf numFmtId="37" fontId="60" fillId="0" borderId="0" xfId="0" applyNumberFormat="1" applyFont="1" applyFill="1" applyBorder="1" applyProtection="1">
      <protection locked="0"/>
    </xf>
    <xf numFmtId="37" fontId="3" fillId="0" borderId="0" xfId="0" applyFont="1" applyAlignment="1" applyProtection="1">
      <alignment horizontal="center"/>
    </xf>
    <xf numFmtId="37" fontId="3" fillId="0" borderId="0" xfId="0" applyFont="1" applyAlignment="1">
      <alignment horizontal="center"/>
    </xf>
    <xf numFmtId="37" fontId="14" fillId="0" borderId="0" xfId="0" applyFont="1" applyAlignment="1">
      <alignment horizontal="center"/>
    </xf>
    <xf numFmtId="37" fontId="3" fillId="0" borderId="32" xfId="0" applyFont="1" applyBorder="1" applyAlignment="1" applyProtection="1">
      <alignment horizontal="center"/>
    </xf>
    <xf numFmtId="37" fontId="3" fillId="0" borderId="32" xfId="0" applyFont="1" applyFill="1" applyBorder="1"/>
    <xf numFmtId="10" fontId="62" fillId="0" borderId="0" xfId="13" applyNumberFormat="1" applyFont="1" applyAlignment="1" applyProtection="1">
      <alignment horizontal="center"/>
    </xf>
    <xf numFmtId="37" fontId="62" fillId="0" borderId="0" xfId="0" applyFont="1"/>
    <xf numFmtId="10" fontId="62" fillId="0" borderId="0" xfId="13" applyNumberFormat="1" applyFont="1" applyFill="1" applyAlignment="1" applyProtection="1">
      <alignment horizontal="center"/>
    </xf>
    <xf numFmtId="37" fontId="62" fillId="0" borderId="0" xfId="0" applyFont="1" applyFill="1"/>
    <xf numFmtId="37" fontId="14" fillId="0" borderId="32" xfId="0" applyFont="1" applyBorder="1"/>
    <xf numFmtId="37" fontId="14" fillId="0" borderId="0" xfId="0" applyFont="1" applyFill="1" applyBorder="1"/>
    <xf numFmtId="37" fontId="64" fillId="0" borderId="0" xfId="0" applyFont="1"/>
    <xf numFmtId="10" fontId="3" fillId="0" borderId="0" xfId="13" applyNumberFormat="1" applyFont="1" applyFill="1"/>
    <xf numFmtId="37" fontId="14" fillId="0" borderId="7" xfId="0" applyFont="1" applyBorder="1"/>
    <xf numFmtId="37" fontId="3" fillId="0" borderId="7" xfId="0" applyFont="1" applyFill="1" applyBorder="1"/>
    <xf numFmtId="37" fontId="14" fillId="0" borderId="0" xfId="0" applyFont="1" applyBorder="1" applyAlignment="1">
      <alignment horizontal="left"/>
    </xf>
    <xf numFmtId="0" fontId="8" fillId="0" borderId="0" xfId="0" applyNumberFormat="1" applyFont="1" applyFill="1" applyAlignment="1">
      <alignment horizontal="center"/>
    </xf>
    <xf numFmtId="37" fontId="42" fillId="0" borderId="0" xfId="0" applyFont="1" applyFill="1" applyAlignment="1">
      <alignment horizontal="center"/>
    </xf>
    <xf numFmtId="37" fontId="24" fillId="0" borderId="0" xfId="0" applyFont="1" applyFill="1" applyBorder="1" applyAlignment="1">
      <alignment horizontal="left"/>
    </xf>
    <xf numFmtId="37" fontId="55" fillId="0" borderId="0" xfId="0" applyFont="1" applyFill="1"/>
    <xf numFmtId="37" fontId="8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Border="1" applyAlignment="1" applyProtection="1">
      <alignment horizontal="left"/>
    </xf>
    <xf numFmtId="37" fontId="0" fillId="0" borderId="0" xfId="0" applyFont="1" applyFill="1" applyBorder="1" applyAlignment="1" applyProtection="1">
      <alignment horizontal="left" indent="2"/>
    </xf>
    <xf numFmtId="37" fontId="0" fillId="0" borderId="0" xfId="0" applyFont="1" applyFill="1" applyBorder="1" applyAlignment="1" applyProtection="1">
      <alignment horizontal="left" indent="5"/>
    </xf>
    <xf numFmtId="37" fontId="0" fillId="0" borderId="0" xfId="0" applyFill="1" applyAlignment="1">
      <alignment horizontal="center"/>
    </xf>
    <xf numFmtId="37" fontId="51" fillId="0" borderId="0" xfId="0" applyNumberFormat="1" applyFont="1" applyBorder="1" applyProtection="1"/>
    <xf numFmtId="37" fontId="14" fillId="0" borderId="0" xfId="0" applyFont="1" applyFill="1" applyBorder="1" applyAlignment="1"/>
    <xf numFmtId="186" fontId="0" fillId="0" borderId="0" xfId="0" quotePrefix="1" applyNumberFormat="1"/>
    <xf numFmtId="37" fontId="0" fillId="0" borderId="0" xfId="0" applyFill="1" applyAlignment="1">
      <alignment horizontal="center"/>
    </xf>
    <xf numFmtId="37" fontId="3" fillId="0" borderId="0" xfId="0" applyFont="1" applyFill="1" applyAlignment="1" applyProtection="1">
      <alignment horizontal="center"/>
    </xf>
    <xf numFmtId="37" fontId="12" fillId="0" borderId="0" xfId="0" applyFont="1" applyFill="1" applyAlignment="1" applyProtection="1">
      <alignment horizontal="center"/>
    </xf>
    <xf numFmtId="37" fontId="3" fillId="0" borderId="0" xfId="0" applyFont="1" applyFill="1" applyAlignment="1">
      <alignment horizontal="center"/>
    </xf>
    <xf numFmtId="37" fontId="12" fillId="0" borderId="0" xfId="0" applyFont="1" applyFill="1" applyAlignment="1">
      <alignment horizontal="center"/>
    </xf>
    <xf numFmtId="37" fontId="0" fillId="0" borderId="0" xfId="0" applyFill="1" applyAlignment="1">
      <alignment horizontal="center"/>
    </xf>
    <xf numFmtId="37" fontId="3" fillId="0" borderId="0" xfId="0" applyFont="1" applyFill="1" applyAlignment="1" applyProtection="1">
      <alignment horizontal="center"/>
    </xf>
    <xf numFmtId="37" fontId="12" fillId="0" borderId="0" xfId="0" applyFont="1" applyFill="1" applyAlignment="1" applyProtection="1">
      <alignment horizontal="center"/>
    </xf>
    <xf numFmtId="37" fontId="3" fillId="0" borderId="0" xfId="0" applyFont="1" applyFill="1" applyAlignment="1">
      <alignment horizontal="center"/>
    </xf>
    <xf numFmtId="37" fontId="5" fillId="0" borderId="0" xfId="0" applyFont="1" applyFill="1" applyAlignment="1" applyProtection="1">
      <alignment horizontal="center"/>
    </xf>
    <xf numFmtId="37" fontId="12" fillId="0" borderId="0" xfId="0" applyFont="1" applyFill="1" applyAlignment="1">
      <alignment horizontal="center"/>
    </xf>
    <xf numFmtId="37" fontId="43" fillId="0" borderId="0" xfId="0" applyFont="1" applyFill="1" applyAlignment="1">
      <alignment horizontal="left"/>
    </xf>
    <xf numFmtId="37" fontId="8" fillId="0" borderId="23" xfId="0" applyFont="1" applyFill="1" applyBorder="1" applyAlignment="1">
      <alignment horizontal="center"/>
    </xf>
    <xf numFmtId="37" fontId="8" fillId="0" borderId="7" xfId="0" applyFont="1" applyFill="1" applyBorder="1" applyAlignment="1">
      <alignment horizontal="center"/>
    </xf>
    <xf numFmtId="37" fontId="8" fillId="0" borderId="7" xfId="0" applyFont="1" applyFill="1" applyBorder="1" applyAlignment="1" applyProtection="1">
      <alignment horizontal="center"/>
      <protection locked="0"/>
    </xf>
    <xf numFmtId="37" fontId="8" fillId="0" borderId="21" xfId="0" applyFont="1" applyFill="1" applyBorder="1" applyAlignment="1">
      <alignment horizontal="center"/>
    </xf>
    <xf numFmtId="37" fontId="8" fillId="0" borderId="5" xfId="0" applyFont="1" applyFill="1" applyBorder="1" applyAlignment="1">
      <alignment horizontal="center"/>
    </xf>
    <xf numFmtId="37" fontId="8" fillId="0" borderId="5" xfId="0" applyFont="1" applyFill="1" applyBorder="1" applyAlignment="1" applyProtection="1">
      <alignment horizontal="center"/>
      <protection locked="0"/>
    </xf>
    <xf numFmtId="37" fontId="20" fillId="0" borderId="0" xfId="0" quotePrefix="1" applyFont="1" applyFill="1"/>
    <xf numFmtId="37" fontId="5" fillId="0" borderId="0" xfId="0" applyFont="1" applyFill="1" applyAlignment="1">
      <alignment horizontal="centerContinuous"/>
    </xf>
    <xf numFmtId="37" fontId="54" fillId="0" borderId="0" xfId="0" applyFont="1" applyFill="1"/>
    <xf numFmtId="37" fontId="42" fillId="0" borderId="0" xfId="0" applyFont="1" applyFill="1" applyAlignment="1">
      <alignment horizontal="left"/>
    </xf>
    <xf numFmtId="37" fontId="8" fillId="0" borderId="2" xfId="0" applyFont="1" applyFill="1" applyBorder="1" applyAlignment="1" applyProtection="1">
      <alignment horizontal="left"/>
    </xf>
    <xf numFmtId="37" fontId="8" fillId="0" borderId="24" xfId="0" applyFont="1" applyFill="1" applyBorder="1" applyAlignment="1" applyProtection="1">
      <alignment horizontal="center"/>
      <protection locked="0"/>
    </xf>
    <xf numFmtId="0" fontId="26" fillId="0" borderId="0" xfId="6" applyFont="1" applyFill="1"/>
    <xf numFmtId="43" fontId="36" fillId="0" borderId="0" xfId="1" applyFont="1" applyFill="1"/>
    <xf numFmtId="185" fontId="36" fillId="0" borderId="0" xfId="1" applyNumberFormat="1" applyFont="1" applyFill="1"/>
    <xf numFmtId="10" fontId="36" fillId="0" borderId="0" xfId="13" applyNumberFormat="1" applyFont="1" applyFill="1"/>
    <xf numFmtId="37" fontId="8" fillId="0" borderId="0" xfId="0" applyFont="1" applyFill="1" applyBorder="1" applyAlignment="1">
      <alignment horizontal="center"/>
    </xf>
    <xf numFmtId="5" fontId="27" fillId="0" borderId="0" xfId="1" applyNumberFormat="1" applyFont="1" applyFill="1" applyBorder="1"/>
    <xf numFmtId="183" fontId="20" fillId="0" borderId="0" xfId="0" applyNumberFormat="1" applyFont="1" applyFill="1" applyAlignment="1" applyProtection="1">
      <alignment horizontal="left"/>
      <protection locked="0"/>
    </xf>
    <xf numFmtId="0" fontId="20" fillId="0" borderId="0" xfId="0" quotePrefix="1" applyNumberFormat="1" applyFont="1" applyFill="1" applyAlignment="1">
      <alignment horizontal="center"/>
    </xf>
    <xf numFmtId="39" fontId="3" fillId="0" borderId="0" xfId="0" applyNumberFormat="1" applyFont="1" applyFill="1" applyAlignment="1">
      <alignment horizontal="center"/>
    </xf>
    <xf numFmtId="39" fontId="0" fillId="0" borderId="0" xfId="0" applyNumberFormat="1" applyFill="1"/>
    <xf numFmtId="39" fontId="3" fillId="0" borderId="0" xfId="0" applyNumberFormat="1" applyFont="1" applyFill="1"/>
    <xf numFmtId="39" fontId="42" fillId="0" borderId="0" xfId="0" applyNumberFormat="1" applyFont="1" applyFill="1"/>
    <xf numFmtId="37" fontId="3" fillId="0" borderId="23" xfId="0" applyFont="1" applyFill="1" applyBorder="1" applyAlignment="1">
      <alignment horizontal="center"/>
    </xf>
    <xf numFmtId="37" fontId="3" fillId="0" borderId="7" xfId="0" applyFont="1" applyFill="1" applyBorder="1" applyAlignment="1">
      <alignment horizontal="center"/>
    </xf>
    <xf numFmtId="37" fontId="3" fillId="0" borderId="7" xfId="0" applyFont="1" applyFill="1" applyBorder="1" applyAlignment="1" applyProtection="1">
      <alignment horizontal="center"/>
      <protection locked="0"/>
    </xf>
    <xf numFmtId="37" fontId="0" fillId="0" borderId="7" xfId="0" applyFill="1" applyBorder="1" applyAlignment="1">
      <alignment horizontal="center"/>
    </xf>
    <xf numFmtId="37" fontId="3" fillId="0" borderId="26" xfId="0" applyFont="1" applyFill="1" applyBorder="1" applyAlignment="1">
      <alignment horizontal="center"/>
    </xf>
    <xf numFmtId="37" fontId="3" fillId="0" borderId="21" xfId="0" applyFont="1" applyFill="1" applyBorder="1" applyAlignment="1">
      <alignment horizontal="center"/>
    </xf>
    <xf numFmtId="37" fontId="3" fillId="0" borderId="5" xfId="0" applyFont="1" applyFill="1" applyBorder="1" applyAlignment="1" applyProtection="1">
      <alignment horizontal="center"/>
      <protection locked="0"/>
    </xf>
    <xf numFmtId="37" fontId="3" fillId="0" borderId="22" xfId="0" applyFont="1" applyFill="1" applyBorder="1" applyAlignment="1">
      <alignment horizontal="center"/>
    </xf>
    <xf numFmtId="180" fontId="0" fillId="0" borderId="0" xfId="0" applyNumberFormat="1" applyFill="1"/>
    <xf numFmtId="183" fontId="3" fillId="0" borderId="0" xfId="0" applyNumberFormat="1" applyFont="1" applyFill="1" applyAlignment="1" applyProtection="1">
      <alignment horizontal="left"/>
      <protection locked="0"/>
    </xf>
    <xf numFmtId="5" fontId="3" fillId="0" borderId="0" xfId="0" applyNumberFormat="1" applyFont="1" applyFill="1" applyBorder="1"/>
    <xf numFmtId="37" fontId="0" fillId="0" borderId="0" xfId="0" applyFill="1" applyAlignment="1">
      <alignment horizontal="right"/>
    </xf>
    <xf numFmtId="37" fontId="43" fillId="0" borderId="0" xfId="0" applyFont="1" applyFill="1"/>
    <xf numFmtId="37" fontId="3" fillId="0" borderId="7" xfId="0" applyFont="1" applyFill="1" applyBorder="1" applyAlignment="1" applyProtection="1">
      <alignment horizontal="left"/>
      <protection locked="0"/>
    </xf>
    <xf numFmtId="37" fontId="3" fillId="0" borderId="24" xfId="0" applyFont="1" applyFill="1" applyBorder="1" applyAlignment="1" applyProtection="1">
      <alignment horizontal="center"/>
      <protection locked="0"/>
    </xf>
    <xf numFmtId="37" fontId="3" fillId="0" borderId="5" xfId="0" applyFont="1" applyFill="1" applyBorder="1" applyAlignment="1" applyProtection="1">
      <alignment horizontal="left"/>
      <protection locked="0"/>
    </xf>
    <xf numFmtId="170" fontId="3" fillId="0" borderId="0" xfId="13" applyNumberFormat="1" applyFont="1" applyFill="1"/>
    <xf numFmtId="174" fontId="3" fillId="0" borderId="0" xfId="13" applyNumberFormat="1" applyFont="1" applyFill="1"/>
    <xf numFmtId="0" fontId="3" fillId="0" borderId="0" xfId="0" quotePrefix="1" applyNumberFormat="1" applyFont="1" applyFill="1" applyAlignment="1">
      <alignment horizontal="center"/>
    </xf>
    <xf numFmtId="182" fontId="8" fillId="0" borderId="0" xfId="2" applyNumberFormat="1" applyFont="1" applyFill="1"/>
    <xf numFmtId="9" fontId="8" fillId="0" borderId="0" xfId="13" applyFont="1" applyFill="1"/>
    <xf numFmtId="170" fontId="8" fillId="0" borderId="0" xfId="13" applyNumberFormat="1" applyFont="1" applyFill="1"/>
    <xf numFmtId="37" fontId="3" fillId="0" borderId="0" xfId="0" applyFont="1" applyFill="1" applyAlignment="1" applyProtection="1">
      <alignment horizontal="left"/>
      <protection locked="0"/>
    </xf>
    <xf numFmtId="9" fontId="3" fillId="0" borderId="0" xfId="13" applyFont="1" applyFill="1"/>
    <xf numFmtId="9" fontId="42" fillId="0" borderId="0" xfId="13" applyFont="1" applyFill="1"/>
    <xf numFmtId="170" fontId="42" fillId="0" borderId="0" xfId="13" applyNumberFormat="1" applyFont="1" applyFill="1"/>
    <xf numFmtId="40" fontId="31" fillId="0" borderId="0" xfId="8" applyFont="1" applyFill="1" applyBorder="1" applyAlignment="1">
      <alignment horizontal="left"/>
    </xf>
    <xf numFmtId="37" fontId="4" fillId="0" borderId="0" xfId="0" applyFont="1" applyFill="1"/>
    <xf numFmtId="37" fontId="0" fillId="0" borderId="0" xfId="0" applyFont="1" applyFill="1" applyAlignment="1" applyProtection="1">
      <alignment horizontal="right"/>
    </xf>
    <xf numFmtId="37" fontId="0" fillId="0" borderId="5" xfId="0" applyFill="1" applyBorder="1"/>
    <xf numFmtId="37" fontId="0" fillId="0" borderId="3" xfId="0" applyFont="1" applyFill="1" applyBorder="1"/>
    <xf numFmtId="37" fontId="0" fillId="0" borderId="29" xfId="0" applyFont="1" applyFill="1" applyBorder="1"/>
    <xf numFmtId="37" fontId="4" fillId="0" borderId="19" xfId="0" applyFont="1" applyFill="1" applyBorder="1" applyAlignment="1" applyProtection="1">
      <alignment horizontal="center"/>
    </xf>
    <xf numFmtId="37" fontId="0" fillId="0" borderId="24" xfId="0" applyFont="1" applyFill="1" applyBorder="1"/>
    <xf numFmtId="37" fontId="0" fillId="0" borderId="5" xfId="0" applyFill="1" applyBorder="1" applyAlignment="1">
      <alignment horizontal="center"/>
    </xf>
    <xf numFmtId="37" fontId="0" fillId="0" borderId="2" xfId="0" applyFont="1" applyFill="1" applyBorder="1"/>
    <xf numFmtId="37" fontId="14" fillId="0" borderId="0" xfId="0" applyFont="1" applyFill="1" applyBorder="1" applyAlignment="1" applyProtection="1">
      <alignment horizontal="left"/>
    </xf>
    <xf numFmtId="37" fontId="22" fillId="0" borderId="0" xfId="0" applyFont="1" applyFill="1" applyBorder="1" applyProtection="1"/>
    <xf numFmtId="37" fontId="0" fillId="0" borderId="0" xfId="0" applyFont="1" applyFill="1" applyBorder="1" applyAlignment="1">
      <alignment horizontal="center"/>
    </xf>
    <xf numFmtId="37" fontId="0" fillId="0" borderId="0" xfId="0" applyFont="1" applyFill="1" applyBorder="1" applyAlignment="1">
      <alignment horizontal="left" indent="1"/>
    </xf>
    <xf numFmtId="37" fontId="61" fillId="0" borderId="0" xfId="0" applyFont="1" applyFill="1"/>
    <xf numFmtId="9" fontId="0" fillId="0" borderId="0" xfId="13" applyFont="1" applyFill="1" applyBorder="1" applyAlignment="1" applyProtection="1">
      <alignment horizontal="center"/>
    </xf>
    <xf numFmtId="185" fontId="6" fillId="0" borderId="0" xfId="1" applyNumberFormat="1" applyFont="1" applyFill="1" applyBorder="1" applyProtection="1"/>
    <xf numFmtId="37" fontId="6" fillId="0" borderId="0" xfId="0" applyFont="1" applyFill="1" applyBorder="1" applyAlignment="1" applyProtection="1">
      <alignment horizontal="center"/>
    </xf>
    <xf numFmtId="37" fontId="6" fillId="0" borderId="0" xfId="0" applyFont="1" applyFill="1" applyBorder="1" applyProtection="1"/>
    <xf numFmtId="37" fontId="6" fillId="0" borderId="0" xfId="0" applyFont="1" applyFill="1" applyBorder="1" applyAlignment="1" applyProtection="1">
      <alignment horizontal="left"/>
    </xf>
    <xf numFmtId="10" fontId="0" fillId="0" borderId="0" xfId="13" applyNumberFormat="1" applyFont="1" applyFill="1" applyBorder="1" applyAlignment="1">
      <alignment horizontal="center"/>
    </xf>
    <xf numFmtId="37" fontId="14" fillId="0" borderId="0" xfId="0" applyFont="1" applyFill="1"/>
    <xf numFmtId="37" fontId="0" fillId="0" borderId="0" xfId="0" applyFont="1" applyFill="1" applyAlignment="1">
      <alignment horizontal="centerContinuous"/>
    </xf>
    <xf numFmtId="167" fontId="0" fillId="0" borderId="0" xfId="0" applyNumberFormat="1" applyFont="1" applyFill="1" applyAlignment="1" applyProtection="1">
      <alignment horizontal="centerContinuous"/>
    </xf>
    <xf numFmtId="168" fontId="0" fillId="0" borderId="0" xfId="0" applyNumberFormat="1" applyFont="1" applyFill="1" applyAlignment="1" applyProtection="1">
      <alignment horizontal="centerContinuous"/>
    </xf>
    <xf numFmtId="37" fontId="5" fillId="0" borderId="0" xfId="0" applyFont="1" applyFill="1" applyAlignment="1" applyProtection="1">
      <alignment horizontal="center"/>
      <protection locked="0"/>
    </xf>
    <xf numFmtId="37" fontId="0" fillId="0" borderId="2" xfId="0" applyFont="1" applyFill="1" applyBorder="1" applyAlignment="1" applyProtection="1">
      <alignment horizontal="left"/>
      <protection locked="0"/>
    </xf>
    <xf numFmtId="37" fontId="5" fillId="0" borderId="0" xfId="0" applyFont="1" applyFill="1" applyAlignment="1" applyProtection="1">
      <alignment horizontal="left"/>
      <protection locked="0"/>
    </xf>
    <xf numFmtId="169" fontId="0" fillId="0" borderId="0" xfId="0" applyNumberFormat="1" applyFont="1" applyFill="1" applyProtection="1"/>
    <xf numFmtId="37" fontId="0" fillId="0" borderId="0" xfId="0" applyFont="1" applyFill="1" applyAlignment="1">
      <alignment horizontal="right"/>
    </xf>
    <xf numFmtId="37" fontId="0" fillId="0" borderId="2" xfId="0" applyFont="1" applyFill="1" applyBorder="1" applyAlignment="1" applyProtection="1">
      <alignment horizontal="left"/>
    </xf>
    <xf numFmtId="180" fontId="0" fillId="0" borderId="2" xfId="0" applyNumberFormat="1" applyFont="1" applyFill="1" applyBorder="1" applyAlignment="1" applyProtection="1">
      <alignment horizontal="center"/>
      <protection locked="0"/>
    </xf>
    <xf numFmtId="37" fontId="0" fillId="0" borderId="0" xfId="0" applyFont="1" applyFill="1" applyProtection="1"/>
    <xf numFmtId="37" fontId="34" fillId="0" borderId="0" xfId="0" applyFont="1" applyFill="1"/>
    <xf numFmtId="37" fontId="0" fillId="0" borderId="0" xfId="0" applyFont="1" applyFill="1" applyAlignment="1">
      <alignment horizontal="center"/>
    </xf>
    <xf numFmtId="37" fontId="0" fillId="0" borderId="0" xfId="0" applyFont="1" applyFill="1" applyAlignment="1" applyProtection="1">
      <alignment horizontal="right"/>
      <protection locked="0"/>
    </xf>
    <xf numFmtId="37" fontId="0" fillId="0" borderId="5" xfId="0" applyFont="1" applyFill="1" applyBorder="1"/>
    <xf numFmtId="37" fontId="0" fillId="0" borderId="5" xfId="0" applyFont="1" applyFill="1" applyBorder="1" applyAlignment="1">
      <alignment horizontal="right"/>
    </xf>
    <xf numFmtId="37" fontId="0" fillId="0" borderId="20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Continuous"/>
    </xf>
    <xf numFmtId="189" fontId="0" fillId="0" borderId="0" xfId="0" applyNumberFormat="1" applyFont="1" applyFill="1" applyBorder="1" applyAlignment="1">
      <alignment horizontal="center"/>
    </xf>
    <xf numFmtId="189" fontId="0" fillId="0" borderId="0" xfId="0" applyNumberFormat="1" applyFont="1" applyFill="1"/>
    <xf numFmtId="49" fontId="0" fillId="0" borderId="0" xfId="0" applyNumberFormat="1" applyFont="1" applyFill="1" applyAlignment="1">
      <alignment horizontal="center"/>
    </xf>
    <xf numFmtId="14" fontId="0" fillId="0" borderId="5" xfId="0" applyNumberFormat="1" applyFont="1" applyFill="1" applyBorder="1" applyAlignment="1">
      <alignment horizontal="center"/>
    </xf>
    <xf numFmtId="189" fontId="0" fillId="0" borderId="5" xfId="0" applyNumberFormat="1" applyFont="1" applyFill="1" applyBorder="1"/>
    <xf numFmtId="180" fontId="0" fillId="0" borderId="2" xfId="0" applyNumberFormat="1" applyFont="1" applyFill="1" applyBorder="1"/>
    <xf numFmtId="49" fontId="0" fillId="0" borderId="2" xfId="0" applyNumberFormat="1" applyFont="1" applyFill="1" applyBorder="1" applyAlignment="1" applyProtection="1">
      <alignment horizontal="center"/>
    </xf>
    <xf numFmtId="37" fontId="12" fillId="0" borderId="2" xfId="0" applyFont="1" applyFill="1" applyBorder="1" applyAlignment="1" applyProtection="1">
      <alignment horizontal="left"/>
    </xf>
    <xf numFmtId="37" fontId="12" fillId="0" borderId="5" xfId="0" applyFont="1" applyFill="1" applyBorder="1"/>
    <xf numFmtId="37" fontId="12" fillId="0" borderId="5" xfId="0" applyFont="1" applyFill="1" applyBorder="1" applyAlignment="1" applyProtection="1">
      <alignment horizontal="center"/>
    </xf>
    <xf numFmtId="37" fontId="13" fillId="0" borderId="5" xfId="0" applyFont="1" applyFill="1" applyBorder="1"/>
    <xf numFmtId="37" fontId="12" fillId="0" borderId="2" xfId="0" applyFont="1" applyFill="1" applyBorder="1" applyAlignment="1" applyProtection="1">
      <alignment horizontal="center"/>
    </xf>
    <xf numFmtId="180" fontId="12" fillId="0" borderId="2" xfId="0" applyNumberFormat="1" applyFont="1" applyFill="1" applyBorder="1"/>
    <xf numFmtId="189" fontId="12" fillId="0" borderId="5" xfId="0" applyNumberFormat="1" applyFont="1" applyFill="1" applyBorder="1"/>
    <xf numFmtId="49" fontId="12" fillId="0" borderId="2" xfId="0" applyNumberFormat="1" applyFont="1" applyFill="1" applyBorder="1" applyAlignment="1" applyProtection="1">
      <alignment horizontal="center"/>
    </xf>
    <xf numFmtId="37" fontId="3" fillId="0" borderId="0" xfId="0" applyFont="1" applyFill="1" applyAlignment="1" applyProtection="1">
      <alignment horizontal="right"/>
    </xf>
    <xf numFmtId="37" fontId="45" fillId="0" borderId="0" xfId="0" applyNumberFormat="1" applyFont="1" applyFill="1" applyProtection="1"/>
    <xf numFmtId="37" fontId="0" fillId="0" borderId="0" xfId="0" applyFont="1" applyFill="1" applyBorder="1" applyAlignment="1" applyProtection="1">
      <alignment horizontal="right"/>
    </xf>
    <xf numFmtId="10" fontId="67" fillId="0" borderId="0" xfId="13" applyNumberFormat="1" applyFont="1" applyFill="1"/>
    <xf numFmtId="37" fontId="5" fillId="0" borderId="0" xfId="0" applyFont="1" applyFill="1"/>
    <xf numFmtId="49" fontId="4" fillId="0" borderId="0" xfId="0" applyNumberFormat="1" applyFont="1" applyFill="1" applyBorder="1" applyAlignment="1">
      <alignment horizontal="centerContinuous"/>
    </xf>
    <xf numFmtId="49" fontId="0" fillId="0" borderId="0" xfId="0" applyNumberFormat="1" applyFont="1" applyFill="1" applyBorder="1" applyAlignment="1">
      <alignment horizontal="centerContinuous"/>
    </xf>
    <xf numFmtId="0" fontId="4" fillId="0" borderId="11" xfId="0" applyNumberFormat="1" applyFont="1" applyFill="1" applyBorder="1" applyAlignment="1">
      <alignment horizontal="centerContinuous"/>
    </xf>
    <xf numFmtId="0" fontId="0" fillId="0" borderId="12" xfId="0" applyNumberFormat="1" applyFont="1" applyFill="1" applyBorder="1" applyAlignment="1">
      <alignment horizontal="centerContinuous"/>
    </xf>
    <xf numFmtId="0" fontId="0" fillId="0" borderId="13" xfId="0" applyNumberFormat="1" applyFont="1" applyFill="1" applyBorder="1" applyAlignment="1">
      <alignment horizontal="centerContinuous"/>
    </xf>
    <xf numFmtId="37" fontId="0" fillId="0" borderId="14" xfId="0" applyFont="1" applyFill="1" applyBorder="1"/>
    <xf numFmtId="37" fontId="0" fillId="0" borderId="15" xfId="0" applyFont="1" applyFill="1" applyBorder="1" applyAlignment="1" applyProtection="1">
      <alignment horizontal="center"/>
    </xf>
    <xf numFmtId="37" fontId="0" fillId="0" borderId="16" xfId="0" applyFont="1" applyFill="1" applyBorder="1" applyAlignment="1" applyProtection="1">
      <alignment horizontal="center"/>
    </xf>
    <xf numFmtId="37" fontId="0" fillId="0" borderId="17" xfId="0" applyFont="1" applyFill="1" applyBorder="1"/>
    <xf numFmtId="37" fontId="0" fillId="0" borderId="17" xfId="0" applyFont="1" applyFill="1" applyBorder="1" applyAlignment="1" applyProtection="1">
      <alignment horizontal="center"/>
    </xf>
    <xf numFmtId="37" fontId="0" fillId="0" borderId="18" xfId="0" applyFont="1" applyFill="1" applyBorder="1" applyAlignment="1" applyProtection="1">
      <alignment horizontal="center"/>
    </xf>
    <xf numFmtId="10" fontId="0" fillId="0" borderId="0" xfId="13" applyNumberFormat="1" applyFont="1" applyFill="1" applyProtection="1"/>
    <xf numFmtId="10" fontId="0" fillId="0" borderId="0" xfId="0" applyNumberFormat="1" applyFont="1" applyFill="1"/>
    <xf numFmtId="10" fontId="12" fillId="0" borderId="0" xfId="0" applyNumberFormat="1" applyFont="1" applyFill="1" applyProtection="1"/>
    <xf numFmtId="9" fontId="0" fillId="0" borderId="0" xfId="0" applyNumberFormat="1" applyFont="1" applyFill="1"/>
    <xf numFmtId="37" fontId="48" fillId="0" borderId="0" xfId="0" applyFont="1" applyFill="1"/>
    <xf numFmtId="167" fontId="3" fillId="0" borderId="0" xfId="0" applyNumberFormat="1" applyFont="1" applyFill="1" applyProtection="1"/>
    <xf numFmtId="168" fontId="3" fillId="0" borderId="0" xfId="0" applyNumberFormat="1" applyFont="1" applyFill="1" applyProtection="1"/>
    <xf numFmtId="37" fontId="3" fillId="0" borderId="0" xfId="0" applyFont="1" applyFill="1" applyAlignment="1">
      <alignment horizontal="left" indent="1"/>
    </xf>
    <xf numFmtId="165" fontId="3" fillId="0" borderId="2" xfId="0" applyNumberFormat="1" applyFont="1" applyFill="1" applyBorder="1" applyProtection="1"/>
    <xf numFmtId="37" fontId="3" fillId="0" borderId="0" xfId="0" quotePrefix="1" applyFont="1" applyFill="1" applyAlignment="1">
      <alignment horizontal="center"/>
    </xf>
    <xf numFmtId="165" fontId="3" fillId="0" borderId="0" xfId="0" applyNumberFormat="1" applyFont="1" applyFill="1" applyProtection="1"/>
    <xf numFmtId="37" fontId="0" fillId="0" borderId="0" xfId="0" applyFill="1" applyBorder="1" applyAlignment="1">
      <alignment horizontal="center"/>
    </xf>
    <xf numFmtId="37" fontId="3" fillId="0" borderId="0" xfId="0" applyFont="1" applyFill="1" applyBorder="1" applyAlignment="1" applyProtection="1">
      <alignment horizontal="left"/>
    </xf>
    <xf numFmtId="37" fontId="3" fillId="0" borderId="0" xfId="0" applyFont="1" applyFill="1" applyBorder="1" applyAlignment="1" applyProtection="1">
      <alignment horizontal="right"/>
    </xf>
    <xf numFmtId="37" fontId="3" fillId="0" borderId="23" xfId="0" applyFont="1" applyFill="1" applyBorder="1" applyAlignment="1" applyProtection="1">
      <alignment horizontal="left"/>
    </xf>
    <xf numFmtId="37" fontId="3" fillId="0" borderId="7" xfId="0" applyFont="1" applyFill="1" applyBorder="1" applyAlignment="1" applyProtection="1">
      <alignment horizontal="center"/>
    </xf>
    <xf numFmtId="37" fontId="3" fillId="0" borderId="9" xfId="0" applyFont="1" applyFill="1" applyBorder="1" applyAlignment="1" applyProtection="1">
      <alignment horizontal="left"/>
    </xf>
    <xf numFmtId="37" fontId="0" fillId="0" borderId="9" xfId="0" applyFill="1" applyBorder="1"/>
    <xf numFmtId="37" fontId="3" fillId="0" borderId="8" xfId="0" applyFont="1" applyFill="1" applyBorder="1" applyAlignment="1" applyProtection="1">
      <alignment horizontal="left"/>
    </xf>
    <xf numFmtId="37" fontId="3" fillId="0" borderId="1" xfId="0" applyFont="1" applyFill="1" applyBorder="1" applyAlignment="1" applyProtection="1">
      <alignment horizontal="left"/>
    </xf>
    <xf numFmtId="37" fontId="3" fillId="0" borderId="8" xfId="0" applyFont="1" applyFill="1" applyBorder="1"/>
    <xf numFmtId="37" fontId="14" fillId="0" borderId="8" xfId="0" applyFont="1" applyFill="1" applyBorder="1" applyAlignment="1" applyProtection="1">
      <alignment horizontal="center"/>
    </xf>
    <xf numFmtId="37" fontId="3" fillId="0" borderId="21" xfId="0" applyFont="1" applyFill="1" applyBorder="1" applyAlignment="1" applyProtection="1">
      <alignment horizontal="center"/>
    </xf>
    <xf numFmtId="37" fontId="3" fillId="0" borderId="25" xfId="0" applyFont="1" applyFill="1" applyBorder="1" applyAlignment="1" applyProtection="1">
      <alignment horizontal="center"/>
    </xf>
    <xf numFmtId="0" fontId="0" fillId="0" borderId="0" xfId="0" applyNumberFormat="1" applyFill="1"/>
    <xf numFmtId="44" fontId="3" fillId="0" borderId="0" xfId="2" applyFont="1" applyFill="1"/>
    <xf numFmtId="43" fontId="3" fillId="0" borderId="0" xfId="1" applyFont="1" applyFill="1" applyAlignment="1" applyProtection="1">
      <alignment horizontal="left"/>
    </xf>
    <xf numFmtId="182" fontId="3" fillId="0" borderId="0" xfId="13" applyNumberFormat="1" applyFont="1" applyFill="1" applyAlignment="1">
      <alignment horizontal="center"/>
    </xf>
    <xf numFmtId="185" fontId="3" fillId="0" borderId="5" xfId="1" applyNumberFormat="1" applyFont="1" applyFill="1" applyBorder="1"/>
    <xf numFmtId="43" fontId="14" fillId="0" borderId="0" xfId="1" applyFont="1" applyFill="1" applyAlignment="1" applyProtection="1">
      <alignment horizontal="left"/>
    </xf>
    <xf numFmtId="185" fontId="0" fillId="0" borderId="5" xfId="1" applyNumberFormat="1" applyFont="1" applyFill="1" applyBorder="1"/>
    <xf numFmtId="0" fontId="8" fillId="0" borderId="0" xfId="1" applyNumberFormat="1" applyFont="1" applyFill="1" applyAlignment="1" applyProtection="1">
      <alignment horizontal="right"/>
    </xf>
    <xf numFmtId="43" fontId="8" fillId="0" borderId="0" xfId="1" applyFont="1" applyFill="1" applyAlignment="1" applyProtection="1">
      <alignment horizontal="left"/>
    </xf>
    <xf numFmtId="37" fontId="3" fillId="0" borderId="9" xfId="0" applyFont="1" applyFill="1" applyBorder="1"/>
    <xf numFmtId="37" fontId="3" fillId="0" borderId="1" xfId="0" applyFont="1" applyFill="1" applyBorder="1"/>
    <xf numFmtId="182" fontId="0" fillId="0" borderId="0" xfId="13" applyNumberFormat="1" applyFont="1" applyFill="1" applyAlignment="1">
      <alignment horizontal="center"/>
    </xf>
    <xf numFmtId="185" fontId="0" fillId="0" borderId="0" xfId="1" applyNumberFormat="1" applyFont="1" applyFill="1" applyBorder="1"/>
    <xf numFmtId="37" fontId="14" fillId="0" borderId="8" xfId="0" applyFont="1" applyFill="1" applyBorder="1" applyAlignment="1">
      <alignment horizontal="center"/>
    </xf>
    <xf numFmtId="37" fontId="14" fillId="0" borderId="21" xfId="0" applyFont="1" applyFill="1" applyBorder="1" applyAlignment="1" applyProtection="1">
      <alignment horizontal="center"/>
    </xf>
    <xf numFmtId="185" fontId="3" fillId="0" borderId="7" xfId="1" applyNumberFormat="1" applyFont="1" applyFill="1" applyBorder="1"/>
    <xf numFmtId="0" fontId="3" fillId="0" borderId="0" xfId="0" applyNumberFormat="1" applyFont="1" applyFill="1" applyAlignment="1" applyProtection="1">
      <alignment horizontal="left"/>
    </xf>
    <xf numFmtId="0" fontId="0" fillId="0" borderId="0" xfId="0" applyNumberFormat="1" applyFill="1" applyAlignment="1">
      <alignment horizontal="center"/>
    </xf>
    <xf numFmtId="187" fontId="3" fillId="0" borderId="0" xfId="1" applyNumberFormat="1" applyFont="1" applyFill="1" applyBorder="1"/>
    <xf numFmtId="185" fontId="0" fillId="0" borderId="7" xfId="1" applyNumberFormat="1" applyFont="1" applyFill="1" applyBorder="1"/>
    <xf numFmtId="37" fontId="0" fillId="0" borderId="19" xfId="0" applyFill="1" applyBorder="1"/>
    <xf numFmtId="37" fontId="3" fillId="0" borderId="2" xfId="0" applyFont="1" applyFill="1" applyBorder="1" applyAlignment="1">
      <alignment horizontal="center"/>
    </xf>
    <xf numFmtId="182" fontId="3" fillId="0" borderId="0" xfId="2" applyNumberFormat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37" fontId="12" fillId="0" borderId="0" xfId="0" applyFont="1" applyFill="1" applyAlignment="1" applyProtection="1">
      <alignment horizontal="left" indent="2"/>
    </xf>
    <xf numFmtId="180" fontId="3" fillId="0" borderId="0" xfId="0" quotePrefix="1" applyNumberFormat="1" applyFont="1" applyFill="1" applyAlignment="1" applyProtection="1">
      <alignment horizontal="center"/>
    </xf>
    <xf numFmtId="190" fontId="3" fillId="0" borderId="0" xfId="0" applyNumberFormat="1" applyFont="1" applyFill="1"/>
    <xf numFmtId="10" fontId="3" fillId="0" borderId="0" xfId="0" applyNumberFormat="1" applyFont="1" applyFill="1"/>
    <xf numFmtId="167" fontId="12" fillId="0" borderId="0" xfId="0" applyNumberFormat="1" applyFont="1" applyAlignment="1" applyProtection="1">
      <alignment horizontal="centerContinuous"/>
    </xf>
    <xf numFmtId="168" fontId="12" fillId="0" borderId="0" xfId="0" applyNumberFormat="1" applyFont="1" applyAlignment="1" applyProtection="1">
      <alignment horizontal="centerContinuous"/>
    </xf>
    <xf numFmtId="37" fontId="12" fillId="0" borderId="0" xfId="0" applyFont="1" applyBorder="1" applyAlignment="1">
      <alignment horizontal="right"/>
    </xf>
    <xf numFmtId="37" fontId="12" fillId="0" borderId="2" xfId="0" applyFont="1" applyFill="1" applyBorder="1" applyAlignment="1">
      <alignment horizontal="right"/>
    </xf>
    <xf numFmtId="37" fontId="12" fillId="0" borderId="3" xfId="0" applyFont="1" applyBorder="1" applyAlignment="1" applyProtection="1">
      <alignment horizontal="center"/>
    </xf>
    <xf numFmtId="37" fontId="12" fillId="0" borderId="3" xfId="0" applyFont="1" applyBorder="1"/>
    <xf numFmtId="37" fontId="12" fillId="0" borderId="3" xfId="0" applyFont="1" applyBorder="1" applyProtection="1">
      <protection locked="0"/>
    </xf>
    <xf numFmtId="37" fontId="12" fillId="0" borderId="3" xfId="0" applyFont="1" applyFill="1" applyBorder="1" applyAlignment="1" applyProtection="1">
      <alignment horizontal="center"/>
    </xf>
    <xf numFmtId="37" fontId="12" fillId="0" borderId="3" xfId="0" applyFont="1" applyFill="1" applyBorder="1" applyProtection="1">
      <protection locked="0"/>
    </xf>
    <xf numFmtId="37" fontId="12" fillId="0" borderId="2" xfId="0" applyFont="1" applyBorder="1" applyAlignment="1" applyProtection="1">
      <alignment horizontal="center"/>
    </xf>
    <xf numFmtId="37" fontId="12" fillId="0" borderId="3" xfId="0" applyFont="1" applyFill="1" applyBorder="1"/>
    <xf numFmtId="0" fontId="12" fillId="0" borderId="0" xfId="0" applyNumberFormat="1" applyFont="1" applyAlignment="1" applyProtection="1">
      <alignment horizontal="left"/>
      <protection locked="0"/>
    </xf>
    <xf numFmtId="37" fontId="12" fillId="0" borderId="0" xfId="0" applyNumberFormat="1" applyFont="1" applyFill="1" applyProtection="1">
      <protection locked="0"/>
    </xf>
    <xf numFmtId="0" fontId="12" fillId="0" borderId="0" xfId="0" applyNumberFormat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0" fontId="12" fillId="0" borderId="0" xfId="0" quotePrefix="1" applyNumberFormat="1" applyFont="1" applyAlignment="1" applyProtection="1">
      <alignment horizontal="left"/>
      <protection locked="0"/>
    </xf>
    <xf numFmtId="37" fontId="12" fillId="0" borderId="0" xfId="0" applyFont="1" applyFill="1" applyProtection="1">
      <protection locked="0"/>
    </xf>
    <xf numFmtId="172" fontId="12" fillId="0" borderId="0" xfId="0" applyNumberFormat="1" applyFont="1" applyFill="1" applyProtection="1"/>
    <xf numFmtId="172" fontId="12" fillId="0" borderId="0" xfId="0" applyNumberFormat="1" applyFont="1" applyFill="1" applyProtection="1">
      <protection locked="0"/>
    </xf>
    <xf numFmtId="37" fontId="15" fillId="0" borderId="0" xfId="0" applyNumberFormat="1" applyFont="1" applyFill="1" applyProtection="1">
      <protection locked="0"/>
    </xf>
    <xf numFmtId="10" fontId="12" fillId="0" borderId="0" xfId="0" applyNumberFormat="1" applyFont="1" applyFill="1" applyProtection="1">
      <protection locked="0"/>
    </xf>
    <xf numFmtId="37" fontId="15" fillId="0" borderId="0" xfId="0" applyFont="1" applyFill="1"/>
    <xf numFmtId="37" fontId="12" fillId="0" borderId="0" xfId="0" applyNumberFormat="1" applyFont="1" applyProtection="1">
      <protection locked="0"/>
    </xf>
    <xf numFmtId="37" fontId="15" fillId="0" borderId="0" xfId="0" applyNumberFormat="1" applyFont="1" applyProtection="1"/>
    <xf numFmtId="172" fontId="12" fillId="0" borderId="0" xfId="0" applyNumberFormat="1" applyFont="1" applyProtection="1">
      <protection locked="0"/>
    </xf>
    <xf numFmtId="37" fontId="4" fillId="0" borderId="0" xfId="0" applyFont="1" applyFill="1" applyAlignment="1" applyProtection="1">
      <alignment horizontal="center"/>
    </xf>
    <xf numFmtId="37" fontId="14" fillId="0" borderId="5" xfId="0" applyFont="1" applyFill="1" applyBorder="1" applyAlignment="1" applyProtection="1">
      <alignment horizontal="left"/>
    </xf>
    <xf numFmtId="37" fontId="6" fillId="0" borderId="0" xfId="0" applyFont="1" applyFill="1" applyAlignment="1" applyProtection="1">
      <alignment horizontal="center"/>
    </xf>
    <xf numFmtId="37" fontId="0" fillId="0" borderId="0" xfId="0" applyFont="1" applyFill="1" applyAlignment="1" applyProtection="1">
      <alignment horizontal="left" indent="1"/>
    </xf>
    <xf numFmtId="9" fontId="0" fillId="0" borderId="0" xfId="13" quotePrefix="1" applyFont="1" applyFill="1" applyAlignment="1">
      <alignment horizontal="center"/>
    </xf>
    <xf numFmtId="0" fontId="0" fillId="0" borderId="0" xfId="0" applyNumberFormat="1" applyFont="1" applyFill="1" applyAlignment="1" applyProtection="1">
      <alignment horizontal="center"/>
    </xf>
    <xf numFmtId="37" fontId="12" fillId="0" borderId="0" xfId="0" applyFont="1" applyFill="1" applyBorder="1" applyAlignment="1" applyProtection="1">
      <alignment horizontal="left" indent="2"/>
    </xf>
    <xf numFmtId="10" fontId="3" fillId="0" borderId="0" xfId="13" applyNumberFormat="1" applyFont="1" applyFill="1" applyAlignment="1" applyProtection="1">
      <alignment horizontal="center"/>
    </xf>
    <xf numFmtId="37" fontId="0" fillId="0" borderId="0" xfId="0" applyFont="1" applyFill="1" applyAlignment="1" applyProtection="1">
      <alignment horizontal="left" indent="2"/>
    </xf>
    <xf numFmtId="37" fontId="0" fillId="0" borderId="0" xfId="0" applyFill="1" applyAlignment="1" applyProtection="1">
      <alignment horizontal="center"/>
    </xf>
    <xf numFmtId="37" fontId="4" fillId="0" borderId="0" xfId="0" applyFont="1" applyFill="1" applyBorder="1" applyAlignment="1" applyProtection="1">
      <alignment horizontal="center"/>
    </xf>
    <xf numFmtId="37" fontId="14" fillId="0" borderId="0" xfId="0" applyFont="1" applyFill="1" applyAlignment="1" applyProtection="1">
      <alignment horizontal="left" indent="1"/>
    </xf>
    <xf numFmtId="37" fontId="12" fillId="0" borderId="0" xfId="0" applyFont="1" applyFill="1" applyAlignment="1" applyProtection="1">
      <alignment horizontal="left" indent="3"/>
    </xf>
    <xf numFmtId="37" fontId="12" fillId="0" borderId="0" xfId="0" applyFont="1" applyFill="1" applyAlignment="1">
      <alignment horizontal="left" indent="1"/>
    </xf>
    <xf numFmtId="37" fontId="9" fillId="0" borderId="0" xfId="0" applyFont="1" applyFill="1" applyAlignment="1" applyProtection="1">
      <alignment horizontal="left"/>
    </xf>
    <xf numFmtId="37" fontId="43" fillId="0" borderId="0" xfId="0" applyFont="1" applyFill="1" applyAlignment="1" applyProtection="1">
      <alignment horizontal="left"/>
    </xf>
    <xf numFmtId="185" fontId="0" fillId="0" borderId="0" xfId="1" applyNumberFormat="1" applyFont="1" applyFill="1" applyBorder="1" applyAlignment="1">
      <alignment horizontal="center"/>
    </xf>
    <xf numFmtId="10" fontId="3" fillId="0" borderId="0" xfId="13" applyNumberFormat="1" applyFont="1" applyFill="1" applyBorder="1" applyAlignment="1" applyProtection="1">
      <alignment horizontal="center"/>
    </xf>
    <xf numFmtId="10" fontId="6" fillId="0" borderId="0" xfId="0" applyNumberFormat="1" applyFont="1" applyFill="1" applyBorder="1" applyProtection="1"/>
    <xf numFmtId="10" fontId="0" fillId="0" borderId="0" xfId="0" applyNumberFormat="1" applyFont="1" applyFill="1" applyBorder="1"/>
    <xf numFmtId="10" fontId="0" fillId="0" borderId="0" xfId="0" applyNumberFormat="1" applyFill="1"/>
    <xf numFmtId="37" fontId="0" fillId="0" borderId="4" xfId="0" applyFont="1" applyFill="1" applyBorder="1"/>
    <xf numFmtId="37" fontId="4" fillId="0" borderId="4" xfId="0" applyFont="1" applyFill="1" applyBorder="1" applyAlignment="1" applyProtection="1">
      <alignment horizontal="center"/>
    </xf>
    <xf numFmtId="37" fontId="4" fillId="0" borderId="2" xfId="0" applyFont="1" applyFill="1" applyBorder="1" applyAlignment="1" applyProtection="1">
      <alignment horizontal="center"/>
    </xf>
    <xf numFmtId="37" fontId="47" fillId="0" borderId="0" xfId="0" applyFont="1" applyFill="1"/>
    <xf numFmtId="37" fontId="12" fillId="0" borderId="0" xfId="0" applyFont="1" applyFill="1" applyAlignment="1"/>
    <xf numFmtId="37" fontId="14" fillId="0" borderId="0" xfId="0" applyFont="1" applyFill="1" applyAlignment="1"/>
    <xf numFmtId="37" fontId="12" fillId="0" borderId="5" xfId="0" applyFont="1" applyBorder="1" applyAlignment="1">
      <alignment horizontal="center"/>
    </xf>
    <xf numFmtId="37" fontId="68" fillId="0" borderId="0" xfId="0" applyFont="1"/>
    <xf numFmtId="37" fontId="13" fillId="0" borderId="0" xfId="0" applyFont="1"/>
    <xf numFmtId="3" fontId="12" fillId="0" borderId="0" xfId="0" applyNumberFormat="1" applyFont="1"/>
    <xf numFmtId="10" fontId="12" fillId="0" borderId="0" xfId="0" applyNumberFormat="1" applyFont="1"/>
    <xf numFmtId="37" fontId="35" fillId="0" borderId="0" xfId="0" applyFont="1"/>
    <xf numFmtId="0" fontId="0" fillId="0" borderId="0" xfId="0" applyNumberFormat="1"/>
    <xf numFmtId="37" fontId="3" fillId="0" borderId="0" xfId="0" applyFont="1" applyAlignment="1" applyProtection="1">
      <alignment horizontal="center"/>
    </xf>
    <xf numFmtId="186" fontId="0" fillId="0" borderId="0" xfId="0" quotePrefix="1" applyNumberFormat="1" applyFill="1"/>
    <xf numFmtId="37" fontId="12" fillId="0" borderId="32" xfId="0" applyFont="1" applyBorder="1" applyAlignment="1" applyProtection="1">
      <alignment horizontal="left"/>
    </xf>
    <xf numFmtId="37" fontId="0" fillId="0" borderId="32" xfId="0" applyBorder="1" applyAlignment="1">
      <alignment horizontal="center"/>
    </xf>
    <xf numFmtId="49" fontId="0" fillId="0" borderId="0" xfId="0" applyNumberFormat="1" applyAlignment="1">
      <alignment horizontal="center"/>
    </xf>
    <xf numFmtId="37" fontId="3" fillId="0" borderId="0" xfId="0" applyFont="1" applyAlignment="1" applyProtection="1">
      <alignment horizontal="center"/>
    </xf>
    <xf numFmtId="37" fontId="14" fillId="0" borderId="0" xfId="0" applyFont="1" applyAlignment="1" applyProtection="1">
      <alignment horizontal="left"/>
    </xf>
    <xf numFmtId="191" fontId="42" fillId="0" borderId="0" xfId="13" applyNumberFormat="1" applyFont="1" applyFill="1" applyAlignment="1">
      <alignment horizontal="center"/>
    </xf>
    <xf numFmtId="43" fontId="42" fillId="0" borderId="0" xfId="1" applyFont="1" applyFill="1" applyAlignment="1">
      <alignment horizontal="center"/>
    </xf>
    <xf numFmtId="174" fontId="42" fillId="0" borderId="0" xfId="13" applyNumberFormat="1" applyFont="1" applyFill="1" applyAlignment="1">
      <alignment horizontal="center"/>
    </xf>
    <xf numFmtId="188" fontId="42" fillId="0" borderId="0" xfId="13" applyNumberFormat="1" applyFont="1" applyFill="1" applyAlignment="1">
      <alignment horizontal="center"/>
    </xf>
    <xf numFmtId="37" fontId="34" fillId="0" borderId="0" xfId="0" applyFont="1" applyFill="1" applyAlignment="1" applyProtection="1">
      <alignment horizontal="left"/>
    </xf>
    <xf numFmtId="37" fontId="42" fillId="0" borderId="0" xfId="0" applyFont="1" applyAlignment="1">
      <alignment horizontal="center"/>
    </xf>
    <xf numFmtId="37" fontId="42" fillId="0" borderId="0" xfId="0" applyFont="1" applyFill="1" applyAlignment="1" applyProtection="1">
      <alignment horizontal="center"/>
    </xf>
    <xf numFmtId="182" fontId="70" fillId="0" borderId="0" xfId="2" applyNumberFormat="1" applyFont="1" applyFill="1" applyProtection="1">
      <protection locked="0"/>
    </xf>
    <xf numFmtId="185" fontId="72" fillId="0" borderId="0" xfId="1" applyNumberFormat="1" applyFont="1" applyFill="1"/>
    <xf numFmtId="37" fontId="73" fillId="0" borderId="0" xfId="0" applyFont="1" applyFill="1"/>
    <xf numFmtId="185" fontId="73" fillId="0" borderId="0" xfId="1" applyNumberFormat="1" applyFont="1" applyFill="1"/>
    <xf numFmtId="37" fontId="44" fillId="0" borderId="2" xfId="0" applyNumberFormat="1" applyFont="1" applyFill="1" applyBorder="1" applyProtection="1"/>
    <xf numFmtId="37" fontId="42" fillId="0" borderId="0" xfId="5" applyFont="1" applyProtection="1"/>
    <xf numFmtId="185" fontId="71" fillId="0" borderId="0" xfId="1" applyNumberFormat="1" applyFont="1" applyFill="1" applyBorder="1"/>
    <xf numFmtId="37" fontId="44" fillId="0" borderId="0" xfId="0" applyFont="1" applyFill="1" applyAlignment="1">
      <alignment horizontal="center"/>
    </xf>
    <xf numFmtId="37" fontId="54" fillId="0" borderId="0" xfId="0" applyNumberFormat="1" applyFont="1" applyFill="1" applyProtection="1"/>
    <xf numFmtId="37" fontId="5" fillId="0" borderId="0" xfId="0" applyFont="1" applyFill="1" applyBorder="1"/>
    <xf numFmtId="10" fontId="54" fillId="0" borderId="0" xfId="13" applyNumberFormat="1" applyFont="1" applyFill="1"/>
    <xf numFmtId="37" fontId="0" fillId="0" borderId="0" xfId="0" applyAlignment="1">
      <alignment horizontal="right"/>
    </xf>
    <xf numFmtId="37" fontId="0" fillId="0" borderId="0" xfId="0" applyFill="1" applyAlignment="1">
      <alignment horizontal="center"/>
    </xf>
    <xf numFmtId="37" fontId="45" fillId="0" borderId="0" xfId="0" applyFont="1" applyFill="1" applyAlignment="1">
      <alignment horizontal="left"/>
    </xf>
    <xf numFmtId="37" fontId="0" fillId="0" borderId="0" xfId="0" applyFill="1" applyAlignment="1">
      <alignment horizontal="center"/>
    </xf>
    <xf numFmtId="37" fontId="0" fillId="0" borderId="0" xfId="0" applyFill="1" applyAlignment="1">
      <alignment horizontal="center"/>
    </xf>
    <xf numFmtId="37" fontId="74" fillId="0" borderId="0" xfId="0" applyFont="1"/>
    <xf numFmtId="43" fontId="8" fillId="0" borderId="0" xfId="1" applyFont="1" applyFill="1" applyAlignment="1" applyProtection="1">
      <alignment horizontal="center"/>
    </xf>
    <xf numFmtId="0" fontId="8" fillId="0" borderId="0" xfId="1" applyNumberFormat="1" applyFont="1" applyFill="1" applyAlignment="1" applyProtection="1">
      <alignment horizontal="center"/>
    </xf>
    <xf numFmtId="0" fontId="3" fillId="0" borderId="0" xfId="1" applyNumberFormat="1" applyFont="1" applyFill="1" applyAlignment="1" applyProtection="1">
      <alignment horizontal="center"/>
    </xf>
    <xf numFmtId="43" fontId="3" fillId="0" borderId="0" xfId="1" applyFont="1" applyFill="1" applyAlignment="1" applyProtection="1">
      <alignment horizontal="center"/>
    </xf>
    <xf numFmtId="37" fontId="8" fillId="0" borderId="22" xfId="0" applyFont="1" applyFill="1" applyBorder="1" applyAlignment="1">
      <alignment horizontal="center"/>
    </xf>
    <xf numFmtId="37" fontId="12" fillId="0" borderId="7" xfId="0" applyFont="1" applyFill="1" applyBorder="1"/>
    <xf numFmtId="37" fontId="0" fillId="0" borderId="0" xfId="0" applyFill="1" applyAlignment="1">
      <alignment horizontal="center"/>
    </xf>
    <xf numFmtId="37" fontId="46" fillId="0" borderId="0" xfId="0" applyFont="1" applyFill="1"/>
    <xf numFmtId="37" fontId="0" fillId="0" borderId="0" xfId="0" applyFont="1" applyFill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37" fontId="34" fillId="0" borderId="0" xfId="0" applyFont="1" applyFill="1" applyAlignment="1">
      <alignment horizontal="center"/>
    </xf>
    <xf numFmtId="37" fontId="8" fillId="0" borderId="0" xfId="0" applyFont="1" applyFill="1" applyAlignment="1">
      <alignment horizontal="left"/>
    </xf>
    <xf numFmtId="37" fontId="0" fillId="0" borderId="0" xfId="0" applyNumberFormat="1" applyFont="1" applyFill="1" applyAlignment="1" applyProtection="1">
      <alignment horizontal="center"/>
    </xf>
    <xf numFmtId="39" fontId="0" fillId="0" borderId="0" xfId="0" applyNumberFormat="1" applyFont="1" applyFill="1" applyAlignment="1" applyProtection="1">
      <alignment horizontal="center"/>
    </xf>
    <xf numFmtId="37" fontId="71" fillId="0" borderId="0" xfId="0" applyNumberFormat="1" applyFont="1" applyFill="1" applyAlignment="1" applyProtection="1">
      <alignment horizontal="center"/>
    </xf>
    <xf numFmtId="37" fontId="0" fillId="0" borderId="2" xfId="0" applyNumberFormat="1" applyFont="1" applyFill="1" applyBorder="1" applyAlignment="1" applyProtection="1">
      <alignment horizontal="center"/>
    </xf>
    <xf numFmtId="10" fontId="6" fillId="0" borderId="0" xfId="0" applyNumberFormat="1" applyFont="1" applyFill="1" applyAlignment="1" applyProtection="1">
      <alignment horizontal="center"/>
    </xf>
    <xf numFmtId="37" fontId="71" fillId="0" borderId="0" xfId="0" applyNumberFormat="1" applyFont="1" applyFill="1" applyAlignment="1" applyProtection="1">
      <alignment horizontal="center"/>
      <protection locked="0"/>
    </xf>
    <xf numFmtId="37" fontId="0" fillId="0" borderId="7" xfId="0" applyNumberFormat="1" applyFont="1" applyFill="1" applyBorder="1" applyAlignment="1" applyProtection="1">
      <alignment horizontal="center"/>
    </xf>
    <xf numFmtId="37" fontId="0" fillId="0" borderId="0" xfId="0" applyNumberFormat="1" applyFont="1" applyFill="1" applyAlignment="1" applyProtection="1">
      <alignment horizontal="center"/>
      <protection locked="0"/>
    </xf>
    <xf numFmtId="37" fontId="0" fillId="0" borderId="2" xfId="0" applyNumberFormat="1" applyFont="1" applyFill="1" applyBorder="1" applyAlignment="1" applyProtection="1">
      <alignment horizontal="center"/>
      <protection locked="0"/>
    </xf>
    <xf numFmtId="37" fontId="3" fillId="0" borderId="5" xfId="0" applyFont="1" applyBorder="1" applyAlignment="1">
      <alignment horizontal="right"/>
    </xf>
    <xf numFmtId="37" fontId="68" fillId="0" borderId="0" xfId="0" applyFont="1" applyFill="1" applyAlignment="1" applyProtection="1">
      <alignment horizontal="left"/>
    </xf>
    <xf numFmtId="37" fontId="0" fillId="0" borderId="2" xfId="0" applyFont="1" applyFill="1" applyBorder="1" applyAlignment="1" applyProtection="1">
      <alignment horizontal="right"/>
    </xf>
    <xf numFmtId="37" fontId="12" fillId="0" borderId="0" xfId="0" applyFont="1" applyFill="1" applyAlignment="1" applyProtection="1">
      <alignment horizontal="right"/>
    </xf>
    <xf numFmtId="37" fontId="0" fillId="0" borderId="0" xfId="0" applyAlignment="1">
      <alignment horizontal="center"/>
    </xf>
    <xf numFmtId="37" fontId="0" fillId="0" borderId="0" xfId="0" applyFill="1" applyAlignment="1">
      <alignment horizontal="center"/>
    </xf>
    <xf numFmtId="37" fontId="4" fillId="0" borderId="0" xfId="0" applyFont="1" applyFill="1" applyAlignment="1">
      <alignment horizontal="center"/>
    </xf>
    <xf numFmtId="44" fontId="0" fillId="0" borderId="0" xfId="2" applyFont="1"/>
    <xf numFmtId="182" fontId="0" fillId="0" borderId="0" xfId="2" applyNumberFormat="1" applyFont="1"/>
    <xf numFmtId="37" fontId="18" fillId="0" borderId="0" xfId="0" applyFont="1" applyAlignment="1">
      <alignment horizontal="left" indent="2"/>
    </xf>
    <xf numFmtId="37" fontId="0" fillId="0" borderId="0" xfId="0" applyAlignment="1">
      <alignment horizontal="left" indent="4"/>
    </xf>
    <xf numFmtId="37" fontId="54" fillId="0" borderId="0" xfId="0" applyFont="1" applyBorder="1"/>
    <xf numFmtId="37" fontId="54" fillId="0" borderId="0" xfId="0" applyFont="1"/>
    <xf numFmtId="37" fontId="0" fillId="0" borderId="0" xfId="0" applyAlignment="1">
      <alignment horizontal="center"/>
    </xf>
    <xf numFmtId="37" fontId="4" fillId="0" borderId="0" xfId="0" applyFont="1" applyFill="1" applyAlignment="1">
      <alignment horizontal="center"/>
    </xf>
    <xf numFmtId="37" fontId="75" fillId="0" borderId="0" xfId="0" applyFont="1"/>
    <xf numFmtId="37" fontId="76" fillId="0" borderId="0" xfId="0" applyFont="1"/>
    <xf numFmtId="173" fontId="76" fillId="0" borderId="0" xfId="13" applyNumberFormat="1" applyFont="1" applyProtection="1"/>
    <xf numFmtId="37" fontId="12" fillId="0" borderId="0" xfId="0" applyFont="1" applyAlignment="1">
      <alignment horizontal="left" indent="2"/>
    </xf>
    <xf numFmtId="37" fontId="12" fillId="0" borderId="0" xfId="0" applyFont="1" applyAlignment="1">
      <alignment horizontal="left"/>
    </xf>
    <xf numFmtId="182" fontId="44" fillId="0" borderId="0" xfId="2" applyNumberFormat="1" applyFont="1" applyBorder="1"/>
    <xf numFmtId="37" fontId="3" fillId="0" borderId="5" xfId="5" applyFont="1" applyBorder="1" applyAlignment="1" applyProtection="1">
      <alignment horizontal="center"/>
    </xf>
    <xf numFmtId="37" fontId="3" fillId="0" borderId="5" xfId="5" applyFont="1" applyBorder="1"/>
    <xf numFmtId="37" fontId="77" fillId="0" borderId="0" xfId="5" applyFont="1"/>
    <xf numFmtId="37" fontId="3" fillId="0" borderId="0" xfId="5" applyFont="1" applyBorder="1" applyAlignment="1"/>
    <xf numFmtId="37" fontId="3" fillId="0" borderId="0" xfId="5" applyFont="1" applyBorder="1" applyAlignment="1" applyProtection="1"/>
    <xf numFmtId="179" fontId="3" fillId="0" borderId="0" xfId="5" applyNumberFormat="1" applyFont="1" applyAlignment="1"/>
    <xf numFmtId="173" fontId="3" fillId="0" borderId="0" xfId="13" applyNumberFormat="1" applyFont="1" applyAlignment="1">
      <alignment horizontal="center"/>
    </xf>
    <xf numFmtId="37" fontId="3" fillId="0" borderId="0" xfId="5" applyFont="1" applyAlignment="1">
      <alignment horizontal="center"/>
    </xf>
    <xf numFmtId="179" fontId="3" fillId="0" borderId="0" xfId="5" applyNumberFormat="1" applyFont="1" applyAlignment="1">
      <alignment horizontal="center"/>
    </xf>
    <xf numFmtId="10" fontId="8" fillId="0" borderId="0" xfId="13" applyNumberFormat="1" applyFont="1"/>
    <xf numFmtId="37" fontId="76" fillId="0" borderId="0" xfId="0" applyFont="1" applyFill="1"/>
    <xf numFmtId="37" fontId="76" fillId="0" borderId="0" xfId="0" applyFont="1" applyAlignment="1" applyProtection="1">
      <alignment horizontal="center"/>
    </xf>
    <xf numFmtId="37" fontId="78" fillId="0" borderId="0" xfId="0" applyFont="1" applyFill="1"/>
    <xf numFmtId="37" fontId="14" fillId="0" borderId="0" xfId="0" applyFont="1" applyBorder="1" applyAlignment="1" applyProtection="1">
      <alignment horizontal="left"/>
    </xf>
    <xf numFmtId="37" fontId="18" fillId="0" borderId="0" xfId="0" applyFont="1" applyAlignment="1">
      <alignment horizontal="left"/>
    </xf>
    <xf numFmtId="43" fontId="0" fillId="0" borderId="0" xfId="1" applyFont="1"/>
    <xf numFmtId="37" fontId="0" fillId="0" borderId="7" xfId="0" applyBorder="1"/>
    <xf numFmtId="186" fontId="0" fillId="0" borderId="7" xfId="0" quotePrefix="1" applyNumberFormat="1" applyBorder="1"/>
    <xf numFmtId="186" fontId="0" fillId="0" borderId="7" xfId="0" quotePrefix="1" applyNumberFormat="1" applyBorder="1" applyAlignment="1">
      <alignment horizontal="right"/>
    </xf>
    <xf numFmtId="44" fontId="0" fillId="0" borderId="7" xfId="2" applyFont="1" applyBorder="1"/>
    <xf numFmtId="43" fontId="0" fillId="0" borderId="7" xfId="1" applyFont="1" applyBorder="1"/>
    <xf numFmtId="186" fontId="0" fillId="0" borderId="0" xfId="0" quotePrefix="1" applyNumberFormat="1" applyBorder="1" applyAlignment="1">
      <alignment horizontal="right"/>
    </xf>
    <xf numFmtId="43" fontId="0" fillId="0" borderId="0" xfId="1" applyFont="1" applyBorder="1"/>
    <xf numFmtId="44" fontId="0" fillId="0" borderId="0" xfId="2" applyFont="1" applyBorder="1"/>
    <xf numFmtId="37" fontId="5" fillId="0" borderId="0" xfId="0" applyFont="1" applyBorder="1" applyAlignment="1">
      <alignment horizontal="center"/>
    </xf>
    <xf numFmtId="185" fontId="0" fillId="0" borderId="0" xfId="1" applyNumberFormat="1" applyFont="1"/>
    <xf numFmtId="186" fontId="0" fillId="0" borderId="0" xfId="0" quotePrefix="1" applyNumberFormat="1" applyBorder="1" applyAlignment="1">
      <alignment horizontal="left"/>
    </xf>
    <xf numFmtId="186" fontId="80" fillId="0" borderId="0" xfId="0" quotePrefix="1" applyNumberFormat="1" applyFont="1" applyBorder="1" applyAlignment="1">
      <alignment horizontal="center"/>
    </xf>
    <xf numFmtId="186" fontId="81" fillId="0" borderId="0" xfId="0" quotePrefix="1" applyNumberFormat="1" applyFont="1" applyBorder="1" applyAlignment="1">
      <alignment horizontal="center"/>
    </xf>
    <xf numFmtId="37" fontId="13" fillId="0" borderId="0" xfId="0" applyFont="1" applyBorder="1" applyAlignment="1" applyProtection="1">
      <alignment horizontal="center"/>
    </xf>
    <xf numFmtId="37" fontId="3" fillId="7" borderId="0" xfId="0" applyFont="1" applyFill="1" applyBorder="1"/>
    <xf numFmtId="37" fontId="0" fillId="0" borderId="0" xfId="0" applyAlignment="1">
      <alignment horizontal="center"/>
    </xf>
    <xf numFmtId="37" fontId="0" fillId="0" borderId="0" xfId="0" applyFont="1" applyAlignment="1" applyProtection="1"/>
    <xf numFmtId="37" fontId="0" fillId="0" borderId="0" xfId="0" applyAlignment="1"/>
    <xf numFmtId="185" fontId="12" fillId="0" borderId="0" xfId="1" applyNumberFormat="1" applyFont="1" applyBorder="1" applyAlignment="1">
      <alignment horizontal="left" indent="1"/>
    </xf>
    <xf numFmtId="37" fontId="66" fillId="0" borderId="0" xfId="0" applyFont="1" applyFill="1" applyAlignment="1" applyProtection="1">
      <alignment horizontal="left" wrapText="1"/>
    </xf>
    <xf numFmtId="37" fontId="3" fillId="0" borderId="0" xfId="0" applyFont="1" applyFill="1" applyAlignment="1">
      <alignment horizontal="center"/>
    </xf>
    <xf numFmtId="37" fontId="0" fillId="0" borderId="0" xfId="0" applyNumberFormat="1" applyFont="1" applyFill="1" applyBorder="1"/>
    <xf numFmtId="37" fontId="0" fillId="0" borderId="0" xfId="0" applyFont="1" applyFill="1" applyAlignment="1">
      <alignment horizontal="center"/>
    </xf>
    <xf numFmtId="37" fontId="12" fillId="0" borderId="0" xfId="0" applyFont="1" applyFill="1" applyAlignment="1">
      <alignment horizontal="center"/>
    </xf>
    <xf numFmtId="37" fontId="14" fillId="0" borderId="5" xfId="0" applyFont="1" applyBorder="1" applyAlignment="1">
      <alignment horizontal="center" wrapText="1"/>
    </xf>
    <xf numFmtId="0" fontId="12" fillId="0" borderId="0" xfId="0" applyNumberFormat="1" applyFont="1"/>
    <xf numFmtId="186" fontId="12" fillId="0" borderId="0" xfId="0" quotePrefix="1" applyNumberFormat="1" applyFont="1" applyFill="1"/>
    <xf numFmtId="0" fontId="82" fillId="0" borderId="5" xfId="28" applyFont="1" applyBorder="1" applyAlignment="1">
      <alignment horizontal="center" wrapText="1"/>
    </xf>
    <xf numFmtId="0" fontId="82" fillId="0" borderId="0" xfId="28" applyFont="1" applyBorder="1" applyAlignment="1">
      <alignment horizontal="center" wrapText="1"/>
    </xf>
    <xf numFmtId="17" fontId="12" fillId="0" borderId="0" xfId="0" applyNumberFormat="1" applyFont="1"/>
    <xf numFmtId="182" fontId="12" fillId="0" borderId="0" xfId="2" applyNumberFormat="1" applyFont="1"/>
    <xf numFmtId="0" fontId="82" fillId="0" borderId="5" xfId="28" applyFont="1" applyBorder="1" applyAlignment="1">
      <alignment horizontal="center"/>
    </xf>
    <xf numFmtId="17" fontId="12" fillId="10" borderId="0" xfId="0" applyNumberFormat="1" applyFont="1" applyFill="1"/>
    <xf numFmtId="37" fontId="12" fillId="10" borderId="0" xfId="0" applyFont="1" applyFill="1"/>
    <xf numFmtId="17" fontId="12" fillId="9" borderId="0" xfId="0" applyNumberFormat="1" applyFont="1" applyFill="1"/>
    <xf numFmtId="37" fontId="12" fillId="9" borderId="0" xfId="0" applyFont="1" applyFill="1"/>
    <xf numFmtId="37" fontId="83" fillId="10" borderId="0" xfId="0" applyFont="1" applyFill="1" applyAlignment="1">
      <alignment horizontal="center"/>
    </xf>
    <xf numFmtId="37" fontId="83" fillId="9" borderId="0" xfId="0" applyFont="1" applyFill="1" applyAlignment="1">
      <alignment horizontal="center"/>
    </xf>
    <xf numFmtId="37" fontId="35" fillId="0" borderId="0" xfId="0" applyFont="1" applyBorder="1"/>
    <xf numFmtId="10" fontId="3" fillId="0" borderId="0" xfId="13" applyNumberFormat="1" applyFont="1" applyAlignment="1">
      <alignment horizontal="center"/>
    </xf>
    <xf numFmtId="178" fontId="3" fillId="0" borderId="0" xfId="1" applyNumberFormat="1" applyFont="1" applyFill="1" applyProtection="1"/>
    <xf numFmtId="182" fontId="4" fillId="0" borderId="0" xfId="2" applyNumberFormat="1" applyFont="1" applyFill="1" applyProtection="1"/>
    <xf numFmtId="182" fontId="14" fillId="0" borderId="0" xfId="2" applyNumberFormat="1" applyFont="1" applyFill="1" applyProtection="1"/>
    <xf numFmtId="182" fontId="3" fillId="0" borderId="6" xfId="2" applyNumberFormat="1" applyFont="1" applyBorder="1" applyProtection="1"/>
    <xf numFmtId="37" fontId="0" fillId="0" borderId="2" xfId="0" applyFont="1" applyBorder="1" applyAlignment="1" applyProtection="1">
      <alignment horizontal="right"/>
    </xf>
    <xf numFmtId="182" fontId="3" fillId="0" borderId="10" xfId="2" applyNumberFormat="1" applyFont="1" applyFill="1" applyBorder="1"/>
    <xf numFmtId="182" fontId="3" fillId="0" borderId="6" xfId="2" applyNumberFormat="1" applyFont="1" applyFill="1" applyBorder="1"/>
    <xf numFmtId="37" fontId="0" fillId="0" borderId="5" xfId="0" applyFont="1" applyFill="1" applyBorder="1" applyAlignment="1" applyProtection="1">
      <alignment horizontal="left"/>
    </xf>
    <xf numFmtId="14" fontId="0" fillId="0" borderId="5" xfId="0" applyNumberFormat="1" applyFont="1" applyFill="1" applyBorder="1" applyAlignment="1" applyProtection="1">
      <alignment horizontal="center"/>
    </xf>
    <xf numFmtId="10" fontId="3" fillId="0" borderId="0" xfId="13" quotePrefix="1" applyNumberFormat="1" applyFont="1" applyFill="1" applyAlignment="1">
      <alignment horizontal="center"/>
    </xf>
    <xf numFmtId="37" fontId="0" fillId="0" borderId="5" xfId="0" applyFont="1" applyBorder="1" applyAlignment="1" applyProtection="1">
      <alignment horizontal="left"/>
    </xf>
    <xf numFmtId="185" fontId="3" fillId="0" borderId="2" xfId="1" applyNumberFormat="1" applyFont="1" applyFill="1" applyBorder="1" applyProtection="1"/>
    <xf numFmtId="14" fontId="0" fillId="0" borderId="8" xfId="0" applyNumberFormat="1" applyFont="1" applyBorder="1" applyAlignment="1">
      <alignment horizontal="center"/>
    </xf>
    <xf numFmtId="182" fontId="12" fillId="0" borderId="0" xfId="2" applyNumberFormat="1" applyFont="1" applyProtection="1"/>
    <xf numFmtId="9" fontId="12" fillId="0" borderId="0" xfId="13" applyFont="1" applyAlignment="1" applyProtection="1">
      <alignment horizontal="center"/>
    </xf>
    <xf numFmtId="10" fontId="12" fillId="0" borderId="0" xfId="13" applyNumberFormat="1" applyFont="1" applyFill="1" applyAlignment="1" applyProtection="1">
      <alignment horizontal="center"/>
    </xf>
    <xf numFmtId="185" fontId="12" fillId="0" borderId="0" xfId="1" applyNumberFormat="1" applyFont="1" applyProtection="1"/>
    <xf numFmtId="10" fontId="12" fillId="0" borderId="0" xfId="13" applyNumberFormat="1" applyFont="1" applyAlignment="1" applyProtection="1">
      <alignment horizontal="center"/>
    </xf>
    <xf numFmtId="185" fontId="12" fillId="0" borderId="5" xfId="1" applyNumberFormat="1" applyFont="1" applyBorder="1" applyProtection="1"/>
    <xf numFmtId="43" fontId="12" fillId="0" borderId="0" xfId="1" applyFont="1" applyFill="1" applyProtection="1"/>
    <xf numFmtId="43" fontId="12" fillId="0" borderId="5" xfId="1" applyFont="1" applyFill="1" applyBorder="1" applyProtection="1"/>
    <xf numFmtId="182" fontId="12" fillId="0" borderId="6" xfId="2" applyNumberFormat="1" applyFont="1" applyBorder="1" applyProtection="1"/>
    <xf numFmtId="37" fontId="0" fillId="0" borderId="0" xfId="0" applyFont="1" applyAlignment="1" applyProtection="1">
      <alignment horizontal="left" indent="2"/>
    </xf>
    <xf numFmtId="182" fontId="3" fillId="0" borderId="0" xfId="2" applyNumberFormat="1" applyFont="1" applyProtection="1"/>
    <xf numFmtId="37" fontId="0" fillId="0" borderId="0" xfId="0" applyFont="1" applyAlignment="1">
      <alignment horizontal="left" indent="2"/>
    </xf>
    <xf numFmtId="37" fontId="0" fillId="0" borderId="2" xfId="0" applyNumberFormat="1" applyFont="1" applyBorder="1" applyProtection="1"/>
    <xf numFmtId="9" fontId="0" fillId="0" borderId="0" xfId="0" applyNumberFormat="1" applyFont="1" applyAlignment="1" applyProtection="1">
      <alignment horizontal="center"/>
    </xf>
    <xf numFmtId="182" fontId="3" fillId="0" borderId="19" xfId="2" applyNumberFormat="1" applyFont="1" applyFill="1" applyBorder="1" applyProtection="1"/>
    <xf numFmtId="182" fontId="3" fillId="0" borderId="6" xfId="2" applyNumberFormat="1" applyFont="1" applyBorder="1"/>
    <xf numFmtId="37" fontId="0" fillId="0" borderId="0" xfId="0" applyFont="1" applyBorder="1" applyAlignment="1">
      <alignment horizontal="right"/>
    </xf>
    <xf numFmtId="9" fontId="3" fillId="0" borderId="0" xfId="13" applyFont="1" applyBorder="1" applyAlignment="1">
      <alignment horizontal="center"/>
    </xf>
    <xf numFmtId="182" fontId="3" fillId="0" borderId="19" xfId="2" applyNumberFormat="1" applyFont="1" applyBorder="1"/>
    <xf numFmtId="37" fontId="14" fillId="0" borderId="6" xfId="0" applyFont="1" applyBorder="1"/>
    <xf numFmtId="37" fontId="0" fillId="0" borderId="19" xfId="0" applyFont="1" applyBorder="1"/>
    <xf numFmtId="37" fontId="14" fillId="0" borderId="10" xfId="0" applyFont="1" applyBorder="1"/>
    <xf numFmtId="37" fontId="0" fillId="0" borderId="32" xfId="0" applyFont="1" applyFill="1" applyBorder="1"/>
    <xf numFmtId="37" fontId="14" fillId="0" borderId="19" xfId="0" applyFont="1" applyFill="1" applyBorder="1"/>
    <xf numFmtId="37" fontId="14" fillId="0" borderId="10" xfId="0" applyFont="1" applyFill="1" applyBorder="1"/>
    <xf numFmtId="9" fontId="0" fillId="0" borderId="0" xfId="0" applyNumberFormat="1" applyFont="1" applyBorder="1" applyAlignment="1" applyProtection="1">
      <alignment horizontal="center"/>
    </xf>
    <xf numFmtId="182" fontId="3" fillId="0" borderId="0" xfId="2" applyNumberFormat="1" applyFont="1" applyBorder="1"/>
    <xf numFmtId="10" fontId="0" fillId="0" borderId="0" xfId="0" applyNumberFormat="1" applyFont="1" applyBorder="1" applyAlignment="1" applyProtection="1">
      <alignment horizontal="center"/>
    </xf>
    <xf numFmtId="9" fontId="3" fillId="0" borderId="0" xfId="13" applyFont="1" applyBorder="1" applyAlignment="1" applyProtection="1">
      <alignment horizontal="center"/>
    </xf>
    <xf numFmtId="10" fontId="3" fillId="0" borderId="0" xfId="13" applyNumberFormat="1" applyFont="1" applyBorder="1" applyAlignment="1" applyProtection="1">
      <alignment horizontal="center"/>
    </xf>
    <xf numFmtId="182" fontId="3" fillId="0" borderId="10" xfId="2" applyNumberFormat="1" applyFont="1" applyBorder="1"/>
    <xf numFmtId="186" fontId="0" fillId="0" borderId="5" xfId="0" applyNumberFormat="1" applyFont="1" applyFill="1" applyBorder="1" applyAlignment="1">
      <alignment horizontal="center"/>
    </xf>
    <xf numFmtId="182" fontId="3" fillId="0" borderId="7" xfId="2" applyNumberFormat="1" applyFont="1" applyFill="1" applyBorder="1"/>
    <xf numFmtId="182" fontId="3" fillId="0" borderId="0" xfId="2" applyNumberFormat="1" applyFont="1" applyFill="1" applyAlignment="1">
      <alignment horizontal="right"/>
    </xf>
    <xf numFmtId="182" fontId="3" fillId="0" borderId="0" xfId="2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 applyProtection="1">
      <alignment horizontal="right"/>
    </xf>
    <xf numFmtId="182" fontId="3" fillId="0" borderId="19" xfId="2" applyNumberFormat="1" applyFont="1" applyFill="1" applyBorder="1"/>
    <xf numFmtId="186" fontId="0" fillId="0" borderId="0" xfId="0" quotePrefix="1" applyNumberFormat="1" applyFont="1" applyFill="1"/>
    <xf numFmtId="182" fontId="12" fillId="0" borderId="7" xfId="2" applyNumberFormat="1" applyFont="1" applyBorder="1"/>
    <xf numFmtId="37" fontId="0" fillId="0" borderId="0" xfId="0" applyFont="1" applyBorder="1" applyAlignment="1" applyProtection="1">
      <alignment horizontal="left"/>
    </xf>
    <xf numFmtId="186" fontId="0" fillId="0" borderId="5" xfId="0" applyNumberFormat="1" applyFont="1" applyBorder="1" applyAlignment="1">
      <alignment horizontal="center"/>
    </xf>
    <xf numFmtId="185" fontId="3" fillId="0" borderId="0" xfId="1" applyNumberFormat="1" applyFont="1" applyProtection="1"/>
    <xf numFmtId="185" fontId="3" fillId="0" borderId="5" xfId="1" applyNumberFormat="1" applyFont="1" applyBorder="1" applyProtection="1"/>
    <xf numFmtId="182" fontId="3" fillId="0" borderId="10" xfId="2" applyNumberFormat="1" applyFont="1" applyBorder="1" applyProtection="1"/>
    <xf numFmtId="182" fontId="3" fillId="0" borderId="10" xfId="2" applyNumberFormat="1" applyFont="1" applyFill="1" applyBorder="1" applyProtection="1"/>
    <xf numFmtId="10" fontId="0" fillId="0" borderId="0" xfId="0" applyNumberFormat="1" applyFont="1" applyBorder="1" applyProtection="1"/>
    <xf numFmtId="37" fontId="0" fillId="0" borderId="2" xfId="0" applyFont="1" applyBorder="1" applyAlignment="1" applyProtection="1">
      <alignment horizontal="right"/>
      <protection locked="0"/>
    </xf>
    <xf numFmtId="185" fontId="3" fillId="0" borderId="0" xfId="1" applyNumberFormat="1" applyFont="1" applyFill="1" applyProtection="1">
      <protection locked="0"/>
    </xf>
    <xf numFmtId="185" fontId="3" fillId="0" borderId="0" xfId="1" quotePrefix="1" applyNumberFormat="1" applyFont="1" applyFill="1" applyProtection="1"/>
    <xf numFmtId="185" fontId="3" fillId="0" borderId="0" xfId="1" quotePrefix="1" applyNumberFormat="1" applyFont="1" applyFill="1" applyProtection="1">
      <protection locked="0"/>
    </xf>
    <xf numFmtId="37" fontId="12" fillId="0" borderId="5" xfId="0" applyFont="1" applyBorder="1" applyAlignment="1">
      <alignment horizontal="right"/>
    </xf>
    <xf numFmtId="182" fontId="12" fillId="0" borderId="7" xfId="2" applyNumberFormat="1" applyFont="1" applyFill="1" applyBorder="1" applyProtection="1"/>
    <xf numFmtId="182" fontId="12" fillId="0" borderId="0" xfId="2" applyNumberFormat="1" applyFont="1" applyFill="1" applyProtection="1">
      <protection locked="0"/>
    </xf>
    <xf numFmtId="182" fontId="15" fillId="0" borderId="0" xfId="2" applyNumberFormat="1" applyFont="1" applyFill="1" applyProtection="1"/>
    <xf numFmtId="182" fontId="12" fillId="0" borderId="6" xfId="2" applyNumberFormat="1" applyFont="1" applyFill="1" applyBorder="1" applyProtection="1"/>
    <xf numFmtId="37" fontId="0" fillId="0" borderId="5" xfId="0" applyFont="1" applyBorder="1" applyAlignment="1">
      <alignment horizontal="right"/>
    </xf>
    <xf numFmtId="37" fontId="0" fillId="0" borderId="0" xfId="0" applyFont="1" applyAlignment="1" applyProtection="1">
      <alignment horizontal="center"/>
      <protection locked="0"/>
    </xf>
    <xf numFmtId="182" fontId="3" fillId="0" borderId="7" xfId="2" applyNumberFormat="1" applyFont="1" applyFill="1" applyBorder="1" applyProtection="1"/>
    <xf numFmtId="182" fontId="3" fillId="0" borderId="6" xfId="2" applyNumberFormat="1" applyFont="1" applyFill="1" applyBorder="1" applyProtection="1"/>
    <xf numFmtId="37" fontId="0" fillId="0" borderId="2" xfId="0" applyFont="1" applyFill="1" applyBorder="1" applyAlignment="1" applyProtection="1">
      <alignment horizontal="right"/>
      <protection locked="0"/>
    </xf>
    <xf numFmtId="5" fontId="0" fillId="0" borderId="10" xfId="0" applyNumberFormat="1" applyFont="1" applyBorder="1"/>
    <xf numFmtId="37" fontId="0" fillId="0" borderId="0" xfId="0" applyFont="1" applyFill="1" applyAlignment="1" applyProtection="1">
      <alignment horizontal="center"/>
      <protection locked="0"/>
    </xf>
    <xf numFmtId="17" fontId="0" fillId="0" borderId="22" xfId="0" applyNumberFormat="1" applyFont="1" applyFill="1" applyBorder="1" applyAlignment="1">
      <alignment horizontal="center"/>
    </xf>
    <xf numFmtId="185" fontId="0" fillId="0" borderId="0" xfId="0" applyNumberFormat="1" applyFont="1" applyFill="1"/>
    <xf numFmtId="5" fontId="0" fillId="0" borderId="10" xfId="0" applyNumberFormat="1" applyFont="1" applyFill="1" applyBorder="1"/>
    <xf numFmtId="0" fontId="0" fillId="0" borderId="0" xfId="0" applyNumberFormat="1" applyFont="1" applyFill="1" applyAlignment="1">
      <alignment horizontal="center"/>
    </xf>
    <xf numFmtId="10" fontId="3" fillId="0" borderId="5" xfId="13" applyNumberFormat="1" applyFont="1" applyFill="1" applyBorder="1"/>
    <xf numFmtId="0" fontId="0" fillId="0" borderId="0" xfId="0" applyNumberFormat="1" applyFont="1" applyFill="1" applyAlignment="1">
      <alignment horizontal="left"/>
    </xf>
    <xf numFmtId="185" fontId="3" fillId="0" borderId="0" xfId="1" applyNumberFormat="1" applyFont="1" applyFill="1" applyAlignment="1">
      <alignment horizontal="left"/>
    </xf>
    <xf numFmtId="10" fontId="3" fillId="0" borderId="0" xfId="13" applyNumberFormat="1" applyFont="1" applyFill="1" applyBorder="1"/>
    <xf numFmtId="37" fontId="0" fillId="0" borderId="19" xfId="0" applyFont="1" applyFill="1" applyBorder="1" applyAlignment="1" applyProtection="1">
      <alignment horizontal="center"/>
      <protection locked="0"/>
    </xf>
    <xf numFmtId="186" fontId="0" fillId="0" borderId="22" xfId="0" applyNumberFormat="1" applyFont="1" applyFill="1" applyBorder="1" applyAlignment="1" applyProtection="1">
      <alignment horizontal="center"/>
      <protection locked="0"/>
    </xf>
    <xf numFmtId="185" fontId="3" fillId="0" borderId="19" xfId="1" applyNumberFormat="1" applyFont="1" applyFill="1" applyBorder="1"/>
    <xf numFmtId="37" fontId="12" fillId="0" borderId="0" xfId="0" applyFont="1" applyFill="1" applyAlignment="1" applyProtection="1">
      <alignment horizontal="centerContinuous"/>
      <protection locked="0"/>
    </xf>
    <xf numFmtId="37" fontId="12" fillId="0" borderId="2" xfId="0" applyNumberFormat="1" applyFont="1" applyFill="1" applyBorder="1" applyProtection="1">
      <protection locked="0"/>
    </xf>
    <xf numFmtId="5" fontId="0" fillId="0" borderId="0" xfId="0" applyNumberFormat="1" applyFont="1" applyFill="1" applyProtection="1"/>
    <xf numFmtId="173" fontId="3" fillId="0" borderId="0" xfId="13" applyNumberFormat="1" applyFont="1" applyFill="1" applyProtection="1"/>
    <xf numFmtId="5" fontId="0" fillId="0" borderId="0" xfId="0" applyNumberFormat="1" applyFont="1" applyProtection="1"/>
    <xf numFmtId="173" fontId="0" fillId="0" borderId="0" xfId="0" applyNumberFormat="1" applyFont="1" applyProtection="1"/>
    <xf numFmtId="185" fontId="0" fillId="0" borderId="5" xfId="0" applyNumberFormat="1" applyFont="1" applyFill="1" applyBorder="1" applyProtection="1"/>
    <xf numFmtId="37" fontId="12" fillId="0" borderId="5" xfId="0" applyFont="1" applyBorder="1" applyAlignment="1" applyProtection="1">
      <alignment horizontal="right"/>
      <protection locked="0"/>
    </xf>
    <xf numFmtId="182" fontId="3" fillId="0" borderId="0" xfId="2" applyNumberFormat="1" applyFont="1" applyAlignment="1" applyProtection="1">
      <alignment horizontal="right"/>
    </xf>
    <xf numFmtId="37" fontId="0" fillId="0" borderId="5" xfId="0" applyNumberFormat="1" applyFont="1" applyBorder="1" applyAlignment="1" applyProtection="1">
      <alignment horizontal="right"/>
    </xf>
    <xf numFmtId="182" fontId="3" fillId="0" borderId="6" xfId="2" applyNumberFormat="1" applyFont="1" applyBorder="1" applyAlignment="1" applyProtection="1">
      <alignment horizontal="right"/>
    </xf>
    <xf numFmtId="182" fontId="14" fillId="0" borderId="6" xfId="2" applyNumberFormat="1" applyFont="1" applyBorder="1" applyAlignment="1" applyProtection="1">
      <alignment horizontal="right"/>
    </xf>
    <xf numFmtId="182" fontId="3" fillId="0" borderId="0" xfId="2" applyNumberFormat="1" applyFont="1" applyAlignment="1">
      <alignment horizontal="right"/>
    </xf>
    <xf numFmtId="10" fontId="3" fillId="0" borderId="5" xfId="13" applyNumberFormat="1" applyFont="1" applyBorder="1"/>
    <xf numFmtId="37" fontId="3" fillId="0" borderId="3" xfId="5" applyFont="1" applyBorder="1" applyProtection="1"/>
    <xf numFmtId="37" fontId="3" fillId="0" borderId="3" xfId="5" applyFont="1" applyBorder="1" applyAlignment="1" applyProtection="1"/>
    <xf numFmtId="182" fontId="3" fillId="0" borderId="3" xfId="2" applyNumberFormat="1" applyFont="1" applyBorder="1" applyProtection="1"/>
    <xf numFmtId="182" fontId="3" fillId="0" borderId="28" xfId="2" applyNumberFormat="1" applyFont="1" applyBorder="1" applyProtection="1"/>
    <xf numFmtId="9" fontId="3" fillId="0" borderId="0" xfId="13" quotePrefix="1" applyFont="1" applyFill="1" applyAlignment="1">
      <alignment horizontal="center"/>
    </xf>
    <xf numFmtId="182" fontId="3" fillId="0" borderId="0" xfId="2" applyNumberFormat="1" applyFont="1" applyFill="1" applyBorder="1" applyAlignment="1" applyProtection="1">
      <alignment horizontal="center"/>
    </xf>
    <xf numFmtId="9" fontId="3" fillId="0" borderId="0" xfId="13" applyFont="1" applyFill="1" applyBorder="1" applyAlignment="1" applyProtection="1">
      <alignment horizontal="center"/>
    </xf>
    <xf numFmtId="185" fontId="3" fillId="0" borderId="5" xfId="1" applyNumberFormat="1" applyFont="1" applyFill="1" applyBorder="1" applyAlignment="1" applyProtection="1">
      <alignment horizontal="center"/>
    </xf>
    <xf numFmtId="182" fontId="3" fillId="0" borderId="7" xfId="2" applyNumberFormat="1" applyFont="1" applyFill="1" applyBorder="1" applyAlignment="1" applyProtection="1">
      <alignment horizontal="center"/>
    </xf>
    <xf numFmtId="185" fontId="3" fillId="0" borderId="5" xfId="1" applyNumberFormat="1" applyFont="1" applyFill="1" applyBorder="1" applyAlignment="1">
      <alignment horizontal="center"/>
    </xf>
    <xf numFmtId="43" fontId="3" fillId="0" borderId="5" xfId="1" applyFont="1" applyFill="1" applyBorder="1"/>
    <xf numFmtId="37" fontId="0" fillId="0" borderId="5" xfId="0" applyFont="1" applyBorder="1" applyAlignment="1" applyProtection="1">
      <alignment horizontal="right"/>
    </xf>
    <xf numFmtId="186" fontId="0" fillId="0" borderId="0" xfId="0" quotePrefix="1" applyNumberFormat="1" applyFont="1"/>
    <xf numFmtId="182" fontId="18" fillId="0" borderId="0" xfId="2" applyNumberFormat="1" applyFont="1"/>
    <xf numFmtId="37" fontId="18" fillId="0" borderId="0" xfId="1" applyNumberFormat="1" applyFont="1"/>
    <xf numFmtId="37" fontId="18" fillId="0" borderId="5" xfId="0" applyNumberFormat="1" applyFont="1" applyBorder="1"/>
    <xf numFmtId="37" fontId="0" fillId="0" borderId="32" xfId="0" applyFont="1" applyBorder="1"/>
    <xf numFmtId="37" fontId="0" fillId="0" borderId="25" xfId="0" applyFont="1" applyBorder="1"/>
    <xf numFmtId="182" fontId="18" fillId="0" borderId="6" xfId="2" applyNumberFormat="1" applyFont="1" applyBorder="1"/>
    <xf numFmtId="182" fontId="3" fillId="0" borderId="0" xfId="2" applyNumberFormat="1" applyFont="1" applyAlignment="1" applyProtection="1">
      <alignment horizontal="left"/>
    </xf>
    <xf numFmtId="182" fontId="3" fillId="0" borderId="0" xfId="13" applyNumberFormat="1" applyFont="1" applyBorder="1" applyAlignment="1" applyProtection="1">
      <alignment horizontal="center"/>
    </xf>
    <xf numFmtId="185" fontId="3" fillId="0" borderId="5" xfId="1" applyNumberFormat="1" applyFont="1" applyBorder="1" applyAlignment="1" applyProtection="1">
      <alignment horizontal="center"/>
    </xf>
    <xf numFmtId="37" fontId="12" fillId="0" borderId="5" xfId="0" applyFont="1" applyBorder="1" applyAlignment="1" applyProtection="1">
      <alignment horizontal="right"/>
    </xf>
    <xf numFmtId="182" fontId="12" fillId="0" borderId="0" xfId="2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10" fontId="12" fillId="0" borderId="0" xfId="13" applyNumberFormat="1" applyFont="1" applyAlignment="1">
      <alignment horizontal="right"/>
    </xf>
    <xf numFmtId="3" fontId="12" fillId="0" borderId="0" xfId="0" applyNumberFormat="1" applyFont="1" applyFill="1"/>
    <xf numFmtId="182" fontId="12" fillId="0" borderId="10" xfId="2" applyNumberFormat="1" applyFont="1" applyBorder="1"/>
    <xf numFmtId="182" fontId="12" fillId="0" borderId="0" xfId="2" applyNumberFormat="1" applyFont="1" applyBorder="1"/>
    <xf numFmtId="43" fontId="3" fillId="0" borderId="0" xfId="1" applyFont="1"/>
    <xf numFmtId="37" fontId="12" fillId="0" borderId="0" xfId="0" applyFont="1" applyAlignment="1" applyProtection="1">
      <alignment horizontal="centerContinuous"/>
    </xf>
    <xf numFmtId="182" fontId="12" fillId="0" borderId="19" xfId="2" applyNumberFormat="1" applyFont="1" applyFill="1" applyBorder="1" applyProtection="1"/>
    <xf numFmtId="182" fontId="12" fillId="0" borderId="6" xfId="2" applyNumberFormat="1" applyFont="1" applyFill="1" applyBorder="1"/>
    <xf numFmtId="37" fontId="0" fillId="0" borderId="5" xfId="0" applyFont="1" applyFill="1" applyBorder="1" applyAlignment="1" applyProtection="1">
      <alignment horizontal="right"/>
    </xf>
    <xf numFmtId="37" fontId="6" fillId="0" borderId="0" xfId="0" applyNumberFormat="1" applyFont="1" applyFill="1" applyProtection="1"/>
    <xf numFmtId="10" fontId="6" fillId="0" borderId="0" xfId="13" applyNumberFormat="1" applyFont="1" applyFill="1" applyProtection="1"/>
    <xf numFmtId="174" fontId="12" fillId="0" borderId="2" xfId="0" applyNumberFormat="1" applyFont="1" applyFill="1" applyBorder="1" applyProtection="1"/>
    <xf numFmtId="174" fontId="0" fillId="0" borderId="0" xfId="0" applyNumberFormat="1" applyFont="1" applyProtection="1"/>
    <xf numFmtId="174" fontId="0" fillId="0" borderId="2" xfId="0" applyNumberFormat="1" applyFont="1" applyBorder="1" applyProtection="1"/>
    <xf numFmtId="174" fontId="12" fillId="0" borderId="2" xfId="0" applyNumberFormat="1" applyFont="1" applyBorder="1" applyProtection="1"/>
    <xf numFmtId="166" fontId="0" fillId="0" borderId="0" xfId="0" applyNumberFormat="1" applyFont="1" applyProtection="1"/>
    <xf numFmtId="180" fontId="0" fillId="0" borderId="2" xfId="0" applyNumberFormat="1" applyFont="1" applyFill="1" applyBorder="1" applyAlignment="1" applyProtection="1">
      <alignment horizontal="center"/>
    </xf>
    <xf numFmtId="37" fontId="12" fillId="0" borderId="2" xfId="0" applyFont="1" applyFill="1" applyBorder="1" applyAlignment="1" applyProtection="1">
      <alignment horizontal="right"/>
    </xf>
    <xf numFmtId="180" fontId="12" fillId="0" borderId="2" xfId="0" applyNumberFormat="1" applyFont="1" applyFill="1" applyBorder="1" applyAlignment="1" applyProtection="1">
      <alignment horizontal="center"/>
    </xf>
    <xf numFmtId="182" fontId="3" fillId="0" borderId="2" xfId="2" applyNumberFormat="1" applyFont="1" applyBorder="1" applyProtection="1"/>
    <xf numFmtId="10" fontId="0" fillId="0" borderId="2" xfId="0" applyNumberFormat="1" applyFont="1" applyBorder="1" applyProtection="1"/>
    <xf numFmtId="10" fontId="3" fillId="0" borderId="2" xfId="13" applyNumberFormat="1" applyFont="1" applyBorder="1" applyProtection="1"/>
    <xf numFmtId="10" fontId="6" fillId="0" borderId="0" xfId="0" applyNumberFormat="1" applyFont="1" applyProtection="1"/>
    <xf numFmtId="10" fontId="6" fillId="0" borderId="0" xfId="13" applyNumberFormat="1" applyFont="1" applyProtection="1"/>
    <xf numFmtId="10" fontId="3" fillId="0" borderId="0" xfId="13" applyNumberFormat="1" applyFont="1" applyFill="1" applyProtection="1"/>
    <xf numFmtId="10" fontId="0" fillId="0" borderId="5" xfId="0" applyNumberFormat="1" applyFont="1" applyFill="1" applyBorder="1" applyProtection="1"/>
    <xf numFmtId="10" fontId="3" fillId="0" borderId="5" xfId="13" applyNumberFormat="1" applyFont="1" applyFill="1" applyBorder="1" applyProtection="1"/>
    <xf numFmtId="10" fontId="0" fillId="0" borderId="2" xfId="0" applyNumberFormat="1" applyFont="1" applyFill="1" applyBorder="1" applyProtection="1"/>
    <xf numFmtId="10" fontId="3" fillId="0" borderId="2" xfId="13" applyNumberFormat="1" applyFont="1" applyFill="1" applyBorder="1" applyProtection="1"/>
    <xf numFmtId="37" fontId="0" fillId="0" borderId="6" xfId="0" applyNumberFormat="1" applyFont="1" applyFill="1" applyBorder="1" applyProtection="1"/>
    <xf numFmtId="173" fontId="0" fillId="0" borderId="6" xfId="0" applyNumberFormat="1" applyFont="1" applyFill="1" applyBorder="1" applyProtection="1"/>
    <xf numFmtId="169" fontId="12" fillId="0" borderId="0" xfId="0" applyNumberFormat="1" applyFont="1" applyFill="1" applyProtection="1"/>
    <xf numFmtId="169" fontId="67" fillId="0" borderId="0" xfId="13" applyNumberFormat="1" applyFont="1" applyFill="1"/>
    <xf numFmtId="182" fontId="12" fillId="0" borderId="7" xfId="0" applyNumberFormat="1" applyFont="1" applyFill="1" applyBorder="1" applyProtection="1"/>
    <xf numFmtId="5" fontId="0" fillId="0" borderId="10" xfId="0" applyNumberFormat="1" applyFont="1" applyFill="1" applyBorder="1" applyProtection="1"/>
    <xf numFmtId="37" fontId="0" fillId="0" borderId="10" xfId="0" applyFont="1" applyFill="1" applyBorder="1"/>
    <xf numFmtId="10" fontId="14" fillId="0" borderId="6" xfId="13" applyNumberFormat="1" applyFont="1" applyFill="1" applyBorder="1"/>
    <xf numFmtId="182" fontId="12" fillId="0" borderId="2" xfId="2" applyNumberFormat="1" applyFont="1" applyBorder="1" applyProtection="1"/>
    <xf numFmtId="10" fontId="3" fillId="0" borderId="6" xfId="13" applyNumberFormat="1" applyFont="1" applyFill="1" applyBorder="1"/>
    <xf numFmtId="170" fontId="3" fillId="0" borderId="0" xfId="13" applyNumberFormat="1" applyFont="1" applyFill="1" applyProtection="1"/>
    <xf numFmtId="37" fontId="0" fillId="0" borderId="5" xfId="0" applyNumberFormat="1" applyFont="1" applyFill="1" applyBorder="1" applyAlignment="1" applyProtection="1">
      <alignment horizontal="center"/>
    </xf>
    <xf numFmtId="37" fontId="0" fillId="0" borderId="0" xfId="0" applyNumberFormat="1" applyFont="1" applyFill="1" applyBorder="1" applyAlignment="1" applyProtection="1">
      <alignment horizontal="center"/>
    </xf>
    <xf numFmtId="37" fontId="6" fillId="0" borderId="0" xfId="0" applyNumberFormat="1" applyFont="1" applyFill="1" applyAlignment="1" applyProtection="1">
      <alignment horizontal="center"/>
    </xf>
    <xf numFmtId="37" fontId="0" fillId="0" borderId="5" xfId="0" applyNumberFormat="1" applyFont="1" applyFill="1" applyBorder="1" applyAlignment="1" applyProtection="1">
      <alignment horizontal="center"/>
      <protection locked="0"/>
    </xf>
    <xf numFmtId="9" fontId="3" fillId="0" borderId="0" xfId="13" applyFont="1" applyFill="1" applyAlignment="1" applyProtection="1">
      <alignment horizontal="center"/>
    </xf>
    <xf numFmtId="9" fontId="0" fillId="0" borderId="0" xfId="0" applyNumberFormat="1" applyFont="1" applyFill="1" applyAlignment="1" applyProtection="1">
      <alignment horizontal="center"/>
    </xf>
    <xf numFmtId="173" fontId="0" fillId="0" borderId="0" xfId="0" applyNumberFormat="1" applyFont="1" applyFill="1" applyAlignment="1" applyProtection="1">
      <alignment horizontal="center"/>
    </xf>
    <xf numFmtId="37" fontId="14" fillId="0" borderId="0" xfId="0" applyFont="1" applyFill="1" applyAlignment="1">
      <alignment horizontal="left" indent="2"/>
    </xf>
    <xf numFmtId="37" fontId="4" fillId="0" borderId="0" xfId="0" applyFont="1" applyFill="1" applyAlignment="1">
      <alignment horizontal="center"/>
    </xf>
    <xf numFmtId="182" fontId="3" fillId="0" borderId="36" xfId="13" applyNumberFormat="1" applyFont="1" applyBorder="1" applyAlignment="1" applyProtection="1">
      <alignment horizontal="center"/>
    </xf>
    <xf numFmtId="186" fontId="0" fillId="0" borderId="0" xfId="0" quotePrefix="1" applyNumberFormat="1" applyFont="1" applyFill="1" applyBorder="1"/>
    <xf numFmtId="37" fontId="3" fillId="0" borderId="32" xfId="0" applyFont="1" applyBorder="1" applyAlignment="1">
      <alignment horizontal="center" wrapText="1"/>
    </xf>
    <xf numFmtId="37" fontId="0" fillId="0" borderId="0" xfId="0" applyAlignment="1">
      <alignment horizontal="center" wrapText="1"/>
    </xf>
    <xf numFmtId="37" fontId="0" fillId="0" borderId="32" xfId="0" applyBorder="1" applyAlignment="1">
      <alignment horizontal="center" wrapText="1"/>
    </xf>
    <xf numFmtId="37" fontId="14" fillId="0" borderId="0" xfId="0" applyFont="1" applyAlignment="1">
      <alignment horizontal="left"/>
    </xf>
    <xf numFmtId="37" fontId="68" fillId="0" borderId="0" xfId="0" applyFont="1" applyFill="1"/>
    <xf numFmtId="37" fontId="3" fillId="0" borderId="0" xfId="5" applyFont="1" applyFill="1" applyProtection="1"/>
    <xf numFmtId="37" fontId="3" fillId="0" borderId="0" xfId="5" applyFont="1" applyFill="1"/>
    <xf numFmtId="37" fontId="4" fillId="0" borderId="0" xfId="5" applyFont="1" applyFill="1" applyAlignment="1" applyProtection="1">
      <alignment horizontal="right"/>
    </xf>
    <xf numFmtId="37" fontId="3" fillId="0" borderId="3" xfId="5" applyFont="1" applyFill="1" applyBorder="1" applyProtection="1"/>
    <xf numFmtId="37" fontId="14" fillId="0" borderId="5" xfId="5" applyFont="1" applyFill="1" applyBorder="1" applyAlignment="1" applyProtection="1">
      <alignment horizontal="left"/>
    </xf>
    <xf numFmtId="37" fontId="3" fillId="0" borderId="5" xfId="5" applyFont="1" applyFill="1" applyBorder="1"/>
    <xf numFmtId="37" fontId="14" fillId="0" borderId="0" xfId="5" applyFont="1" applyFill="1" applyBorder="1" applyAlignment="1" applyProtection="1">
      <alignment horizontal="left"/>
    </xf>
    <xf numFmtId="37" fontId="3" fillId="0" borderId="0" xfId="5" applyFont="1" applyFill="1" applyAlignment="1" applyProtection="1">
      <alignment horizontal="left"/>
    </xf>
    <xf numFmtId="182" fontId="3" fillId="0" borderId="0" xfId="2" applyNumberFormat="1" applyFont="1" applyFill="1" applyAlignment="1" applyProtection="1">
      <alignment horizontal="left"/>
    </xf>
    <xf numFmtId="37" fontId="3" fillId="0" borderId="0" xfId="5" applyFont="1" applyFill="1" applyAlignment="1" applyProtection="1">
      <alignment horizontal="center"/>
    </xf>
    <xf numFmtId="182" fontId="3" fillId="0" borderId="3" xfId="2" applyNumberFormat="1" applyFont="1" applyFill="1" applyBorder="1" applyProtection="1"/>
    <xf numFmtId="37" fontId="3" fillId="0" borderId="0" xfId="5" applyFont="1" applyFill="1" applyBorder="1" applyProtection="1"/>
    <xf numFmtId="185" fontId="0" fillId="0" borderId="0" xfId="1" applyNumberFormat="1" applyFont="1" applyProtection="1"/>
    <xf numFmtId="37" fontId="18" fillId="0" borderId="0" xfId="0" applyFont="1" applyAlignment="1">
      <alignment horizontal="center"/>
    </xf>
    <xf numFmtId="3" fontId="12" fillId="5" borderId="0" xfId="0" applyNumberFormat="1" applyFont="1" applyFill="1"/>
    <xf numFmtId="14" fontId="12" fillId="0" borderId="5" xfId="0" applyNumberFormat="1" applyFont="1" applyFill="1" applyBorder="1" applyAlignment="1">
      <alignment horizontal="center"/>
    </xf>
    <xf numFmtId="37" fontId="0" fillId="0" borderId="0" xfId="0" applyAlignment="1">
      <alignment horizontal="center"/>
    </xf>
    <xf numFmtId="37" fontId="0" fillId="0" borderId="0" xfId="0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37" fontId="0" fillId="0" borderId="0" xfId="0" applyFont="1" applyAlignment="1">
      <alignment horizontal="center"/>
    </xf>
    <xf numFmtId="37" fontId="14" fillId="0" borderId="0" xfId="0" applyFont="1" applyFill="1" applyAlignment="1">
      <alignment horizontal="center"/>
    </xf>
    <xf numFmtId="37" fontId="0" fillId="0" borderId="0" xfId="0" applyFont="1" applyAlignment="1" applyProtection="1">
      <alignment horizontal="center"/>
    </xf>
    <xf numFmtId="37" fontId="3" fillId="0" borderId="0" xfId="0" applyFont="1" applyAlignment="1" applyProtection="1">
      <alignment horizontal="center"/>
    </xf>
    <xf numFmtId="37" fontId="4" fillId="0" borderId="0" xfId="0" applyFont="1" applyAlignment="1">
      <alignment horizontal="center"/>
    </xf>
    <xf numFmtId="37" fontId="0" fillId="0" borderId="0" xfId="0" applyFont="1" applyFill="1" applyAlignment="1" applyProtection="1">
      <alignment horizontal="center"/>
    </xf>
    <xf numFmtId="37" fontId="3" fillId="0" borderId="0" xfId="0" applyFont="1" applyFill="1" applyAlignment="1" applyProtection="1">
      <alignment horizontal="center"/>
    </xf>
    <xf numFmtId="37" fontId="14" fillId="0" borderId="0" xfId="0" applyFont="1" applyFill="1" applyAlignment="1" applyProtection="1">
      <alignment horizontal="center"/>
    </xf>
    <xf numFmtId="37" fontId="12" fillId="0" borderId="23" xfId="0" applyFont="1" applyBorder="1" applyAlignment="1">
      <alignment horizontal="center"/>
    </xf>
    <xf numFmtId="37" fontId="12" fillId="0" borderId="7" xfId="0" applyFont="1" applyBorder="1" applyAlignment="1">
      <alignment horizontal="center"/>
    </xf>
    <xf numFmtId="37" fontId="12" fillId="0" borderId="9" xfId="0" applyFont="1" applyBorder="1" applyAlignment="1">
      <alignment horizontal="center"/>
    </xf>
    <xf numFmtId="37" fontId="12" fillId="0" borderId="23" xfId="0" applyFont="1" applyBorder="1" applyAlignment="1" applyProtection="1">
      <alignment horizontal="center"/>
    </xf>
    <xf numFmtId="37" fontId="12" fillId="0" borderId="7" xfId="0" applyFont="1" applyBorder="1" applyAlignment="1" applyProtection="1">
      <alignment horizontal="center"/>
    </xf>
    <xf numFmtId="37" fontId="12" fillId="0" borderId="9" xfId="0" applyFont="1" applyBorder="1" applyAlignment="1" applyProtection="1">
      <alignment horizontal="center"/>
    </xf>
    <xf numFmtId="37" fontId="12" fillId="0" borderId="0" xfId="0" applyFont="1" applyFill="1" applyAlignment="1" applyProtection="1">
      <alignment horizontal="center"/>
    </xf>
    <xf numFmtId="37" fontId="0" fillId="0" borderId="0" xfId="0" applyFont="1" applyFill="1" applyAlignment="1">
      <alignment horizontal="center"/>
    </xf>
    <xf numFmtId="37" fontId="3" fillId="0" borderId="0" xfId="0" applyFont="1" applyFill="1" applyAlignment="1">
      <alignment horizontal="center"/>
    </xf>
    <xf numFmtId="37" fontId="12" fillId="0" borderId="0" xfId="0" applyFont="1" applyAlignment="1">
      <alignment horizontal="center"/>
    </xf>
    <xf numFmtId="37" fontId="12" fillId="0" borderId="0" xfId="0" applyFont="1" applyFill="1" applyAlignment="1">
      <alignment horizontal="center"/>
    </xf>
    <xf numFmtId="37" fontId="14" fillId="0" borderId="5" xfId="0" applyFont="1" applyBorder="1" applyAlignment="1">
      <alignment horizontal="center"/>
    </xf>
    <xf numFmtId="37" fontId="14" fillId="0" borderId="0" xfId="0" applyFont="1" applyAlignment="1">
      <alignment horizontal="right"/>
    </xf>
    <xf numFmtId="49" fontId="12" fillId="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37" fontId="0" fillId="0" borderId="0" xfId="0" applyNumberFormat="1" applyFont="1" applyAlignment="1" applyProtection="1">
      <alignment horizontal="center"/>
      <protection locked="0"/>
    </xf>
    <xf numFmtId="37" fontId="3" fillId="0" borderId="0" xfId="0" applyNumberFormat="1" applyFont="1" applyAlignment="1" applyProtection="1">
      <alignment horizontal="center"/>
      <protection locked="0"/>
    </xf>
    <xf numFmtId="37" fontId="3" fillId="0" borderId="0" xfId="0" applyFont="1" applyAlignment="1">
      <alignment horizontal="center"/>
    </xf>
    <xf numFmtId="37" fontId="12" fillId="0" borderId="0" xfId="0" applyFont="1" applyFill="1" applyAlignment="1" applyProtection="1">
      <alignment horizontal="center"/>
      <protection locked="0"/>
    </xf>
    <xf numFmtId="37" fontId="0" fillId="0" borderId="0" xfId="0" applyFont="1" applyFill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center"/>
      <protection locked="0"/>
    </xf>
    <xf numFmtId="37" fontId="14" fillId="0" borderId="0" xfId="0" applyFont="1" applyAlignment="1">
      <alignment horizontal="center"/>
    </xf>
    <xf numFmtId="37" fontId="14" fillId="0" borderId="0" xfId="5" applyFont="1" applyFill="1" applyAlignment="1">
      <alignment horizontal="center"/>
    </xf>
    <xf numFmtId="37" fontId="4" fillId="0" borderId="0" xfId="0" applyFont="1" applyFill="1" applyAlignment="1">
      <alignment horizontal="center"/>
    </xf>
    <xf numFmtId="37" fontId="4" fillId="0" borderId="29" xfId="0" applyFont="1" applyFill="1" applyBorder="1" applyAlignment="1" applyProtection="1">
      <alignment horizontal="center"/>
    </xf>
    <xf numFmtId="37" fontId="4" fillId="0" borderId="19" xfId="0" applyFont="1" applyFill="1" applyBorder="1" applyAlignment="1" applyProtection="1">
      <alignment horizontal="center"/>
    </xf>
    <xf numFmtId="37" fontId="4" fillId="0" borderId="24" xfId="0" applyFont="1" applyFill="1" applyBorder="1" applyAlignment="1" applyProtection="1">
      <alignment horizontal="center"/>
    </xf>
    <xf numFmtId="37" fontId="0" fillId="9" borderId="33" xfId="0" applyFill="1" applyBorder="1" applyAlignment="1">
      <alignment horizontal="center" vertical="center" textRotation="90"/>
    </xf>
    <xf numFmtId="37" fontId="0" fillId="9" borderId="34" xfId="0" applyFill="1" applyBorder="1" applyAlignment="1">
      <alignment horizontal="center" vertical="center" textRotation="90"/>
    </xf>
    <xf numFmtId="37" fontId="0" fillId="9" borderId="35" xfId="0" applyFill="1" applyBorder="1" applyAlignment="1">
      <alignment horizontal="center" vertical="center" textRotation="90"/>
    </xf>
    <xf numFmtId="37" fontId="0" fillId="8" borderId="33" xfId="0" applyFill="1" applyBorder="1" applyAlignment="1">
      <alignment horizontal="center" vertical="center" textRotation="90"/>
    </xf>
    <xf numFmtId="37" fontId="0" fillId="8" borderId="34" xfId="0" applyFill="1" applyBorder="1" applyAlignment="1">
      <alignment horizontal="center" vertical="center" textRotation="90"/>
    </xf>
    <xf numFmtId="37" fontId="0" fillId="8" borderId="35" xfId="0" applyFill="1" applyBorder="1" applyAlignment="1">
      <alignment horizontal="center" vertical="center" textRotation="90"/>
    </xf>
    <xf numFmtId="37" fontId="14" fillId="0" borderId="0" xfId="0" applyFont="1" applyAlignment="1">
      <alignment horizontal="left"/>
    </xf>
    <xf numFmtId="37" fontId="14" fillId="0" borderId="0" xfId="0" applyFont="1" applyFill="1" applyAlignment="1">
      <alignment horizontal="left"/>
    </xf>
    <xf numFmtId="37" fontId="79" fillId="0" borderId="0" xfId="0" applyFont="1" applyBorder="1" applyAlignment="1">
      <alignment horizontal="center"/>
    </xf>
    <xf numFmtId="37" fontId="34" fillId="0" borderId="0" xfId="0" applyFont="1" applyFill="1" applyAlignment="1">
      <alignment horizontal="center"/>
    </xf>
    <xf numFmtId="37" fontId="34" fillId="0" borderId="7" xfId="0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37" fontId="5" fillId="0" borderId="0" xfId="0" applyFont="1" applyFill="1" applyAlignment="1" applyProtection="1">
      <alignment horizontal="center"/>
    </xf>
    <xf numFmtId="37" fontId="12" fillId="0" borderId="5" xfId="0" applyFont="1" applyFill="1" applyBorder="1" applyAlignment="1" applyProtection="1">
      <alignment horizontal="center"/>
    </xf>
  </cellXfs>
  <cellStyles count="34">
    <cellStyle name="Comma" xfId="1" builtinId="3"/>
    <cellStyle name="Comma [0] 2" xfId="19" xr:uid="{00000000-0005-0000-0000-000001000000}"/>
    <cellStyle name="Comma 2" xfId="18" xr:uid="{00000000-0005-0000-0000-000002000000}"/>
    <cellStyle name="Comma 3" xfId="22" xr:uid="{00000000-0005-0000-0000-000003000000}"/>
    <cellStyle name="Comma 4" xfId="25" xr:uid="{00000000-0005-0000-0000-000004000000}"/>
    <cellStyle name="Currency" xfId="2" builtinId="4"/>
    <cellStyle name="Currency [0] 2" xfId="17" xr:uid="{00000000-0005-0000-0000-000006000000}"/>
    <cellStyle name="Currency 2" xfId="16" xr:uid="{00000000-0005-0000-0000-000007000000}"/>
    <cellStyle name="Currency 3" xfId="21" xr:uid="{00000000-0005-0000-0000-000008000000}"/>
    <cellStyle name="Currency 4" xfId="26" xr:uid="{00000000-0005-0000-0000-000009000000}"/>
    <cellStyle name="Hyperlink" xfId="3" builtinId="8"/>
    <cellStyle name="Normal" xfId="0" builtinId="0"/>
    <cellStyle name="Normal - Style1" xfId="4" xr:uid="{00000000-0005-0000-0000-00000C000000}"/>
    <cellStyle name="Normal 109" xfId="33" xr:uid="{485B9C84-3C0B-46D0-A024-556F507D92CB}"/>
    <cellStyle name="Normal 2" xfId="14" xr:uid="{00000000-0005-0000-0000-00000D000000}"/>
    <cellStyle name="Normal 2 2" xfId="28" xr:uid="{00000000-0005-0000-0000-00000E000000}"/>
    <cellStyle name="Normal 2 4" xfId="32" xr:uid="{00000000-0005-0000-0000-00000F000000}"/>
    <cellStyle name="Normal 3" xfId="20" xr:uid="{00000000-0005-0000-0000-000010000000}"/>
    <cellStyle name="Normal 3 2" xfId="30" xr:uid="{00000000-0005-0000-0000-000011000000}"/>
    <cellStyle name="Normal 4" xfId="23" xr:uid="{00000000-0005-0000-0000-000012000000}"/>
    <cellStyle name="Normal 5" xfId="24" xr:uid="{00000000-0005-0000-0000-000013000000}"/>
    <cellStyle name="Normal 6" xfId="29" xr:uid="{00000000-0005-0000-0000-000014000000}"/>
    <cellStyle name="Normal_Book1 (2) (3)" xfId="5" xr:uid="{00000000-0005-0000-0000-000015000000}"/>
    <cellStyle name="Normal_C.2.2 B" xfId="6" xr:uid="{00000000-0005-0000-0000-000016000000}"/>
    <cellStyle name="Normal_F.1" xfId="7" xr:uid="{00000000-0005-0000-0000-000017000000}"/>
    <cellStyle name="Output Amounts" xfId="8" xr:uid="{00000000-0005-0000-0000-000018000000}"/>
    <cellStyle name="Output Column Headings" xfId="9" xr:uid="{00000000-0005-0000-0000-000019000000}"/>
    <cellStyle name="Output Line Items" xfId="10" xr:uid="{00000000-0005-0000-0000-00001A000000}"/>
    <cellStyle name="Output Report Heading" xfId="11" xr:uid="{00000000-0005-0000-0000-00001B000000}"/>
    <cellStyle name="Output Report Title" xfId="12" xr:uid="{00000000-0005-0000-0000-00001C000000}"/>
    <cellStyle name="Percent" xfId="13" builtinId="5"/>
    <cellStyle name="Percent 2" xfId="15" xr:uid="{00000000-0005-0000-0000-00001E000000}"/>
    <cellStyle name="Percent 3" xfId="27" xr:uid="{00000000-0005-0000-0000-00001F000000}"/>
    <cellStyle name="Percent 7" xfId="31" xr:uid="{00000000-0005-0000-0000-000020000000}"/>
  </cellStyles>
  <dxfs count="0"/>
  <tableStyles count="0" defaultTableStyle="TableStyleMedium2" defaultPivotStyle="PivotStyleLight16"/>
  <colors>
    <mruColors>
      <color rgb="FFFFFFCC"/>
      <color rgb="FF0000FF"/>
      <color rgb="FFCCFFCC"/>
      <color rgb="FFFF99FF"/>
      <color rgb="FF008000"/>
      <color rgb="FF009900"/>
      <color rgb="FF66FFFF"/>
      <color rgb="FFCC99FF"/>
      <color rgb="FFCCFFFF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33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externalLink" Target="externalLinks/externalLink5.xml"/><Relationship Id="rId112" Type="http://schemas.openxmlformats.org/officeDocument/2006/relationships/externalLink" Target="externalLinks/externalLink28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23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externalLink" Target="externalLinks/externalLink18.xml"/><Relationship Id="rId123" Type="http://schemas.openxmlformats.org/officeDocument/2006/relationships/theme" Target="theme/theme1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6.xml"/><Relationship Id="rId95" Type="http://schemas.openxmlformats.org/officeDocument/2006/relationships/externalLink" Target="externalLinks/externalLink11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externalLink" Target="externalLinks/externalLink29.xml"/><Relationship Id="rId118" Type="http://schemas.openxmlformats.org/officeDocument/2006/relationships/externalLink" Target="externalLinks/externalLink34.xml"/><Relationship Id="rId80" Type="http://schemas.openxmlformats.org/officeDocument/2006/relationships/worksheet" Target="worksheets/sheet80.xml"/><Relationship Id="rId85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externalLink" Target="externalLinks/externalLink19.xml"/><Relationship Id="rId108" Type="http://schemas.openxmlformats.org/officeDocument/2006/relationships/externalLink" Target="externalLinks/externalLink24.xml"/><Relationship Id="rId124" Type="http://schemas.openxmlformats.org/officeDocument/2006/relationships/styles" Target="styles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externalLink" Target="externalLinks/externalLink7.xml"/><Relationship Id="rId96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externalLink" Target="externalLinks/externalLink30.xml"/><Relationship Id="rId119" Type="http://schemas.openxmlformats.org/officeDocument/2006/relationships/externalLink" Target="externalLinks/externalLink35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externalLink" Target="externalLinks/externalLink2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25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13.xml"/><Relationship Id="rId104" Type="http://schemas.openxmlformats.org/officeDocument/2006/relationships/externalLink" Target="externalLinks/externalLink20.xml"/><Relationship Id="rId120" Type="http://schemas.openxmlformats.org/officeDocument/2006/relationships/externalLink" Target="externalLinks/externalLink36.xml"/><Relationship Id="rId12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externalLink" Target="externalLinks/externalLink3.xml"/><Relationship Id="rId110" Type="http://schemas.openxmlformats.org/officeDocument/2006/relationships/externalLink" Target="externalLinks/externalLink26.xml"/><Relationship Id="rId115" Type="http://schemas.openxmlformats.org/officeDocument/2006/relationships/externalLink" Target="externalLinks/externalLink3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16.xml"/><Relationship Id="rId105" Type="http://schemas.openxmlformats.org/officeDocument/2006/relationships/externalLink" Target="externalLinks/externalLink21.xml"/><Relationship Id="rId12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externalLink" Target="externalLinks/externalLink9.xml"/><Relationship Id="rId98" Type="http://schemas.openxmlformats.org/officeDocument/2006/relationships/externalLink" Target="externalLinks/externalLink14.xml"/><Relationship Id="rId121" Type="http://schemas.openxmlformats.org/officeDocument/2006/relationships/externalLink" Target="externalLinks/externalLink37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externalLink" Target="externalLinks/externalLink3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externalLink" Target="externalLinks/externalLink4.xml"/><Relationship Id="rId111" Type="http://schemas.openxmlformats.org/officeDocument/2006/relationships/externalLink" Target="externalLinks/externalLink27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2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externalLink" Target="externalLinks/externalLink10.xml"/><Relationship Id="rId99" Type="http://schemas.openxmlformats.org/officeDocument/2006/relationships/externalLink" Target="externalLinks/externalLink15.xml"/><Relationship Id="rId101" Type="http://schemas.openxmlformats.org/officeDocument/2006/relationships/externalLink" Target="externalLinks/externalLink17.xml"/><Relationship Id="rId122" Type="http://schemas.openxmlformats.org/officeDocument/2006/relationships/externalLink" Target="externalLinks/externalLink3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FY21%20Composite%2011.04.20%20-%20Rate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ADIT%20for%20KY%2004-30-2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Balance%20Sheet_Report-AIC%20Accts_with%20projection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KMD%20TB%20BS%20&amp;%20IS%20end%20Mar-21_DIV%20009%20&amp;%20DIV%20091%20IS%20Activit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OM%20for%20KY-202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Gas%20Cost%20by%20FERC-end%20Mar-2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SSU%20TB%20BS%20&amp;%20IS%20end%20Mar-21_DIV%20002%20&amp;%20DIV%20012%20IS%20Activity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Income%20Statement_Report-9220%20Accts%20-%20end%20Mar-2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Income%20Statement%20-%20Taxes%20Other-202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Originals/Ad%20Valorem%20Budget%20FY%202021%20-%20updated%205-7-202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F.1%20Schedule%2004.30.20%20-%2003.31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2021%20Blending%20percentages%20CKV%20Center%20&amp;%20Greenville%20Effective%20Jan-21%20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F.2.1%20Schedule%2004.30.20%20-%2003.31.2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Advertising%20&amp;%20Acct%204264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F.6%20Schedule%20Rate%20Case%20Expenses%20-%202019.2020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KMD%20Expense%20Report%20Review%20Apr20-Mar21%20(009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KMD%20Expense%20Report%20Review%20Apr20-Mar21%20(091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Apr'20-Mar'21%20002%20WEXP%20Review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Apr'20-Mar'21%20012%20WEXP%20Review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SERP%20Cost%20Oct20-Mar21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Apr20-Mar2_F.11%20Retirement%20Benefits%20Adj%20Mailout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Distribution%20COS%20summary%205.31.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Aligne%20Blending%20Rates%20FY21%20to%20Plant%2011042020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KY%20Depreciation%20Reg%20Liability%20Summary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G.1%20KY%20Benefit%20Rates%20Calc%20FY21%20Mailout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KY%202021%20Rate%20Case%20Tab%20G%202%20Payroll%20Analysis-CY16-CY20%20-%20mailout%20061721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G.2%20Division%20009%20labor%20analysis-2021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KY%20Co%2050%20G.3%20-%20Exec%20Comp%20Apr20-Mar21%20-%20mailout%20052521_CONFIDENTIAL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H.1%20PSC%20Assessment%20fees%202021%20(003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Income%20Statement_Report-Historic%20Statements%20CY%2020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Capital%20Structure%2003-31-21_Consolidated.xlsm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FR_16(8)%20(k)_Att1%20-%20Schedule%20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KY%20Plant%20Data-2021_Revised%206-3-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B-3.1F%20Depreciation%20Cap%20Rate%20Oct20%20-%20Mar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CWC/TYE%203_31_21/KY%202021%20Cash%20Working%20Capita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Balance%20Sheet_Report-Misc%20BS%20Accts_with%20projection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Gas%20Storage-Mar-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KY%20Revenue%20%20Billing%20Unit%20Forecast%20TYE%2012.3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Factor Composite"/>
      <sheetName val="Mid States FY21"/>
      <sheetName val="Mid States FY21 NSC only"/>
      <sheetName val="CO KS FY21"/>
      <sheetName val="COdiv 2021_old way"/>
      <sheetName val="COdiv 2021_new way"/>
      <sheetName val="COdiv 2021_new way NSC only"/>
      <sheetName val="West Texas FY21 new rollup"/>
      <sheetName val="West Texas FY21 NSC only"/>
      <sheetName val="Div 002 Rates"/>
      <sheetName val="Div 002 Rates (Excl APT)"/>
      <sheetName val="Div 012 Rates"/>
      <sheetName val="FY21 Composite 11.04"/>
    </sheetNames>
    <sheetDataSet>
      <sheetData sheetId="0">
        <row r="16">
          <cell r="I16">
            <v>0.11020000000000001</v>
          </cell>
        </row>
        <row r="19">
          <cell r="I19">
            <v>9.8599999999999993E-2</v>
          </cell>
        </row>
      </sheetData>
      <sheetData sheetId="1">
        <row r="10">
          <cell r="L10">
            <v>50.43</v>
          </cell>
          <cell r="M10">
            <v>50.42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8">
          <cell r="J38">
            <v>6.106367E-2</v>
          </cell>
        </row>
      </sheetData>
      <sheetData sheetId="1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Y ADIT"/>
      <sheetName val="KY Reg Liability Accelerated"/>
      <sheetName val="ADIT 002"/>
      <sheetName val="ADIT 012"/>
      <sheetName val="ADIT 009"/>
      <sheetName val="ADIT 091"/>
    </sheetNames>
    <sheetDataSet>
      <sheetData sheetId="0"/>
      <sheetData sheetId="1">
        <row r="34">
          <cell r="C34">
            <v>5565572.5675896592</v>
          </cell>
          <cell r="D34">
            <v>30215187.485404596</v>
          </cell>
        </row>
        <row r="35">
          <cell r="I35">
            <v>-21081.714070437138</v>
          </cell>
          <cell r="J35">
            <v>-101521.05329067397</v>
          </cell>
        </row>
        <row r="36">
          <cell r="I36">
            <v>-21081.714070437138</v>
          </cell>
          <cell r="J36">
            <v>-101521.05329067397</v>
          </cell>
        </row>
        <row r="37">
          <cell r="I37">
            <v>-21081.714070437138</v>
          </cell>
          <cell r="J37">
            <v>-101521.05329067397</v>
          </cell>
        </row>
        <row r="38">
          <cell r="I38">
            <v>-21081.714070437138</v>
          </cell>
          <cell r="J38">
            <v>-101521.05329067397</v>
          </cell>
        </row>
        <row r="39">
          <cell r="I39">
            <v>-21081.714070437138</v>
          </cell>
          <cell r="J39">
            <v>-101521.05329067397</v>
          </cell>
        </row>
        <row r="40">
          <cell r="I40">
            <v>-21081.714070437138</v>
          </cell>
          <cell r="J40">
            <v>-101521.05329067397</v>
          </cell>
        </row>
        <row r="41">
          <cell r="I41">
            <v>-21081.714070437138</v>
          </cell>
          <cell r="J41">
            <v>-101521.05329067397</v>
          </cell>
        </row>
        <row r="42">
          <cell r="I42">
            <v>-21081.714070437138</v>
          </cell>
          <cell r="J42">
            <v>-101521.05329067397</v>
          </cell>
        </row>
        <row r="43">
          <cell r="I43">
            <v>-21081.714070437138</v>
          </cell>
          <cell r="J43">
            <v>-101521.05329067397</v>
          </cell>
        </row>
        <row r="44">
          <cell r="I44">
            <v>-21081.714070437138</v>
          </cell>
          <cell r="J44">
            <v>-101521.05329067397</v>
          </cell>
        </row>
        <row r="45">
          <cell r="I45">
            <v>-21081.714070437138</v>
          </cell>
          <cell r="J45">
            <v>-101521.05329067397</v>
          </cell>
        </row>
        <row r="46">
          <cell r="I46">
            <v>-21081.714070437138</v>
          </cell>
          <cell r="J46">
            <v>-100898.7972771927</v>
          </cell>
        </row>
        <row r="47">
          <cell r="I47">
            <v>-21081.714070437138</v>
          </cell>
          <cell r="J47">
            <v>-100898.7972771927</v>
          </cell>
        </row>
        <row r="48">
          <cell r="I48">
            <v>-21081.714070437138</v>
          </cell>
          <cell r="J48">
            <v>-100898.7972771927</v>
          </cell>
        </row>
        <row r="49">
          <cell r="I49">
            <v>-21081.714070437138</v>
          </cell>
          <cell r="J49">
            <v>-100898.7972771927</v>
          </cell>
        </row>
        <row r="50">
          <cell r="I50">
            <v>-21081.714070437138</v>
          </cell>
          <cell r="J50">
            <v>-100898.7972771927</v>
          </cell>
        </row>
        <row r="51">
          <cell r="I51">
            <v>-21081.714070437138</v>
          </cell>
          <cell r="J51">
            <v>-100898.7972771927</v>
          </cell>
        </row>
        <row r="52">
          <cell r="I52">
            <v>-21081.714070437138</v>
          </cell>
          <cell r="J52">
            <v>-100898.7972771927</v>
          </cell>
        </row>
        <row r="53">
          <cell r="I53">
            <v>-21081.714070437138</v>
          </cell>
          <cell r="J53">
            <v>-100898.7972771927</v>
          </cell>
        </row>
        <row r="54">
          <cell r="I54">
            <v>-21081.714070437138</v>
          </cell>
          <cell r="J54">
            <v>-100898.7972771927</v>
          </cell>
        </row>
        <row r="55">
          <cell r="I55">
            <v>-21081.714070437138</v>
          </cell>
          <cell r="J55">
            <v>-100898.7972771927</v>
          </cell>
        </row>
        <row r="56">
          <cell r="I56">
            <v>-21081.714070437138</v>
          </cell>
          <cell r="J56">
            <v>-100898.7972771927</v>
          </cell>
        </row>
        <row r="57">
          <cell r="I57">
            <v>-21081.714070437138</v>
          </cell>
          <cell r="J57">
            <v>-100898.7972771927</v>
          </cell>
        </row>
        <row r="58">
          <cell r="I58">
            <v>-21081.714070437138</v>
          </cell>
          <cell r="J58">
            <v>-100898.7972771927</v>
          </cell>
        </row>
        <row r="59">
          <cell r="I59">
            <v>-21081.714070437138</v>
          </cell>
          <cell r="J59">
            <v>-100898.7972771927</v>
          </cell>
        </row>
        <row r="60">
          <cell r="I60">
            <v>-21081.714070437138</v>
          </cell>
          <cell r="J60">
            <v>-100898.7972771927</v>
          </cell>
        </row>
        <row r="61">
          <cell r="I61">
            <v>-21081.714070437138</v>
          </cell>
          <cell r="J61">
            <v>-100898.7972771927</v>
          </cell>
        </row>
        <row r="62">
          <cell r="I62">
            <v>-21081.714070437138</v>
          </cell>
          <cell r="J62">
            <v>-100898.7972771927</v>
          </cell>
        </row>
        <row r="63">
          <cell r="E63">
            <v>32236480.407764688</v>
          </cell>
          <cell r="I63">
            <v>-21081.714070437138</v>
          </cell>
          <cell r="J63">
            <v>-100898.7972771927</v>
          </cell>
        </row>
        <row r="64">
          <cell r="E64">
            <v>32114499.896417055</v>
          </cell>
          <cell r="I64">
            <v>-21081.714070437138</v>
          </cell>
          <cell r="J64">
            <v>-100898.7972771927</v>
          </cell>
          <cell r="L64">
            <v>-121980.51134762984</v>
          </cell>
        </row>
        <row r="65">
          <cell r="E65">
            <v>31992519.385069422</v>
          </cell>
          <cell r="I65">
            <v>-21081.714070437138</v>
          </cell>
          <cell r="J65">
            <v>-100898.7972771927</v>
          </cell>
          <cell r="L65">
            <v>-121980.51134762984</v>
          </cell>
        </row>
        <row r="66">
          <cell r="E66">
            <v>31870538.873721793</v>
          </cell>
          <cell r="I66">
            <v>-21081.714070437138</v>
          </cell>
          <cell r="J66">
            <v>-100898.7972771927</v>
          </cell>
          <cell r="L66">
            <v>-121980.51134762984</v>
          </cell>
        </row>
        <row r="67">
          <cell r="E67">
            <v>31748558.362374164</v>
          </cell>
          <cell r="I67">
            <v>-21081.714070437138</v>
          </cell>
          <cell r="J67">
            <v>-100898.7972771927</v>
          </cell>
          <cell r="L67">
            <v>-121980.51134762984</v>
          </cell>
        </row>
        <row r="68">
          <cell r="E68">
            <v>31626577.851026531</v>
          </cell>
          <cell r="I68">
            <v>-21081.714070437138</v>
          </cell>
          <cell r="J68">
            <v>-100898.7972771927</v>
          </cell>
          <cell r="L68">
            <v>-121980.51134762984</v>
          </cell>
        </row>
        <row r="69">
          <cell r="E69">
            <v>31504597.339678898</v>
          </cell>
          <cell r="I69">
            <v>-21081.714070437138</v>
          </cell>
          <cell r="J69">
            <v>-100898.7972771927</v>
          </cell>
          <cell r="L69">
            <v>-121980.51134762984</v>
          </cell>
        </row>
        <row r="70">
          <cell r="E70">
            <v>31382616.828331269</v>
          </cell>
          <cell r="I70">
            <v>-21081.714070437138</v>
          </cell>
          <cell r="J70">
            <v>-100898.7972771927</v>
          </cell>
          <cell r="L70">
            <v>-121980.51134762984</v>
          </cell>
        </row>
        <row r="71">
          <cell r="E71">
            <v>31260636.31698364</v>
          </cell>
          <cell r="I71">
            <v>-21081.714070437138</v>
          </cell>
          <cell r="J71">
            <v>-100898.7972771927</v>
          </cell>
          <cell r="L71">
            <v>-121980.51134762984</v>
          </cell>
        </row>
        <row r="72">
          <cell r="E72">
            <v>31138655.805636007</v>
          </cell>
          <cell r="I72">
            <v>-21081.714070437138</v>
          </cell>
          <cell r="J72">
            <v>-100898.7972771927</v>
          </cell>
          <cell r="L72">
            <v>-121980.51134762984</v>
          </cell>
        </row>
        <row r="73">
          <cell r="E73">
            <v>31016675.294288374</v>
          </cell>
          <cell r="I73">
            <v>-21081.714070437138</v>
          </cell>
          <cell r="J73">
            <v>-100898.7972771927</v>
          </cell>
          <cell r="L73">
            <v>-121980.51134762984</v>
          </cell>
        </row>
        <row r="74">
          <cell r="E74">
            <v>30894694.782940745</v>
          </cell>
          <cell r="I74">
            <v>-21081.714070437138</v>
          </cell>
          <cell r="J74">
            <v>-100898.7972771927</v>
          </cell>
          <cell r="L74">
            <v>-121980.51134762984</v>
          </cell>
        </row>
        <row r="75">
          <cell r="E75">
            <v>30772714.271593116</v>
          </cell>
          <cell r="I75">
            <v>-21081.714070437138</v>
          </cell>
          <cell r="J75">
            <v>-100898.7972771927</v>
          </cell>
          <cell r="L75">
            <v>-121980.51134762984</v>
          </cell>
        </row>
        <row r="76">
          <cell r="I76">
            <v>-21081.714070437138</v>
          </cell>
          <cell r="J76">
            <v>-100898.7972771927</v>
          </cell>
        </row>
        <row r="77">
          <cell r="I77">
            <v>-21081.714070437138</v>
          </cell>
          <cell r="J77">
            <v>-100898.7972771927</v>
          </cell>
        </row>
        <row r="78">
          <cell r="I78">
            <v>-21081.714070437138</v>
          </cell>
          <cell r="J78">
            <v>-100898.7972771927</v>
          </cell>
        </row>
        <row r="79">
          <cell r="I79">
            <v>-21081.714070437138</v>
          </cell>
          <cell r="K79">
            <v>-429479.92648433044</v>
          </cell>
        </row>
        <row r="80">
          <cell r="I80">
            <v>-21081.714070437138</v>
          </cell>
          <cell r="K80">
            <v>-429479.92648433044</v>
          </cell>
        </row>
        <row r="81">
          <cell r="I81">
            <v>-21081.714070437138</v>
          </cell>
          <cell r="K81">
            <v>-429479.92648433044</v>
          </cell>
        </row>
        <row r="82">
          <cell r="I82">
            <v>-21081.714070437138</v>
          </cell>
          <cell r="K82">
            <v>-429479.92648433044</v>
          </cell>
        </row>
        <row r="83">
          <cell r="I83">
            <v>-21081.714070437138</v>
          </cell>
          <cell r="K83">
            <v>-429479.92648433044</v>
          </cell>
        </row>
        <row r="84">
          <cell r="I84">
            <v>-21081.714070437138</v>
          </cell>
          <cell r="K84">
            <v>-429479.92648433044</v>
          </cell>
        </row>
        <row r="85">
          <cell r="I85">
            <v>-21081.714070437138</v>
          </cell>
          <cell r="K85">
            <v>-429479.92648433044</v>
          </cell>
        </row>
        <row r="86">
          <cell r="I86">
            <v>-21081.714070437138</v>
          </cell>
          <cell r="K86">
            <v>-429479.92648433044</v>
          </cell>
        </row>
        <row r="87">
          <cell r="I87">
            <v>-21081.714070437138</v>
          </cell>
          <cell r="K87">
            <v>-429479.92648433044</v>
          </cell>
        </row>
        <row r="88">
          <cell r="I88">
            <v>-21081.714070437138</v>
          </cell>
          <cell r="K88">
            <v>-429479.92648433044</v>
          </cell>
        </row>
        <row r="89">
          <cell r="I89">
            <v>-21081.714070437138</v>
          </cell>
          <cell r="K89">
            <v>-429479.92648433044</v>
          </cell>
        </row>
        <row r="90">
          <cell r="I90">
            <v>-21081.714070437138</v>
          </cell>
          <cell r="K90">
            <v>-429479.92648433044</v>
          </cell>
        </row>
        <row r="91">
          <cell r="I91">
            <v>-21081.714070437138</v>
          </cell>
          <cell r="K91">
            <v>-429479.92648433044</v>
          </cell>
        </row>
        <row r="92">
          <cell r="I92">
            <v>-21081.714070437138</v>
          </cell>
          <cell r="K92">
            <v>-429479.92648433044</v>
          </cell>
        </row>
        <row r="93">
          <cell r="I93">
            <v>-21081.714070437138</v>
          </cell>
          <cell r="K93">
            <v>-429479.92648433044</v>
          </cell>
        </row>
        <row r="94">
          <cell r="I94">
            <v>-21081.714070437138</v>
          </cell>
          <cell r="K94">
            <v>-429479.92648433044</v>
          </cell>
        </row>
        <row r="95">
          <cell r="I95">
            <v>-21081.714070437138</v>
          </cell>
          <cell r="K95">
            <v>-429479.92648433044</v>
          </cell>
        </row>
        <row r="96">
          <cell r="I96">
            <v>-21081.714070437138</v>
          </cell>
          <cell r="K96">
            <v>-429479.92648433044</v>
          </cell>
        </row>
        <row r="97">
          <cell r="I97">
            <v>-21081.714070437138</v>
          </cell>
          <cell r="K97">
            <v>-429479.92648433044</v>
          </cell>
        </row>
        <row r="98">
          <cell r="I98">
            <v>-21081.714070437138</v>
          </cell>
          <cell r="K98">
            <v>-429479.92648433044</v>
          </cell>
        </row>
        <row r="99">
          <cell r="I99">
            <v>-21081.714070437138</v>
          </cell>
          <cell r="K99">
            <v>-429479.92648433044</v>
          </cell>
        </row>
        <row r="100">
          <cell r="I100">
            <v>-21081.714070437138</v>
          </cell>
          <cell r="K100">
            <v>-429479.92648433044</v>
          </cell>
        </row>
        <row r="101">
          <cell r="I101">
            <v>-21081.714070437138</v>
          </cell>
          <cell r="K101">
            <v>-429479.92648433044</v>
          </cell>
        </row>
        <row r="102">
          <cell r="I102">
            <v>-21081.714070437138</v>
          </cell>
          <cell r="K102">
            <v>-429479.92648433044</v>
          </cell>
        </row>
        <row r="103">
          <cell r="I103">
            <v>-21081.714070437138</v>
          </cell>
          <cell r="K103">
            <v>-429479.92648433044</v>
          </cell>
        </row>
        <row r="104">
          <cell r="I104">
            <v>-21081.714070437138</v>
          </cell>
          <cell r="K104">
            <v>-429479.92648433044</v>
          </cell>
        </row>
        <row r="105">
          <cell r="I105">
            <v>-21081.714070437138</v>
          </cell>
          <cell r="K105">
            <v>-429479.92648433044</v>
          </cell>
        </row>
        <row r="106">
          <cell r="I106">
            <v>-21081.714070437138</v>
          </cell>
          <cell r="K106">
            <v>-429479.92648433044</v>
          </cell>
        </row>
        <row r="107">
          <cell r="I107">
            <v>-21081.714070437138</v>
          </cell>
          <cell r="K107">
            <v>-429479.92648433044</v>
          </cell>
        </row>
        <row r="108">
          <cell r="I108">
            <v>-21081.714070437138</v>
          </cell>
          <cell r="K108">
            <v>-429479.92648433044</v>
          </cell>
        </row>
        <row r="109">
          <cell r="I109">
            <v>-21081.714070437138</v>
          </cell>
          <cell r="K109">
            <v>-429479.92648433044</v>
          </cell>
        </row>
        <row r="110">
          <cell r="I110">
            <v>-21081.714070437138</v>
          </cell>
          <cell r="K110">
            <v>-429479.92648433044</v>
          </cell>
        </row>
        <row r="111">
          <cell r="I111">
            <v>-21081.714070437138</v>
          </cell>
          <cell r="K111">
            <v>-429479.92648433044</v>
          </cell>
        </row>
        <row r="112">
          <cell r="I112">
            <v>-21081.714070437138</v>
          </cell>
          <cell r="K112">
            <v>-429479.92648433044</v>
          </cell>
        </row>
        <row r="113">
          <cell r="I113">
            <v>-21081.714070437138</v>
          </cell>
          <cell r="K113">
            <v>-429479.92648433044</v>
          </cell>
        </row>
        <row r="114">
          <cell r="I114">
            <v>-21081.714070437138</v>
          </cell>
          <cell r="K114">
            <v>-429479.92648433044</v>
          </cell>
        </row>
        <row r="115">
          <cell r="I115">
            <v>-21081.714070437138</v>
          </cell>
          <cell r="K115">
            <v>-429479.92648433044</v>
          </cell>
        </row>
        <row r="116">
          <cell r="I116">
            <v>-21081.714070437138</v>
          </cell>
          <cell r="K116">
            <v>-429479.92648433044</v>
          </cell>
        </row>
        <row r="117">
          <cell r="I117">
            <v>-21081.714070437138</v>
          </cell>
          <cell r="K117">
            <v>-429479.92648433044</v>
          </cell>
        </row>
        <row r="118">
          <cell r="I118">
            <v>-21081.714070437138</v>
          </cell>
          <cell r="K118">
            <v>-429479.92648433044</v>
          </cell>
        </row>
        <row r="119">
          <cell r="I119">
            <v>-21081.714070437138</v>
          </cell>
          <cell r="K119">
            <v>-429479.92648433044</v>
          </cell>
        </row>
        <row r="120">
          <cell r="I120">
            <v>-21081.714070437138</v>
          </cell>
          <cell r="K120">
            <v>-429479.92648433044</v>
          </cell>
        </row>
        <row r="121">
          <cell r="I121">
            <v>-21081.714070437138</v>
          </cell>
          <cell r="K121">
            <v>-429479.92648433044</v>
          </cell>
        </row>
        <row r="122">
          <cell r="I122">
            <v>-21081.714070437138</v>
          </cell>
          <cell r="K122">
            <v>-429479.92648433044</v>
          </cell>
        </row>
        <row r="123">
          <cell r="I123">
            <v>-21081.714070437138</v>
          </cell>
          <cell r="K123">
            <v>-429479.92648433044</v>
          </cell>
        </row>
        <row r="124">
          <cell r="I124">
            <v>-21081.714070437138</v>
          </cell>
          <cell r="K124">
            <v>-429479.92648433044</v>
          </cell>
        </row>
        <row r="125">
          <cell r="I125">
            <v>-21081.714070437138</v>
          </cell>
          <cell r="K125">
            <v>-429479.92648433044</v>
          </cell>
        </row>
        <row r="126">
          <cell r="I126">
            <v>-21081.714070437138</v>
          </cell>
          <cell r="K126">
            <v>-429479.92648433044</v>
          </cell>
        </row>
        <row r="127">
          <cell r="I127">
            <v>-21081.714070437138</v>
          </cell>
          <cell r="K127">
            <v>-429479.92648433044</v>
          </cell>
        </row>
        <row r="128">
          <cell r="I128">
            <v>-21081.714070437138</v>
          </cell>
          <cell r="K128">
            <v>-429479.92648433044</v>
          </cell>
        </row>
        <row r="129">
          <cell r="I129">
            <v>-21081.714070437138</v>
          </cell>
          <cell r="K129">
            <v>-429479.92648433044</v>
          </cell>
        </row>
        <row r="130">
          <cell r="I130">
            <v>-21081.714070437138</v>
          </cell>
          <cell r="K130">
            <v>-429479.92648433044</v>
          </cell>
        </row>
        <row r="131">
          <cell r="I131">
            <v>-21081.714070437138</v>
          </cell>
          <cell r="K131">
            <v>-429479.92648433044</v>
          </cell>
        </row>
        <row r="132">
          <cell r="I132">
            <v>-21081.714070437138</v>
          </cell>
          <cell r="K132">
            <v>-429479.92648433044</v>
          </cell>
        </row>
        <row r="133">
          <cell r="I133">
            <v>-21081.714070437138</v>
          </cell>
          <cell r="K133">
            <v>-429479.92648433044</v>
          </cell>
        </row>
        <row r="134">
          <cell r="I134">
            <v>-21081.714070437138</v>
          </cell>
          <cell r="K134">
            <v>-429479.92648433044</v>
          </cell>
        </row>
        <row r="135">
          <cell r="I135">
            <v>-21081.714070437138</v>
          </cell>
          <cell r="K135">
            <v>-429479.92648433044</v>
          </cell>
        </row>
        <row r="136">
          <cell r="I136">
            <v>-21081.714070437138</v>
          </cell>
          <cell r="K136">
            <v>-429479.92648433044</v>
          </cell>
        </row>
        <row r="137">
          <cell r="I137">
            <v>-21081.714070437138</v>
          </cell>
          <cell r="K137">
            <v>-429479.92648433044</v>
          </cell>
        </row>
        <row r="138">
          <cell r="I138">
            <v>-21081.714070437138</v>
          </cell>
          <cell r="K138">
            <v>-429479.92648433044</v>
          </cell>
        </row>
        <row r="139">
          <cell r="I139">
            <v>-21081.714070437138</v>
          </cell>
        </row>
        <row r="140">
          <cell r="I140">
            <v>-21081.714070437138</v>
          </cell>
        </row>
        <row r="141">
          <cell r="I141">
            <v>-21081.714070437138</v>
          </cell>
        </row>
        <row r="142">
          <cell r="I142">
            <v>-21081.714070437138</v>
          </cell>
        </row>
        <row r="143">
          <cell r="I143">
            <v>-21081.714070437138</v>
          </cell>
        </row>
        <row r="144">
          <cell r="I144">
            <v>-21081.714070437138</v>
          </cell>
        </row>
        <row r="145">
          <cell r="I145">
            <v>-21081.714070437138</v>
          </cell>
        </row>
        <row r="146">
          <cell r="I146">
            <v>-21081.714070437138</v>
          </cell>
        </row>
        <row r="147">
          <cell r="I147">
            <v>-21081.714070437138</v>
          </cell>
        </row>
        <row r="148">
          <cell r="I148">
            <v>-21081.714070437138</v>
          </cell>
        </row>
        <row r="149">
          <cell r="I149">
            <v>-21081.714070437138</v>
          </cell>
        </row>
        <row r="150">
          <cell r="I150">
            <v>-21081.714070437138</v>
          </cell>
        </row>
        <row r="151">
          <cell r="I151">
            <v>-21081.714070437138</v>
          </cell>
        </row>
        <row r="152">
          <cell r="I152">
            <v>-21081.714070437138</v>
          </cell>
        </row>
        <row r="153">
          <cell r="I153">
            <v>-21081.714070437138</v>
          </cell>
        </row>
        <row r="154">
          <cell r="I154">
            <v>-21081.714070437138</v>
          </cell>
        </row>
        <row r="155">
          <cell r="I155">
            <v>-21081.714070437138</v>
          </cell>
        </row>
        <row r="156">
          <cell r="I156">
            <v>-21081.714070437138</v>
          </cell>
        </row>
        <row r="157">
          <cell r="I157">
            <v>-21081.714070437138</v>
          </cell>
        </row>
        <row r="158">
          <cell r="I158">
            <v>-21081.714070437138</v>
          </cell>
        </row>
        <row r="159">
          <cell r="I159">
            <v>-21081.714070437138</v>
          </cell>
        </row>
        <row r="160">
          <cell r="I160">
            <v>-21081.714070437138</v>
          </cell>
        </row>
        <row r="161">
          <cell r="I161">
            <v>-21081.714070437138</v>
          </cell>
        </row>
        <row r="162">
          <cell r="I162">
            <v>-21081.714070437138</v>
          </cell>
        </row>
        <row r="163">
          <cell r="I163">
            <v>-21081.714070437138</v>
          </cell>
        </row>
        <row r="164">
          <cell r="I164">
            <v>-21081.714070437138</v>
          </cell>
        </row>
        <row r="165">
          <cell r="I165">
            <v>-21081.714070437138</v>
          </cell>
        </row>
        <row r="166">
          <cell r="I166">
            <v>-21081.714070437138</v>
          </cell>
        </row>
        <row r="167">
          <cell r="I167">
            <v>-21081.714070437138</v>
          </cell>
        </row>
        <row r="168">
          <cell r="I168">
            <v>-21081.714070437138</v>
          </cell>
        </row>
        <row r="169">
          <cell r="I169">
            <v>-21081.714070437138</v>
          </cell>
        </row>
        <row r="170">
          <cell r="I170">
            <v>-21081.714070437138</v>
          </cell>
        </row>
        <row r="171">
          <cell r="I171">
            <v>-21081.714070437138</v>
          </cell>
        </row>
        <row r="172">
          <cell r="I172">
            <v>-21081.714070437138</v>
          </cell>
        </row>
        <row r="173">
          <cell r="I173">
            <v>-21081.714070437138</v>
          </cell>
        </row>
        <row r="174">
          <cell r="I174">
            <v>-21081.714070437138</v>
          </cell>
        </row>
        <row r="175">
          <cell r="I175">
            <v>-21081.714070437138</v>
          </cell>
        </row>
        <row r="176">
          <cell r="I176">
            <v>-21081.714070437138</v>
          </cell>
        </row>
        <row r="177">
          <cell r="I177">
            <v>-21081.714070437138</v>
          </cell>
        </row>
        <row r="178">
          <cell r="I178">
            <v>-21081.714070437138</v>
          </cell>
        </row>
        <row r="179">
          <cell r="I179">
            <v>-21081.714070437138</v>
          </cell>
        </row>
        <row r="180">
          <cell r="I180">
            <v>-21081.714070437138</v>
          </cell>
        </row>
        <row r="181">
          <cell r="I181">
            <v>-21081.714070437138</v>
          </cell>
        </row>
        <row r="182">
          <cell r="I182">
            <v>-21081.714070437138</v>
          </cell>
        </row>
        <row r="183">
          <cell r="I183">
            <v>-21081.714070437138</v>
          </cell>
        </row>
        <row r="184">
          <cell r="I184">
            <v>-21081.714070437138</v>
          </cell>
        </row>
        <row r="185">
          <cell r="I185">
            <v>-21081.714070437138</v>
          </cell>
        </row>
        <row r="186">
          <cell r="I186">
            <v>-21081.714070437138</v>
          </cell>
        </row>
        <row r="187">
          <cell r="I187">
            <v>-21081.714070437138</v>
          </cell>
        </row>
        <row r="188">
          <cell r="I188">
            <v>-21081.714070437138</v>
          </cell>
        </row>
        <row r="189">
          <cell r="I189">
            <v>-21081.714070437138</v>
          </cell>
        </row>
        <row r="190">
          <cell r="I190">
            <v>-21081.714070437138</v>
          </cell>
        </row>
        <row r="191">
          <cell r="I191">
            <v>-21081.714070437138</v>
          </cell>
        </row>
        <row r="192">
          <cell r="I192">
            <v>-21081.714070437138</v>
          </cell>
        </row>
        <row r="193">
          <cell r="I193">
            <v>-21081.714070437138</v>
          </cell>
        </row>
        <row r="194">
          <cell r="I194">
            <v>-21081.714070437138</v>
          </cell>
        </row>
        <row r="195">
          <cell r="I195">
            <v>-21081.714070437138</v>
          </cell>
        </row>
        <row r="196">
          <cell r="I196">
            <v>-21081.714070437138</v>
          </cell>
        </row>
        <row r="197">
          <cell r="I197">
            <v>-21081.714070437138</v>
          </cell>
        </row>
        <row r="198">
          <cell r="I198">
            <v>-21081.714070437138</v>
          </cell>
        </row>
        <row r="199">
          <cell r="I199">
            <v>-21081.714070437138</v>
          </cell>
        </row>
        <row r="200">
          <cell r="I200">
            <v>-21081.714070437138</v>
          </cell>
        </row>
        <row r="201">
          <cell r="I201">
            <v>-21081.714070437138</v>
          </cell>
        </row>
        <row r="202">
          <cell r="I202">
            <v>-21081.714070437138</v>
          </cell>
        </row>
        <row r="203">
          <cell r="I203">
            <v>-21081.714070437138</v>
          </cell>
        </row>
        <row r="204">
          <cell r="I204">
            <v>-21081.714070437138</v>
          </cell>
        </row>
        <row r="205">
          <cell r="I205">
            <v>-21081.714070437138</v>
          </cell>
        </row>
        <row r="206">
          <cell r="I206">
            <v>-21081.714070437138</v>
          </cell>
        </row>
        <row r="207">
          <cell r="I207">
            <v>-21081.714070437138</v>
          </cell>
        </row>
        <row r="208">
          <cell r="I208">
            <v>-21081.714070437138</v>
          </cell>
        </row>
        <row r="209">
          <cell r="I209">
            <v>-21081.714070437138</v>
          </cell>
        </row>
        <row r="210">
          <cell r="I210">
            <v>-21081.714070437138</v>
          </cell>
        </row>
        <row r="211">
          <cell r="I211">
            <v>-21081.714070437138</v>
          </cell>
        </row>
        <row r="212">
          <cell r="I212">
            <v>-21081.714070437138</v>
          </cell>
        </row>
        <row r="213">
          <cell r="I213">
            <v>-21081.714070437138</v>
          </cell>
        </row>
        <row r="214">
          <cell r="I214">
            <v>-21081.714070437138</v>
          </cell>
        </row>
        <row r="215">
          <cell r="I215">
            <v>-21081.714070437138</v>
          </cell>
        </row>
        <row r="216">
          <cell r="I216">
            <v>-21081.714070437138</v>
          </cell>
        </row>
        <row r="217">
          <cell r="I217">
            <v>-21081.714070437138</v>
          </cell>
        </row>
        <row r="218">
          <cell r="I218">
            <v>-21081.714070437138</v>
          </cell>
        </row>
        <row r="219">
          <cell r="I219">
            <v>-21081.714070437138</v>
          </cell>
        </row>
        <row r="220">
          <cell r="I220">
            <v>-21081.714070437138</v>
          </cell>
        </row>
        <row r="221">
          <cell r="I221">
            <v>-21081.714070437138</v>
          </cell>
        </row>
        <row r="222">
          <cell r="I222">
            <v>-21081.714070437138</v>
          </cell>
        </row>
        <row r="223">
          <cell r="I223">
            <v>-21081.714070437138</v>
          </cell>
        </row>
        <row r="224">
          <cell r="I224">
            <v>-21081.714070437138</v>
          </cell>
        </row>
        <row r="225">
          <cell r="I225">
            <v>-21081.714070437138</v>
          </cell>
        </row>
        <row r="226">
          <cell r="I226">
            <v>-21081.714070437138</v>
          </cell>
        </row>
        <row r="227">
          <cell r="I227">
            <v>-21081.714070437138</v>
          </cell>
        </row>
        <row r="228">
          <cell r="I228">
            <v>-21081.714070437138</v>
          </cell>
        </row>
        <row r="229">
          <cell r="I229">
            <v>-21081.714070437138</v>
          </cell>
        </row>
        <row r="230">
          <cell r="I230">
            <v>-21081.714070437138</v>
          </cell>
        </row>
        <row r="231">
          <cell r="I231">
            <v>-21081.714070437138</v>
          </cell>
        </row>
        <row r="232">
          <cell r="I232">
            <v>-21081.714070437138</v>
          </cell>
        </row>
        <row r="233">
          <cell r="I233">
            <v>-21081.714070437138</v>
          </cell>
        </row>
        <row r="234">
          <cell r="I234">
            <v>-21081.714070437138</v>
          </cell>
        </row>
        <row r="235">
          <cell r="I235">
            <v>-21081.714070437138</v>
          </cell>
        </row>
        <row r="236">
          <cell r="I236">
            <v>-21081.714070437138</v>
          </cell>
        </row>
        <row r="237">
          <cell r="I237">
            <v>-21081.714070437138</v>
          </cell>
        </row>
        <row r="238">
          <cell r="I238">
            <v>-21081.714070437138</v>
          </cell>
        </row>
        <row r="239">
          <cell r="I239">
            <v>-21081.714070437138</v>
          </cell>
        </row>
        <row r="240">
          <cell r="I240">
            <v>-21081.714070437138</v>
          </cell>
        </row>
        <row r="241">
          <cell r="I241">
            <v>-21081.714070437138</v>
          </cell>
        </row>
        <row r="242">
          <cell r="I242">
            <v>-21081.714070437138</v>
          </cell>
        </row>
        <row r="243">
          <cell r="I243">
            <v>-21081.714070437138</v>
          </cell>
        </row>
        <row r="244">
          <cell r="I244">
            <v>-21081.714070437138</v>
          </cell>
        </row>
        <row r="245">
          <cell r="I245">
            <v>-21081.714070437138</v>
          </cell>
        </row>
        <row r="246">
          <cell r="I246">
            <v>-21081.714070437138</v>
          </cell>
        </row>
        <row r="247">
          <cell r="I247">
            <v>-21081.714070437138</v>
          </cell>
        </row>
        <row r="248">
          <cell r="I248">
            <v>-21081.714070437138</v>
          </cell>
        </row>
        <row r="249">
          <cell r="I249">
            <v>-21081.714070437138</v>
          </cell>
        </row>
        <row r="250">
          <cell r="I250">
            <v>-21081.714070437138</v>
          </cell>
        </row>
        <row r="251">
          <cell r="I251">
            <v>-21081.714070437138</v>
          </cell>
        </row>
        <row r="252">
          <cell r="I252">
            <v>-21081.714070437138</v>
          </cell>
        </row>
        <row r="253">
          <cell r="I253">
            <v>-21081.714070437138</v>
          </cell>
        </row>
        <row r="254">
          <cell r="I254">
            <v>-21081.714070437138</v>
          </cell>
        </row>
        <row r="255">
          <cell r="I255">
            <v>-21081.714070437138</v>
          </cell>
        </row>
        <row r="256">
          <cell r="I256">
            <v>-21081.714070437138</v>
          </cell>
        </row>
        <row r="257">
          <cell r="I257">
            <v>-21081.714070437138</v>
          </cell>
        </row>
        <row r="258">
          <cell r="I258">
            <v>-21081.714070437138</v>
          </cell>
        </row>
        <row r="259">
          <cell r="I259">
            <v>-21081.714070437138</v>
          </cell>
        </row>
        <row r="260">
          <cell r="I260">
            <v>-21081.714070437138</v>
          </cell>
        </row>
        <row r="261">
          <cell r="I261">
            <v>-21081.714070437138</v>
          </cell>
        </row>
        <row r="262">
          <cell r="I262">
            <v>-21081.714070437138</v>
          </cell>
        </row>
        <row r="263">
          <cell r="I263">
            <v>-21081.714070437138</v>
          </cell>
        </row>
        <row r="264">
          <cell r="I264">
            <v>-21081.714070437138</v>
          </cell>
        </row>
        <row r="265">
          <cell r="I265">
            <v>-21081.714070437138</v>
          </cell>
        </row>
        <row r="266">
          <cell r="I266">
            <v>-21081.714070437138</v>
          </cell>
        </row>
        <row r="267">
          <cell r="I267">
            <v>-21081.714070437138</v>
          </cell>
        </row>
        <row r="268">
          <cell r="I268">
            <v>-21081.714070437138</v>
          </cell>
        </row>
        <row r="269">
          <cell r="I269">
            <v>-21081.714070437138</v>
          </cell>
        </row>
        <row r="270">
          <cell r="I270">
            <v>-21081.714070437138</v>
          </cell>
        </row>
        <row r="271">
          <cell r="I271">
            <v>-21081.714070437138</v>
          </cell>
        </row>
        <row r="272">
          <cell r="I272">
            <v>-21081.714070437138</v>
          </cell>
        </row>
        <row r="273">
          <cell r="I273">
            <v>-21081.714070437138</v>
          </cell>
        </row>
        <row r="274">
          <cell r="I274">
            <v>-21081.714070437138</v>
          </cell>
        </row>
        <row r="275">
          <cell r="I275">
            <v>-21081.714070437138</v>
          </cell>
        </row>
        <row r="276">
          <cell r="I276">
            <v>-21081.714070437138</v>
          </cell>
        </row>
        <row r="277">
          <cell r="I277">
            <v>-21081.714070437138</v>
          </cell>
        </row>
        <row r="278">
          <cell r="I278">
            <v>-21081.714070437138</v>
          </cell>
        </row>
        <row r="279">
          <cell r="I279">
            <v>-21081.714070437138</v>
          </cell>
        </row>
        <row r="280">
          <cell r="I280">
            <v>-21081.714070437138</v>
          </cell>
        </row>
        <row r="281">
          <cell r="I281">
            <v>-21081.714070437138</v>
          </cell>
        </row>
        <row r="282">
          <cell r="I282">
            <v>-21081.714070437138</v>
          </cell>
        </row>
        <row r="283">
          <cell r="I283">
            <v>-21081.714070437138</v>
          </cell>
        </row>
        <row r="284">
          <cell r="I284">
            <v>-21081.714070437138</v>
          </cell>
        </row>
        <row r="285">
          <cell r="I285">
            <v>-21081.714070437138</v>
          </cell>
        </row>
        <row r="286">
          <cell r="I286">
            <v>-21081.714070437138</v>
          </cell>
        </row>
        <row r="287">
          <cell r="I287">
            <v>-21081.714070437138</v>
          </cell>
        </row>
        <row r="288">
          <cell r="I288">
            <v>-21081.714070437138</v>
          </cell>
        </row>
        <row r="289">
          <cell r="I289">
            <v>-21081.714070437138</v>
          </cell>
        </row>
        <row r="290">
          <cell r="I290">
            <v>-21081.714070437138</v>
          </cell>
        </row>
        <row r="291">
          <cell r="I291">
            <v>-21081.714070437138</v>
          </cell>
        </row>
        <row r="292">
          <cell r="I292">
            <v>-21081.714070437138</v>
          </cell>
        </row>
        <row r="293">
          <cell r="I293">
            <v>-21081.714070437138</v>
          </cell>
        </row>
        <row r="294">
          <cell r="I294">
            <v>-21081.714070437138</v>
          </cell>
        </row>
        <row r="295">
          <cell r="I295">
            <v>-21081.714070437138</v>
          </cell>
        </row>
        <row r="296">
          <cell r="I296">
            <v>-21081.714070437138</v>
          </cell>
        </row>
        <row r="297">
          <cell r="I297">
            <v>-21081.714070437138</v>
          </cell>
        </row>
        <row r="298">
          <cell r="I298">
            <v>-21081.714070437138</v>
          </cell>
        </row>
      </sheetData>
      <sheetData sheetId="2">
        <row r="76">
          <cell r="E76">
            <v>630844716</v>
          </cell>
          <cell r="F76">
            <v>630844716</v>
          </cell>
          <cell r="G76">
            <v>630844716</v>
          </cell>
          <cell r="H76">
            <v>620420700</v>
          </cell>
          <cell r="I76">
            <v>620420700</v>
          </cell>
          <cell r="J76">
            <v>620420700</v>
          </cell>
          <cell r="K76">
            <v>1003364749</v>
          </cell>
          <cell r="L76">
            <v>1003364749</v>
          </cell>
          <cell r="M76">
            <v>1003364749</v>
          </cell>
          <cell r="N76">
            <v>1003364749</v>
          </cell>
          <cell r="O76">
            <v>1003364749</v>
          </cell>
          <cell r="P76">
            <v>1003364749</v>
          </cell>
          <cell r="Q76">
            <v>1003364749</v>
          </cell>
          <cell r="T76">
            <v>1003364749</v>
          </cell>
          <cell r="U76">
            <v>1003364749</v>
          </cell>
          <cell r="V76">
            <v>1003364749</v>
          </cell>
          <cell r="W76">
            <v>1003364749</v>
          </cell>
          <cell r="X76">
            <v>1003364749</v>
          </cell>
          <cell r="Y76">
            <v>1003364749</v>
          </cell>
          <cell r="Z76">
            <v>1003364749</v>
          </cell>
          <cell r="AA76">
            <v>1003364749</v>
          </cell>
          <cell r="AB76">
            <v>1003364749</v>
          </cell>
          <cell r="AC76">
            <v>1003364749</v>
          </cell>
          <cell r="AD76">
            <v>1003364749</v>
          </cell>
          <cell r="AE76">
            <v>1003364749</v>
          </cell>
          <cell r="AF76">
            <v>1003364749</v>
          </cell>
        </row>
        <row r="77">
          <cell r="E77">
            <v>-17648510</v>
          </cell>
          <cell r="F77">
            <v>-17648510</v>
          </cell>
          <cell r="G77">
            <v>-17648510</v>
          </cell>
          <cell r="H77">
            <v>-18017153</v>
          </cell>
          <cell r="I77">
            <v>-18017153</v>
          </cell>
          <cell r="J77">
            <v>-18017153</v>
          </cell>
          <cell r="K77">
            <v>-18422723</v>
          </cell>
          <cell r="L77">
            <v>-18459075.45940135</v>
          </cell>
          <cell r="M77">
            <v>-18493452.70796385</v>
          </cell>
          <cell r="N77">
            <v>-18505017.515995227</v>
          </cell>
          <cell r="O77">
            <v>-18500033.473631021</v>
          </cell>
          <cell r="P77">
            <v>-18485570.127228204</v>
          </cell>
          <cell r="Q77">
            <v>-18468801.078901343</v>
          </cell>
          <cell r="T77">
            <v>-19370913.198232818</v>
          </cell>
          <cell r="U77">
            <v>-19309490.402119536</v>
          </cell>
          <cell r="V77">
            <v>-19266157.897851486</v>
          </cell>
          <cell r="W77">
            <v>-19225743.312602736</v>
          </cell>
          <cell r="X77">
            <v>-19308082.323729638</v>
          </cell>
          <cell r="Y77">
            <v>-19367747.986940611</v>
          </cell>
          <cell r="Z77">
            <v>-19405967.971021533</v>
          </cell>
          <cell r="AA77">
            <v>-19438363.584506359</v>
          </cell>
          <cell r="AB77">
            <v>-19456292.751136247</v>
          </cell>
          <cell r="AC77">
            <v>-19474523.364474706</v>
          </cell>
          <cell r="AD77">
            <v>-19556558.571609706</v>
          </cell>
          <cell r="AE77">
            <v>-19569789.359498441</v>
          </cell>
          <cell r="AF77">
            <v>-19590408.37466174</v>
          </cell>
        </row>
        <row r="78">
          <cell r="E78">
            <v>30908361.723355528</v>
          </cell>
          <cell r="F78">
            <v>30798389.935030084</v>
          </cell>
          <cell r="G78">
            <v>30688418.146704644</v>
          </cell>
          <cell r="H78">
            <v>31131007.3583792</v>
          </cell>
          <cell r="I78">
            <v>31021035.570053756</v>
          </cell>
          <cell r="J78">
            <v>30911063.781728309</v>
          </cell>
          <cell r="K78">
            <v>30849726.993402865</v>
          </cell>
          <cell r="L78">
            <v>30739755.205077421</v>
          </cell>
          <cell r="M78">
            <v>30739755.205077421</v>
          </cell>
          <cell r="N78">
            <v>30739755.205077421</v>
          </cell>
          <cell r="O78">
            <v>30739755.205077421</v>
          </cell>
          <cell r="P78">
            <v>30739755.205077421</v>
          </cell>
          <cell r="Q78">
            <v>30739755.205077421</v>
          </cell>
          <cell r="T78">
            <v>30739755.205077421</v>
          </cell>
          <cell r="U78">
            <v>30739755.205077421</v>
          </cell>
          <cell r="V78">
            <v>30739755.205077421</v>
          </cell>
          <cell r="W78">
            <v>30739755.205077421</v>
          </cell>
          <cell r="X78">
            <v>30739755.205077421</v>
          </cell>
          <cell r="Y78">
            <v>30739755.205077421</v>
          </cell>
          <cell r="Z78">
            <v>30739755.205077421</v>
          </cell>
          <cell r="AA78">
            <v>30739755.205077421</v>
          </cell>
          <cell r="AB78">
            <v>30739755.205077421</v>
          </cell>
          <cell r="AC78">
            <v>30739755.205077421</v>
          </cell>
          <cell r="AD78">
            <v>30739755.205077421</v>
          </cell>
          <cell r="AE78">
            <v>30739755.205077421</v>
          </cell>
          <cell r="AF78">
            <v>30739755.205077421</v>
          </cell>
        </row>
      </sheetData>
      <sheetData sheetId="3">
        <row r="76">
          <cell r="E76">
            <v>-316363</v>
          </cell>
          <cell r="F76">
            <v>-316363</v>
          </cell>
          <cell r="G76">
            <v>-316363</v>
          </cell>
          <cell r="H76">
            <v>-401116</v>
          </cell>
          <cell r="I76">
            <v>-401116</v>
          </cell>
          <cell r="J76">
            <v>-401116</v>
          </cell>
          <cell r="K76">
            <v>-469726</v>
          </cell>
          <cell r="L76">
            <v>-469726</v>
          </cell>
          <cell r="M76">
            <v>-469726</v>
          </cell>
          <cell r="N76">
            <v>-469726</v>
          </cell>
          <cell r="O76">
            <v>-469726</v>
          </cell>
          <cell r="P76">
            <v>-469726</v>
          </cell>
          <cell r="Q76">
            <v>-469726</v>
          </cell>
          <cell r="T76">
            <v>-469726</v>
          </cell>
          <cell r="U76">
            <v>-469726</v>
          </cell>
          <cell r="V76">
            <v>-469726</v>
          </cell>
          <cell r="W76">
            <v>-469726</v>
          </cell>
          <cell r="X76">
            <v>-469726</v>
          </cell>
          <cell r="Y76">
            <v>-469726</v>
          </cell>
          <cell r="Z76">
            <v>-469726</v>
          </cell>
          <cell r="AA76">
            <v>-469726</v>
          </cell>
          <cell r="AB76">
            <v>-469726</v>
          </cell>
          <cell r="AC76">
            <v>-469726</v>
          </cell>
          <cell r="AD76">
            <v>-469726</v>
          </cell>
          <cell r="AE76">
            <v>-469726</v>
          </cell>
          <cell r="AF76">
            <v>-469726</v>
          </cell>
        </row>
        <row r="77">
          <cell r="E77">
            <v>-14089067</v>
          </cell>
          <cell r="F77">
            <v>-14089067</v>
          </cell>
          <cell r="G77">
            <v>-14089067</v>
          </cell>
          <cell r="H77">
            <v>-13673882</v>
          </cell>
          <cell r="I77">
            <v>-13673882</v>
          </cell>
          <cell r="J77">
            <v>-13673882</v>
          </cell>
          <cell r="K77">
            <v>-13333582</v>
          </cell>
          <cell r="L77">
            <v>-13184466.11865118</v>
          </cell>
          <cell r="M77">
            <v>-13035404.690395081</v>
          </cell>
          <cell r="N77">
            <v>-12886189.948951306</v>
          </cell>
          <cell r="O77">
            <v>-12736847.867623039</v>
          </cell>
          <cell r="P77">
            <v>-12587353.784523023</v>
          </cell>
          <cell r="Q77">
            <v>-12438012.428108975</v>
          </cell>
          <cell r="T77">
            <v>-12025452.002340958</v>
          </cell>
          <cell r="U77">
            <v>-11849276.32520867</v>
          </cell>
          <cell r="V77">
            <v>-11707515.943750102</v>
          </cell>
          <cell r="W77">
            <v>-11561140.063861307</v>
          </cell>
          <cell r="X77">
            <v>-11432842.185323792</v>
          </cell>
          <cell r="Y77">
            <v>-11318392.675336812</v>
          </cell>
          <cell r="Z77">
            <v>-11219292.896402361</v>
          </cell>
          <cell r="AA77">
            <v>-11135088.848390456</v>
          </cell>
          <cell r="AB77">
            <v>-11066300.949247286</v>
          </cell>
          <cell r="AC77">
            <v>-11012547.645771392</v>
          </cell>
          <cell r="AD77">
            <v>-10975372.608281903</v>
          </cell>
          <cell r="AE77">
            <v>-10952678.359237906</v>
          </cell>
          <cell r="AF77">
            <v>-10946260.540675491</v>
          </cell>
        </row>
        <row r="78">
          <cell r="E78">
            <v>-263</v>
          </cell>
          <cell r="F78">
            <v>-263</v>
          </cell>
          <cell r="G78">
            <v>-263</v>
          </cell>
          <cell r="H78">
            <v>-363</v>
          </cell>
          <cell r="I78">
            <v>-363</v>
          </cell>
          <cell r="J78">
            <v>-363</v>
          </cell>
          <cell r="K78">
            <v>195</v>
          </cell>
          <cell r="L78">
            <v>195</v>
          </cell>
          <cell r="M78">
            <v>195</v>
          </cell>
          <cell r="N78">
            <v>195</v>
          </cell>
          <cell r="O78">
            <v>195</v>
          </cell>
          <cell r="P78">
            <v>195</v>
          </cell>
          <cell r="Q78">
            <v>195</v>
          </cell>
          <cell r="T78">
            <v>195</v>
          </cell>
          <cell r="U78">
            <v>195</v>
          </cell>
          <cell r="V78">
            <v>195</v>
          </cell>
          <cell r="W78">
            <v>195</v>
          </cell>
          <cell r="X78">
            <v>195</v>
          </cell>
          <cell r="Y78">
            <v>195</v>
          </cell>
          <cell r="Z78">
            <v>195</v>
          </cell>
          <cell r="AA78">
            <v>195</v>
          </cell>
          <cell r="AB78">
            <v>195</v>
          </cell>
          <cell r="AC78">
            <v>195</v>
          </cell>
          <cell r="AD78">
            <v>195</v>
          </cell>
          <cell r="AE78">
            <v>195</v>
          </cell>
          <cell r="AF78">
            <v>195</v>
          </cell>
        </row>
      </sheetData>
      <sheetData sheetId="4">
        <row r="76">
          <cell r="E76">
            <v>12421035</v>
          </cell>
          <cell r="F76">
            <v>12393202.710000001</v>
          </cell>
          <cell r="G76">
            <v>12365370.42</v>
          </cell>
          <cell r="H76">
            <v>12321606</v>
          </cell>
          <cell r="I76">
            <v>12293773.710000001</v>
          </cell>
          <cell r="J76">
            <v>12265941.42</v>
          </cell>
          <cell r="K76">
            <v>16721666</v>
          </cell>
          <cell r="L76">
            <v>16693976.681720346</v>
          </cell>
          <cell r="M76">
            <v>16666144.38844616</v>
          </cell>
          <cell r="N76">
            <v>16638312.095171969</v>
          </cell>
          <cell r="O76">
            <v>16610479.801897779</v>
          </cell>
          <cell r="P76">
            <v>16582647.508623593</v>
          </cell>
          <cell r="Q76">
            <v>16554815.215349402</v>
          </cell>
          <cell r="T76">
            <v>16471318.335526835</v>
          </cell>
          <cell r="U76">
            <v>16368513.686001454</v>
          </cell>
          <cell r="V76">
            <v>16265709.036476072</v>
          </cell>
          <cell r="W76">
            <v>16162904.38695069</v>
          </cell>
          <cell r="X76">
            <v>16060099.737425309</v>
          </cell>
          <cell r="Y76">
            <v>15957295.087899927</v>
          </cell>
          <cell r="Z76">
            <v>15854490.438374545</v>
          </cell>
          <cell r="AA76">
            <v>15751685.788849164</v>
          </cell>
          <cell r="AB76">
            <v>15648881.139323782</v>
          </cell>
          <cell r="AC76">
            <v>15546076.489798401</v>
          </cell>
          <cell r="AD76">
            <v>15443271.840273019</v>
          </cell>
          <cell r="AE76">
            <v>15340467.190747637</v>
          </cell>
          <cell r="AF76">
            <v>15237662.541222256</v>
          </cell>
        </row>
        <row r="77">
          <cell r="E77">
            <v>-102635864</v>
          </cell>
          <cell r="F77">
            <v>-102635864</v>
          </cell>
          <cell r="G77">
            <v>-102635864</v>
          </cell>
          <cell r="H77">
            <v>-104203096</v>
          </cell>
          <cell r="I77">
            <v>-104203096</v>
          </cell>
          <cell r="J77">
            <v>-104203096</v>
          </cell>
          <cell r="K77">
            <v>-105379322</v>
          </cell>
          <cell r="L77">
            <v>-106083426.2032243</v>
          </cell>
          <cell r="M77">
            <v>-106771516.40402487</v>
          </cell>
          <cell r="N77">
            <v>-107456750.22391483</v>
          </cell>
          <cell r="O77">
            <v>-108038362.27773151</v>
          </cell>
          <cell r="P77">
            <v>-108464109.01176767</v>
          </cell>
          <cell r="Q77">
            <v>-109048871.95728961</v>
          </cell>
          <cell r="T77">
            <v>-111066015.11273651</v>
          </cell>
          <cell r="U77">
            <v>-111676497.76793647</v>
          </cell>
          <cell r="V77">
            <v>-112210418.22511077</v>
          </cell>
          <cell r="W77">
            <v>-112675528.34058081</v>
          </cell>
          <cell r="X77">
            <v>-113090288.41875339</v>
          </cell>
          <cell r="Y77">
            <v>-113464780.649922</v>
          </cell>
          <cell r="Z77">
            <v>-113780603.66272457</v>
          </cell>
          <cell r="AA77">
            <v>-114038592.61399545</v>
          </cell>
          <cell r="AB77">
            <v>-114235933.65118372</v>
          </cell>
          <cell r="AC77">
            <v>-114387433.51852311</v>
          </cell>
          <cell r="AD77">
            <v>-114446657.92222831</v>
          </cell>
          <cell r="AE77">
            <v>-114481743.41123761</v>
          </cell>
          <cell r="AF77">
            <v>-114494631.01138197</v>
          </cell>
        </row>
        <row r="78">
          <cell r="E78">
            <v>-295537</v>
          </cell>
          <cell r="F78">
            <v>-295537</v>
          </cell>
          <cell r="G78">
            <v>-295537</v>
          </cell>
          <cell r="H78">
            <v>-277021</v>
          </cell>
          <cell r="I78">
            <v>-277021</v>
          </cell>
          <cell r="J78">
            <v>-277021</v>
          </cell>
          <cell r="K78">
            <v>-407942</v>
          </cell>
          <cell r="L78">
            <v>-407942</v>
          </cell>
          <cell r="M78">
            <v>-407942</v>
          </cell>
          <cell r="N78">
            <v>-407942</v>
          </cell>
          <cell r="O78">
            <v>-407942</v>
          </cell>
          <cell r="P78">
            <v>-407942</v>
          </cell>
          <cell r="Q78">
            <v>-407942</v>
          </cell>
          <cell r="T78">
            <v>-407942</v>
          </cell>
          <cell r="U78">
            <v>-407942</v>
          </cell>
          <cell r="V78">
            <v>-407942</v>
          </cell>
          <cell r="W78">
            <v>-407942</v>
          </cell>
          <cell r="X78">
            <v>-407942</v>
          </cell>
          <cell r="Y78">
            <v>-407942</v>
          </cell>
          <cell r="Z78">
            <v>-407942</v>
          </cell>
          <cell r="AA78">
            <v>-407942</v>
          </cell>
          <cell r="AB78">
            <v>-407942</v>
          </cell>
          <cell r="AC78">
            <v>-407942</v>
          </cell>
          <cell r="AD78">
            <v>-407942</v>
          </cell>
          <cell r="AE78">
            <v>-407942</v>
          </cell>
          <cell r="AF78">
            <v>-407942</v>
          </cell>
        </row>
      </sheetData>
      <sheetData sheetId="5">
        <row r="76">
          <cell r="E76">
            <v>-2208524</v>
          </cell>
          <cell r="F76">
            <v>-2208524</v>
          </cell>
          <cell r="G76">
            <v>-2208524</v>
          </cell>
          <cell r="H76">
            <v>-2302838</v>
          </cell>
          <cell r="I76">
            <v>-2302838</v>
          </cell>
          <cell r="J76">
            <v>-2302838</v>
          </cell>
          <cell r="K76">
            <v>-2447669</v>
          </cell>
          <cell r="L76">
            <v>-2447669</v>
          </cell>
          <cell r="M76">
            <v>-2447669</v>
          </cell>
          <cell r="N76">
            <v>-2447669</v>
          </cell>
          <cell r="O76">
            <v>-2447669</v>
          </cell>
          <cell r="P76">
            <v>-2447669</v>
          </cell>
          <cell r="Q76">
            <v>-2447669</v>
          </cell>
          <cell r="T76">
            <v>-2447669</v>
          </cell>
          <cell r="U76">
            <v>-2447669</v>
          </cell>
          <cell r="V76">
            <v>-2447669</v>
          </cell>
          <cell r="W76">
            <v>-2447669</v>
          </cell>
          <cell r="X76">
            <v>-2447669</v>
          </cell>
          <cell r="Y76">
            <v>-2447669</v>
          </cell>
          <cell r="Z76">
            <v>-2447669</v>
          </cell>
          <cell r="AA76">
            <v>-2447669</v>
          </cell>
          <cell r="AB76">
            <v>-2447669</v>
          </cell>
          <cell r="AC76">
            <v>-2447669</v>
          </cell>
          <cell r="AD76">
            <v>-2447669</v>
          </cell>
          <cell r="AE76">
            <v>-2447669</v>
          </cell>
          <cell r="AF76">
            <v>-2447669</v>
          </cell>
        </row>
        <row r="77">
          <cell r="E77">
            <v>-776908</v>
          </cell>
          <cell r="F77">
            <v>-776908</v>
          </cell>
          <cell r="G77">
            <v>-776908</v>
          </cell>
          <cell r="H77">
            <v>-783349</v>
          </cell>
          <cell r="I77">
            <v>-783349</v>
          </cell>
          <cell r="J77">
            <v>-783349</v>
          </cell>
          <cell r="K77">
            <v>-786949</v>
          </cell>
          <cell r="L77">
            <v>-793862.01197114005</v>
          </cell>
          <cell r="M77">
            <v>-800774.91587572615</v>
          </cell>
          <cell r="N77">
            <v>-807687.82479035505</v>
          </cell>
          <cell r="O77">
            <v>-814600.73370498396</v>
          </cell>
          <cell r="P77">
            <v>-821513.64261961298</v>
          </cell>
          <cell r="Q77">
            <v>-828426.56400924164</v>
          </cell>
          <cell r="T77">
            <v>-844746.88372479402</v>
          </cell>
          <cell r="U77">
            <v>-849682.35639394692</v>
          </cell>
          <cell r="V77">
            <v>-854194.18334042584</v>
          </cell>
          <cell r="W77">
            <v>-858268.24304014142</v>
          </cell>
          <cell r="X77">
            <v>-861904.53549309378</v>
          </cell>
          <cell r="Y77">
            <v>-865145.42214660509</v>
          </cell>
          <cell r="Z77">
            <v>-867948.54468919872</v>
          </cell>
          <cell r="AA77">
            <v>-870328.02150747087</v>
          </cell>
          <cell r="AB77">
            <v>-872269.73107727757</v>
          </cell>
          <cell r="AC77">
            <v>-873787.79858214874</v>
          </cell>
          <cell r="AD77">
            <v>-874971.38801466185</v>
          </cell>
          <cell r="AE77">
            <v>-875620.83315723611</v>
          </cell>
          <cell r="AF77">
            <v>-875857.58701797551</v>
          </cell>
        </row>
        <row r="78">
          <cell r="E78">
            <v>-1255687</v>
          </cell>
          <cell r="F78">
            <v>-1255687</v>
          </cell>
          <cell r="G78">
            <v>-1255687</v>
          </cell>
          <cell r="H78">
            <v>-1288484</v>
          </cell>
          <cell r="I78">
            <v>-1288484</v>
          </cell>
          <cell r="J78">
            <v>-1288484</v>
          </cell>
          <cell r="K78">
            <v>-1307420</v>
          </cell>
          <cell r="L78">
            <v>-1307420</v>
          </cell>
          <cell r="M78">
            <v>-1307420</v>
          </cell>
          <cell r="N78">
            <v>-1307420</v>
          </cell>
          <cell r="O78">
            <v>-1307420</v>
          </cell>
          <cell r="P78">
            <v>-1307420</v>
          </cell>
          <cell r="Q78">
            <v>-1307420</v>
          </cell>
          <cell r="T78">
            <v>-1307420</v>
          </cell>
          <cell r="U78">
            <v>-1307420</v>
          </cell>
          <cell r="V78">
            <v>-1307420</v>
          </cell>
          <cell r="W78">
            <v>-1307420</v>
          </cell>
          <cell r="X78">
            <v>-1307420</v>
          </cell>
          <cell r="Y78">
            <v>-1307420</v>
          </cell>
          <cell r="Z78">
            <v>-1307420</v>
          </cell>
          <cell r="AA78">
            <v>-1307420</v>
          </cell>
          <cell r="AB78">
            <v>-1307420</v>
          </cell>
          <cell r="AC78">
            <v>-1307420</v>
          </cell>
          <cell r="AD78">
            <v>-1307420</v>
          </cell>
          <cell r="AE78">
            <v>-1307420</v>
          </cell>
          <cell r="AF78">
            <v>-1307420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RTVIEW PULL TEMPLATE"/>
      <sheetName val="WP- AIC Accts"/>
      <sheetName val="BF2E4B2FF6A64C6D98BF623DE650293"/>
    </sheetNames>
    <sheetDataSet>
      <sheetData sheetId="0"/>
      <sheetData sheetId="1">
        <row r="8">
          <cell r="H8">
            <v>659350.80000000005</v>
          </cell>
          <cell r="I8">
            <v>659350.80000000005</v>
          </cell>
          <cell r="J8">
            <v>657820.80000000005</v>
          </cell>
          <cell r="K8">
            <v>668701.96</v>
          </cell>
          <cell r="L8">
            <v>670714.19999999995</v>
          </cell>
          <cell r="M8">
            <v>673519.92</v>
          </cell>
          <cell r="N8">
            <v>772542.77</v>
          </cell>
          <cell r="O8">
            <v>683775.07499999995</v>
          </cell>
          <cell r="P8">
            <v>683775.07499999995</v>
          </cell>
          <cell r="Q8">
            <v>683775.07499999995</v>
          </cell>
          <cell r="R8">
            <v>683775.07499999995</v>
          </cell>
          <cell r="S8">
            <v>683775.07499999995</v>
          </cell>
          <cell r="T8">
            <v>683775.07499999995</v>
          </cell>
          <cell r="W8">
            <v>683775.07499999995</v>
          </cell>
          <cell r="X8">
            <v>683775.07499999995</v>
          </cell>
          <cell r="Y8">
            <v>683775.07499999995</v>
          </cell>
          <cell r="Z8">
            <v>683775.07499999995</v>
          </cell>
          <cell r="AA8">
            <v>683775.07499999995</v>
          </cell>
          <cell r="AB8">
            <v>683775.07499999995</v>
          </cell>
          <cell r="AC8">
            <v>683775.07499999995</v>
          </cell>
          <cell r="AD8">
            <v>683775.07499999995</v>
          </cell>
          <cell r="AE8">
            <v>683775.07499999995</v>
          </cell>
          <cell r="AF8">
            <v>683775.07499999995</v>
          </cell>
          <cell r="AG8">
            <v>683775.07499999995</v>
          </cell>
          <cell r="AH8">
            <v>683775.07499999995</v>
          </cell>
          <cell r="AI8">
            <v>683775.07499999995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 009 IS Activity"/>
      <sheetName val="DIV 091 IS Activity"/>
      <sheetName val="KMD TB IS"/>
      <sheetName val="NOTES"/>
    </sheetNames>
    <sheetDataSet>
      <sheetData sheetId="0">
        <row r="6">
          <cell r="L6">
            <v>1725227.2200000002</v>
          </cell>
          <cell r="M6">
            <v>1724126.2200000002</v>
          </cell>
          <cell r="N6">
            <v>1732493.55</v>
          </cell>
          <cell r="O6">
            <v>1734573.7999999998</v>
          </cell>
          <cell r="P6">
            <v>1734151.2799999998</v>
          </cell>
          <cell r="Q6">
            <v>1734229.9099999997</v>
          </cell>
        </row>
        <row r="7">
          <cell r="L7">
            <v>4145.7299999999996</v>
          </cell>
          <cell r="M7">
            <v>4145.7299999999996</v>
          </cell>
          <cell r="N7">
            <v>4145.7299999999996</v>
          </cell>
          <cell r="O7">
            <v>4145.7299999999996</v>
          </cell>
          <cell r="P7">
            <v>4145.7299999999996</v>
          </cell>
          <cell r="Q7">
            <v>4145.7299999999996</v>
          </cell>
        </row>
        <row r="9">
          <cell r="L9">
            <v>715614.15999999992</v>
          </cell>
          <cell r="M9">
            <v>736719.5</v>
          </cell>
          <cell r="N9">
            <v>756424.4</v>
          </cell>
          <cell r="O9">
            <v>829075.95</v>
          </cell>
          <cell r="P9">
            <v>796304.86999999988</v>
          </cell>
          <cell r="Q9">
            <v>866805.94</v>
          </cell>
        </row>
        <row r="10">
          <cell r="L10">
            <v>0</v>
          </cell>
          <cell r="M10">
            <v>0</v>
          </cell>
          <cell r="N10">
            <v>483589</v>
          </cell>
          <cell r="O10">
            <v>0</v>
          </cell>
          <cell r="P10">
            <v>0</v>
          </cell>
          <cell r="Q10">
            <v>6566689</v>
          </cell>
        </row>
        <row r="11">
          <cell r="L11">
            <v>0</v>
          </cell>
          <cell r="M11">
            <v>0</v>
          </cell>
          <cell r="N11">
            <v>12490437</v>
          </cell>
          <cell r="O11">
            <v>0</v>
          </cell>
          <cell r="P11">
            <v>0</v>
          </cell>
          <cell r="Q11">
            <v>-3739882</v>
          </cell>
        </row>
        <row r="29">
          <cell r="L29">
            <v>-4389566</v>
          </cell>
          <cell r="M29">
            <v>-6573042.3099999996</v>
          </cell>
          <cell r="N29">
            <v>-10594273.170000002</v>
          </cell>
          <cell r="O29">
            <v>-14202976.970000001</v>
          </cell>
          <cell r="P29">
            <v>-14243829.289999999</v>
          </cell>
          <cell r="Q29">
            <v>-12321346.049999999</v>
          </cell>
        </row>
        <row r="30">
          <cell r="L30">
            <v>-1161190.4099999999</v>
          </cell>
          <cell r="M30">
            <v>-1605913.48</v>
          </cell>
          <cell r="N30">
            <v>-2388951.96</v>
          </cell>
          <cell r="O30">
            <v>129738.67</v>
          </cell>
          <cell r="P30">
            <v>610667.66999999993</v>
          </cell>
          <cell r="Q30">
            <v>2150074.06</v>
          </cell>
        </row>
        <row r="31">
          <cell r="L31">
            <v>-2081080.9300000004</v>
          </cell>
          <cell r="M31">
            <v>-2653755.96</v>
          </cell>
          <cell r="N31">
            <v>-4254594.9499999993</v>
          </cell>
          <cell r="O31">
            <v>-6033919.9199999999</v>
          </cell>
          <cell r="P31">
            <v>-6098779.2999999998</v>
          </cell>
          <cell r="Q31">
            <v>-5209681.5699999994</v>
          </cell>
        </row>
        <row r="32">
          <cell r="L32">
            <v>-170311.87</v>
          </cell>
          <cell r="M32">
            <v>-286329.5</v>
          </cell>
          <cell r="N32">
            <v>-503033.18000000005</v>
          </cell>
          <cell r="O32">
            <v>-691279.96</v>
          </cell>
          <cell r="P32">
            <v>-786975.93</v>
          </cell>
          <cell r="Q32">
            <v>-540118.29</v>
          </cell>
        </row>
        <row r="33">
          <cell r="L33">
            <v>-511613.14</v>
          </cell>
          <cell r="M33">
            <v>-468313.98</v>
          </cell>
          <cell r="N33">
            <v>-968927.23</v>
          </cell>
          <cell r="O33">
            <v>-221742.22</v>
          </cell>
          <cell r="P33">
            <v>504744.37</v>
          </cell>
          <cell r="Q33">
            <v>748392.8</v>
          </cell>
        </row>
        <row r="34">
          <cell r="L34">
            <v>-6831.82</v>
          </cell>
          <cell r="M34">
            <v>-639.27</v>
          </cell>
          <cell r="N34">
            <v>-26558.3</v>
          </cell>
          <cell r="O34">
            <v>4535.9399999999996</v>
          </cell>
          <cell r="P34">
            <v>44265.36</v>
          </cell>
          <cell r="Q34">
            <v>-31411.18</v>
          </cell>
        </row>
        <row r="35">
          <cell r="L35">
            <v>-226898.61</v>
          </cell>
          <cell r="M35">
            <v>-378743.30000000005</v>
          </cell>
          <cell r="N35">
            <v>-687579.35000000009</v>
          </cell>
          <cell r="O35">
            <v>-957387.78999999992</v>
          </cell>
          <cell r="P35">
            <v>-981312.73</v>
          </cell>
          <cell r="Q35">
            <v>-877681.38</v>
          </cell>
        </row>
        <row r="36">
          <cell r="L36">
            <v>-95557.58</v>
          </cell>
          <cell r="M36">
            <v>-125403.3</v>
          </cell>
          <cell r="N36">
            <v>-167756.96</v>
          </cell>
          <cell r="O36">
            <v>-23954.190000000002</v>
          </cell>
          <cell r="P36">
            <v>71882.209999999992</v>
          </cell>
          <cell r="Q36">
            <v>161073.73000000001</v>
          </cell>
        </row>
        <row r="37">
          <cell r="L37">
            <v>7.37</v>
          </cell>
          <cell r="M37">
            <v>-17.68</v>
          </cell>
          <cell r="N37">
            <v>97.27</v>
          </cell>
          <cell r="O37">
            <v>29</v>
          </cell>
          <cell r="P37">
            <v>2.2799999999999998</v>
          </cell>
          <cell r="Q37">
            <v>10.94</v>
          </cell>
        </row>
        <row r="38">
          <cell r="L38">
            <v>-21842</v>
          </cell>
          <cell r="M38">
            <v>-14779</v>
          </cell>
          <cell r="N38">
            <v>-17743</v>
          </cell>
          <cell r="O38">
            <v>-13260</v>
          </cell>
          <cell r="P38">
            <v>-12790</v>
          </cell>
          <cell r="Q38">
            <v>-11209</v>
          </cell>
        </row>
        <row r="39">
          <cell r="L39">
            <v>-1507384.16</v>
          </cell>
          <cell r="M39">
            <v>-1497650.6099999996</v>
          </cell>
          <cell r="N39">
            <v>-1770467.14</v>
          </cell>
          <cell r="O39">
            <v>-1839284.7000000002</v>
          </cell>
          <cell r="P39">
            <v>-1731578.78</v>
          </cell>
          <cell r="Q39">
            <v>-1580211.05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L41">
            <v>10553.98</v>
          </cell>
          <cell r="M41">
            <v>5983.95</v>
          </cell>
          <cell r="N41">
            <v>6871.59</v>
          </cell>
          <cell r="O41">
            <v>1294.8900000000001</v>
          </cell>
          <cell r="P41">
            <v>2851.03</v>
          </cell>
          <cell r="Q41">
            <v>5089.03</v>
          </cell>
        </row>
        <row r="42">
          <cell r="L42">
            <v>3672838.43</v>
          </cell>
          <cell r="M42">
            <v>3793391.85</v>
          </cell>
          <cell r="N42">
            <v>1093541.0900000001</v>
          </cell>
          <cell r="O42">
            <v>3440149.8999999994</v>
          </cell>
          <cell r="P42">
            <v>3090192.09</v>
          </cell>
          <cell r="Q42">
            <v>5724714.0800000001</v>
          </cell>
        </row>
        <row r="43">
          <cell r="L43">
            <v>-458.43</v>
          </cell>
          <cell r="M43">
            <v>-406.52</v>
          </cell>
          <cell r="N43">
            <v>-327.06</v>
          </cell>
          <cell r="O43">
            <v>-2980.99</v>
          </cell>
          <cell r="P43">
            <v>-956.43</v>
          </cell>
          <cell r="Q43">
            <v>-1257.25</v>
          </cell>
        </row>
        <row r="44">
          <cell r="L44">
            <v>785364.79</v>
          </cell>
          <cell r="M44">
            <v>2367181.64</v>
          </cell>
          <cell r="N44">
            <v>5252343.66</v>
          </cell>
          <cell r="O44">
            <v>7892606.5599999996</v>
          </cell>
          <cell r="P44">
            <v>8190995.4900000002</v>
          </cell>
          <cell r="Q44">
            <v>6723286.71</v>
          </cell>
        </row>
        <row r="45">
          <cell r="L45">
            <v>774806.07</v>
          </cell>
          <cell r="M45">
            <v>1201507.26</v>
          </cell>
          <cell r="N45">
            <v>2359181.58</v>
          </cell>
          <cell r="O45">
            <v>3678735.62</v>
          </cell>
          <cell r="P45">
            <v>3840724.61</v>
          </cell>
          <cell r="Q45">
            <v>3137167.78</v>
          </cell>
        </row>
        <row r="46">
          <cell r="L46">
            <v>109366.83</v>
          </cell>
          <cell r="M46">
            <v>205761.44</v>
          </cell>
          <cell r="N46">
            <v>376423.13</v>
          </cell>
          <cell r="O46">
            <v>523837.66</v>
          </cell>
          <cell r="P46">
            <v>601354.06000000006</v>
          </cell>
          <cell r="Q46">
            <v>405957.44</v>
          </cell>
        </row>
        <row r="47">
          <cell r="L47">
            <v>99023.33</v>
          </cell>
          <cell r="M47">
            <v>213722.27</v>
          </cell>
          <cell r="N47">
            <v>440031.49</v>
          </cell>
          <cell r="O47">
            <v>645117.39</v>
          </cell>
          <cell r="P47">
            <v>680664.42</v>
          </cell>
          <cell r="Q47">
            <v>604107.69999999995</v>
          </cell>
        </row>
        <row r="48">
          <cell r="L48">
            <v>1338529.47</v>
          </cell>
          <cell r="M48">
            <v>1497294.25</v>
          </cell>
          <cell r="N48">
            <v>2710690.68</v>
          </cell>
          <cell r="O48">
            <v>-52042.12</v>
          </cell>
          <cell r="P48">
            <v>-562012.47</v>
          </cell>
          <cell r="Q48">
            <v>-2730165.76</v>
          </cell>
        </row>
        <row r="49">
          <cell r="L49">
            <v>-2718510.54</v>
          </cell>
          <cell r="M49">
            <v>-3725196.07</v>
          </cell>
          <cell r="N49">
            <v>-5744194.96</v>
          </cell>
          <cell r="O49">
            <v>-9808920.6999999993</v>
          </cell>
          <cell r="P49">
            <v>-10496514.859999999</v>
          </cell>
          <cell r="Q49">
            <v>-13159396.210000001</v>
          </cell>
        </row>
        <row r="50">
          <cell r="L50">
            <v>-897205.21</v>
          </cell>
          <cell r="M50">
            <v>-827832.38</v>
          </cell>
          <cell r="N50">
            <v>1049234.8700000001</v>
          </cell>
          <cell r="O50">
            <v>2112069.9700000002</v>
          </cell>
          <cell r="P50">
            <v>2755130.25</v>
          </cell>
          <cell r="Q50">
            <v>1628394.29</v>
          </cell>
        </row>
        <row r="51">
          <cell r="L51">
            <v>0</v>
          </cell>
          <cell r="M51">
            <v>0</v>
          </cell>
          <cell r="N51">
            <v>1309074.5900000001</v>
          </cell>
          <cell r="O51">
            <v>1834304.85</v>
          </cell>
          <cell r="P51">
            <v>2196946.1</v>
          </cell>
          <cell r="Q51">
            <v>3681460.82</v>
          </cell>
        </row>
        <row r="52">
          <cell r="L52">
            <v>-1677579.36</v>
          </cell>
          <cell r="M52">
            <v>-1317709.6200000001</v>
          </cell>
          <cell r="N52">
            <v>-24583.759999999998</v>
          </cell>
          <cell r="O52">
            <v>-20191.810000000001</v>
          </cell>
          <cell r="P52">
            <v>-2133.9299999999998</v>
          </cell>
          <cell r="Q52">
            <v>-134687.51999999999</v>
          </cell>
        </row>
        <row r="53">
          <cell r="L53">
            <v>-133.35999999999996</v>
          </cell>
          <cell r="M53">
            <v>-117.80999999999995</v>
          </cell>
          <cell r="N53">
            <v>-589.93000000000029</v>
          </cell>
          <cell r="O53">
            <v>-1326.6499999999996</v>
          </cell>
          <cell r="P53">
            <v>-1706.8499999999985</v>
          </cell>
          <cell r="Q53">
            <v>-1883.5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294.57</v>
          </cell>
          <cell r="Q54">
            <v>0</v>
          </cell>
        </row>
        <row r="55">
          <cell r="L55">
            <v>75219.290000000008</v>
          </cell>
          <cell r="M55">
            <v>74044.2</v>
          </cell>
          <cell r="N55">
            <v>2632.27</v>
          </cell>
          <cell r="O55">
            <v>19712.86</v>
          </cell>
          <cell r="P55">
            <v>5503.9400000000005</v>
          </cell>
          <cell r="Q55">
            <v>3089.8199999999997</v>
          </cell>
        </row>
        <row r="56">
          <cell r="L56">
            <v>4536.46</v>
          </cell>
          <cell r="M56">
            <v>-780.13</v>
          </cell>
          <cell r="N56">
            <v>2783.54</v>
          </cell>
          <cell r="O56">
            <v>4960.3</v>
          </cell>
          <cell r="P56">
            <v>4127.76</v>
          </cell>
          <cell r="Q56">
            <v>3065.19</v>
          </cell>
        </row>
        <row r="57">
          <cell r="L57">
            <v>2179.63</v>
          </cell>
          <cell r="M57">
            <v>4703.22</v>
          </cell>
          <cell r="N57">
            <v>4200.4800000000005</v>
          </cell>
          <cell r="O57">
            <v>5245.32</v>
          </cell>
          <cell r="P57">
            <v>3235.31</v>
          </cell>
          <cell r="Q57">
            <v>3882.44</v>
          </cell>
        </row>
        <row r="58">
          <cell r="L58">
            <v>138.54</v>
          </cell>
          <cell r="M58">
            <v>90.61</v>
          </cell>
          <cell r="N58">
            <v>91.34</v>
          </cell>
          <cell r="O58">
            <v>0</v>
          </cell>
          <cell r="P58">
            <v>0</v>
          </cell>
          <cell r="Q58">
            <v>200.36</v>
          </cell>
        </row>
        <row r="59">
          <cell r="L59">
            <v>89.52</v>
          </cell>
          <cell r="M59">
            <v>563.66</v>
          </cell>
          <cell r="N59">
            <v>249.87</v>
          </cell>
          <cell r="O59">
            <v>500.94</v>
          </cell>
          <cell r="P59">
            <v>1464.47</v>
          </cell>
          <cell r="Q59">
            <v>853.78</v>
          </cell>
        </row>
        <row r="60">
          <cell r="L60">
            <v>132.68</v>
          </cell>
          <cell r="M60">
            <v>582.48</v>
          </cell>
          <cell r="N60">
            <v>4444.4000000000005</v>
          </cell>
          <cell r="O60">
            <v>1712.9199999999998</v>
          </cell>
          <cell r="P60">
            <v>11513.23</v>
          </cell>
          <cell r="Q60">
            <v>-348.74999999999989</v>
          </cell>
        </row>
        <row r="61"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L62">
            <v>192.66</v>
          </cell>
          <cell r="M62">
            <v>234.14999999999998</v>
          </cell>
          <cell r="N62">
            <v>468.11</v>
          </cell>
          <cell r="O62">
            <v>1229.3</v>
          </cell>
          <cell r="P62">
            <v>1387.8999999999999</v>
          </cell>
          <cell r="Q62">
            <v>1329.28</v>
          </cell>
        </row>
        <row r="63"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250.08</v>
          </cell>
        </row>
        <row r="64"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L65">
            <v>17322.14</v>
          </cell>
          <cell r="M65">
            <v>15589.689999999999</v>
          </cell>
          <cell r="N65">
            <v>30579.299999999996</v>
          </cell>
          <cell r="O65">
            <v>13059.27</v>
          </cell>
          <cell r="P65">
            <v>9380.32</v>
          </cell>
          <cell r="Q65">
            <v>14961.36</v>
          </cell>
        </row>
        <row r="66">
          <cell r="L66">
            <v>0</v>
          </cell>
          <cell r="M66">
            <v>0</v>
          </cell>
          <cell r="N66">
            <v>3849.61</v>
          </cell>
          <cell r="O66">
            <v>4206.46</v>
          </cell>
          <cell r="P66">
            <v>0</v>
          </cell>
          <cell r="Q66">
            <v>0</v>
          </cell>
        </row>
        <row r="67">
          <cell r="L67">
            <v>2.52</v>
          </cell>
          <cell r="M67">
            <v>35.93</v>
          </cell>
          <cell r="N67">
            <v>37.39</v>
          </cell>
          <cell r="O67">
            <v>0</v>
          </cell>
          <cell r="P67">
            <v>0</v>
          </cell>
          <cell r="Q67">
            <v>32.46</v>
          </cell>
        </row>
        <row r="68">
          <cell r="L68">
            <v>17870.969999999998</v>
          </cell>
          <cell r="M68">
            <v>13841.660000000003</v>
          </cell>
          <cell r="N68">
            <v>7657.89</v>
          </cell>
          <cell r="O68">
            <v>12373.059999999998</v>
          </cell>
          <cell r="P68">
            <v>9541.5300000000007</v>
          </cell>
          <cell r="Q68">
            <v>18556.419999999998</v>
          </cell>
        </row>
        <row r="69">
          <cell r="L69">
            <v>627.84999999999991</v>
          </cell>
          <cell r="M69">
            <v>2497.84</v>
          </cell>
          <cell r="N69">
            <v>618.29</v>
          </cell>
          <cell r="O69">
            <v>665.65</v>
          </cell>
          <cell r="P69">
            <v>680.32999999999993</v>
          </cell>
          <cell r="Q69">
            <v>890.4799999999999</v>
          </cell>
        </row>
        <row r="70">
          <cell r="L70">
            <v>1610361.13</v>
          </cell>
          <cell r="M70">
            <v>2071768.79</v>
          </cell>
          <cell r="N70">
            <v>2310383.64</v>
          </cell>
          <cell r="O70">
            <v>2444273.8899999997</v>
          </cell>
          <cell r="P70">
            <v>2454485.75</v>
          </cell>
          <cell r="Q70">
            <v>2255682.7599999998</v>
          </cell>
        </row>
        <row r="71">
          <cell r="L71">
            <v>1083.33</v>
          </cell>
          <cell r="M71">
            <v>1397.21</v>
          </cell>
          <cell r="N71">
            <v>-623.91999999999996</v>
          </cell>
          <cell r="O71">
            <v>0</v>
          </cell>
          <cell r="P71">
            <v>0</v>
          </cell>
          <cell r="Q71">
            <v>0</v>
          </cell>
        </row>
        <row r="72">
          <cell r="L72">
            <v>71287.709999999919</v>
          </cell>
          <cell r="M72">
            <v>66361.860000000073</v>
          </cell>
          <cell r="N72">
            <v>95387.119999999981</v>
          </cell>
          <cell r="O72">
            <v>79707.709999999919</v>
          </cell>
          <cell r="P72">
            <v>56124.130000000019</v>
          </cell>
          <cell r="Q72">
            <v>82260.840000000127</v>
          </cell>
        </row>
        <row r="73">
          <cell r="L73">
            <v>23.54</v>
          </cell>
          <cell r="M73">
            <v>22.74</v>
          </cell>
          <cell r="N73">
            <v>20.54</v>
          </cell>
          <cell r="O73">
            <v>20.059999999999999</v>
          </cell>
          <cell r="P73">
            <v>0</v>
          </cell>
          <cell r="Q73">
            <v>122.51</v>
          </cell>
        </row>
        <row r="74">
          <cell r="L74">
            <v>9981.4599999999991</v>
          </cell>
          <cell r="M74">
            <v>0</v>
          </cell>
          <cell r="N74">
            <v>3591.52</v>
          </cell>
          <cell r="O74">
            <v>5219.08</v>
          </cell>
          <cell r="P74">
            <v>3673.96</v>
          </cell>
          <cell r="Q74">
            <v>26350.930000000004</v>
          </cell>
        </row>
        <row r="75">
          <cell r="L75">
            <v>432009.12000000005</v>
          </cell>
          <cell r="M75">
            <v>431860.20999999996</v>
          </cell>
          <cell r="N75">
            <v>432337.6999999999</v>
          </cell>
          <cell r="O75">
            <v>430923.01</v>
          </cell>
          <cell r="P75">
            <v>490518.82999999996</v>
          </cell>
          <cell r="Q75">
            <v>491740.31999999995</v>
          </cell>
        </row>
        <row r="76">
          <cell r="L76">
            <v>21441.86</v>
          </cell>
          <cell r="M76">
            <v>41165.279999999999</v>
          </cell>
          <cell r="N76">
            <v>43475.799999999996</v>
          </cell>
          <cell r="O76">
            <v>39742.289999999994</v>
          </cell>
          <cell r="P76">
            <v>48221.07</v>
          </cell>
          <cell r="Q76">
            <v>32227.400000000005</v>
          </cell>
        </row>
        <row r="77">
          <cell r="L77">
            <v>2416.0100000000002</v>
          </cell>
          <cell r="M77">
            <v>1483.0500000000002</v>
          </cell>
          <cell r="N77">
            <v>49.21</v>
          </cell>
          <cell r="O77">
            <v>-93.13</v>
          </cell>
          <cell r="P77">
            <v>4198.7299999999996</v>
          </cell>
          <cell r="Q77">
            <v>4164.2199999999993</v>
          </cell>
        </row>
        <row r="78">
          <cell r="L78">
            <v>197</v>
          </cell>
          <cell r="M78">
            <v>211.44</v>
          </cell>
          <cell r="N78">
            <v>271.94</v>
          </cell>
          <cell r="O78">
            <v>352.28000000000003</v>
          </cell>
          <cell r="P78">
            <v>394.81000000000006</v>
          </cell>
          <cell r="Q78">
            <v>427.57</v>
          </cell>
        </row>
        <row r="79">
          <cell r="L79">
            <v>84884.89</v>
          </cell>
          <cell r="M79">
            <v>94390.59</v>
          </cell>
          <cell r="N79">
            <v>95348.830000000045</v>
          </cell>
          <cell r="O79">
            <v>79105.660000000033</v>
          </cell>
          <cell r="P79">
            <v>75250.130000000019</v>
          </cell>
          <cell r="Q79">
            <v>54351.920000000006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L81">
            <v>586.12000000000012</v>
          </cell>
          <cell r="M81">
            <v>14</v>
          </cell>
          <cell r="N81">
            <v>157.12999999999997</v>
          </cell>
          <cell r="O81">
            <v>228.38</v>
          </cell>
          <cell r="P81">
            <v>0</v>
          </cell>
          <cell r="Q81">
            <v>33.019999999999989</v>
          </cell>
        </row>
        <row r="82">
          <cell r="L82">
            <v>35928.699999999997</v>
          </cell>
          <cell r="M82">
            <v>32990.769999999997</v>
          </cell>
          <cell r="N82">
            <v>34106.49</v>
          </cell>
          <cell r="O82">
            <v>37628.39999999998</v>
          </cell>
          <cell r="P82">
            <v>40035.220000000008</v>
          </cell>
          <cell r="Q82">
            <v>43174.249999999993</v>
          </cell>
        </row>
        <row r="83">
          <cell r="L83">
            <v>0</v>
          </cell>
          <cell r="M83">
            <v>0</v>
          </cell>
          <cell r="N83">
            <v>36.979999999999997</v>
          </cell>
          <cell r="O83">
            <v>53.53</v>
          </cell>
          <cell r="P83">
            <v>0</v>
          </cell>
          <cell r="Q83">
            <v>0</v>
          </cell>
        </row>
        <row r="84"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L85">
            <v>-814.19</v>
          </cell>
          <cell r="M85">
            <v>252.19</v>
          </cell>
          <cell r="N85">
            <v>62.52000000000001</v>
          </cell>
          <cell r="O85">
            <v>6237.0700000000006</v>
          </cell>
          <cell r="P85">
            <v>2539.86</v>
          </cell>
          <cell r="Q85">
            <v>291.18000000000006</v>
          </cell>
        </row>
        <row r="86">
          <cell r="L86">
            <v>7538.23</v>
          </cell>
          <cell r="M86">
            <v>1569.38</v>
          </cell>
          <cell r="N86">
            <v>2676.37</v>
          </cell>
          <cell r="O86">
            <v>1239.4900000000002</v>
          </cell>
          <cell r="P86">
            <v>3167.36</v>
          </cell>
          <cell r="Q86">
            <v>12320.66</v>
          </cell>
        </row>
        <row r="87">
          <cell r="L87">
            <v>-117.09</v>
          </cell>
          <cell r="M87">
            <v>0</v>
          </cell>
          <cell r="N87">
            <v>0</v>
          </cell>
          <cell r="O87">
            <v>0</v>
          </cell>
          <cell r="P87">
            <v>906.68000000000006</v>
          </cell>
          <cell r="Q87">
            <v>180.95</v>
          </cell>
        </row>
        <row r="88">
          <cell r="L88">
            <v>0</v>
          </cell>
          <cell r="M88">
            <v>77.08</v>
          </cell>
          <cell r="N88">
            <v>222.45</v>
          </cell>
          <cell r="O88">
            <v>215.4</v>
          </cell>
          <cell r="P88">
            <v>-43.76</v>
          </cell>
          <cell r="Q88">
            <v>105.92</v>
          </cell>
        </row>
        <row r="89">
          <cell r="L89">
            <v>4000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L90">
            <v>178.42</v>
          </cell>
          <cell r="M90">
            <v>0</v>
          </cell>
          <cell r="N90">
            <v>12.75</v>
          </cell>
          <cell r="O90">
            <v>199.63</v>
          </cell>
          <cell r="P90">
            <v>0</v>
          </cell>
          <cell r="Q90">
            <v>21.19</v>
          </cell>
        </row>
        <row r="91">
          <cell r="L91">
            <v>75565.180000000008</v>
          </cell>
          <cell r="M91">
            <v>69528.97</v>
          </cell>
          <cell r="N91">
            <v>68815.7</v>
          </cell>
          <cell r="O91">
            <v>62636.800000000003</v>
          </cell>
          <cell r="P91">
            <v>77734.880000000005</v>
          </cell>
          <cell r="Q91">
            <v>77631.86</v>
          </cell>
        </row>
        <row r="92">
          <cell r="L92">
            <v>81339.360000000001</v>
          </cell>
          <cell r="M92">
            <v>80263.5</v>
          </cell>
          <cell r="N92">
            <v>77058.37999999999</v>
          </cell>
          <cell r="O92">
            <v>81686.200000000012</v>
          </cell>
          <cell r="P92">
            <v>80211.53</v>
          </cell>
          <cell r="Q92">
            <v>120095.81</v>
          </cell>
        </row>
        <row r="93">
          <cell r="L93">
            <v>65873</v>
          </cell>
          <cell r="M93">
            <v>83619</v>
          </cell>
          <cell r="N93">
            <v>111162</v>
          </cell>
          <cell r="O93">
            <v>113424</v>
          </cell>
          <cell r="P93">
            <v>126691</v>
          </cell>
          <cell r="Q93">
            <v>196530</v>
          </cell>
        </row>
        <row r="94">
          <cell r="L94">
            <v>12568.97</v>
          </cell>
          <cell r="M94">
            <v>11826.5</v>
          </cell>
          <cell r="N94">
            <v>10158.36</v>
          </cell>
          <cell r="O94">
            <v>9275.01</v>
          </cell>
          <cell r="P94">
            <v>10183.81</v>
          </cell>
          <cell r="Q94">
            <v>29137.96</v>
          </cell>
        </row>
        <row r="95"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65</v>
          </cell>
        </row>
        <row r="96">
          <cell r="L96">
            <v>9930.08</v>
          </cell>
          <cell r="M96">
            <v>11189.57</v>
          </cell>
          <cell r="N96">
            <v>10027.079999999998</v>
          </cell>
          <cell r="O96">
            <v>8589.0400000000009</v>
          </cell>
          <cell r="P96">
            <v>8619.07</v>
          </cell>
          <cell r="Q96">
            <v>10461.869999999999</v>
          </cell>
        </row>
        <row r="97">
          <cell r="L97">
            <v>2996.88</v>
          </cell>
          <cell r="M97">
            <v>3627.7</v>
          </cell>
          <cell r="N97">
            <v>3216</v>
          </cell>
          <cell r="O97">
            <v>13801.66</v>
          </cell>
          <cell r="P97">
            <v>8096.1200000000008</v>
          </cell>
          <cell r="Q97">
            <v>1756.94</v>
          </cell>
        </row>
        <row r="98">
          <cell r="L98">
            <v>1450.65</v>
          </cell>
          <cell r="M98">
            <v>1174.49</v>
          </cell>
          <cell r="N98">
            <v>5364.41</v>
          </cell>
          <cell r="O98">
            <v>1846.5</v>
          </cell>
          <cell r="P98">
            <v>15080.77</v>
          </cell>
          <cell r="Q98">
            <v>1667</v>
          </cell>
        </row>
        <row r="99">
          <cell r="L99">
            <v>18133.16</v>
          </cell>
          <cell r="M99">
            <v>11768.68</v>
          </cell>
          <cell r="N99">
            <v>14262.060000000001</v>
          </cell>
          <cell r="O99">
            <v>13021.87</v>
          </cell>
          <cell r="P99">
            <v>12401.79</v>
          </cell>
          <cell r="Q99">
            <v>14262.07</v>
          </cell>
        </row>
        <row r="100">
          <cell r="L100">
            <v>421.74999999999994</v>
          </cell>
          <cell r="M100">
            <v>345</v>
          </cell>
          <cell r="N100">
            <v>437.7</v>
          </cell>
          <cell r="O100">
            <v>2702.1800000000003</v>
          </cell>
          <cell r="P100">
            <v>1359.6299999999999</v>
          </cell>
          <cell r="Q100">
            <v>475.70000000000005</v>
          </cell>
        </row>
        <row r="101">
          <cell r="L101">
            <v>1082814.4000000001</v>
          </cell>
          <cell r="M101">
            <v>809555.07</v>
          </cell>
          <cell r="N101">
            <v>1033750.9199999999</v>
          </cell>
          <cell r="O101">
            <v>1079131.6000000001</v>
          </cell>
          <cell r="P101">
            <v>957419.21</v>
          </cell>
          <cell r="Q101">
            <v>1240212.52</v>
          </cell>
        </row>
        <row r="102">
          <cell r="L102">
            <v>7439</v>
          </cell>
          <cell r="M102">
            <v>6315</v>
          </cell>
          <cell r="N102">
            <v>8992.5</v>
          </cell>
          <cell r="O102">
            <v>6567</v>
          </cell>
          <cell r="P102">
            <v>9441.9699999999993</v>
          </cell>
          <cell r="Q102">
            <v>88516</v>
          </cell>
        </row>
        <row r="103">
          <cell r="L103">
            <v>12388.360000000004</v>
          </cell>
          <cell r="M103">
            <v>11822.090000000004</v>
          </cell>
          <cell r="N103">
            <v>12394.300000000003</v>
          </cell>
          <cell r="O103">
            <v>9729.1600000000035</v>
          </cell>
          <cell r="P103">
            <v>12497.200000000004</v>
          </cell>
          <cell r="Q103">
            <v>12824.989999999998</v>
          </cell>
        </row>
        <row r="104">
          <cell r="L104">
            <v>2619.3200000000002</v>
          </cell>
          <cell r="M104">
            <v>4798.04</v>
          </cell>
          <cell r="N104">
            <v>2613.61</v>
          </cell>
          <cell r="O104">
            <v>8073.82</v>
          </cell>
          <cell r="P104">
            <v>7894.6</v>
          </cell>
          <cell r="Q104">
            <v>15566.539999999999</v>
          </cell>
        </row>
        <row r="105">
          <cell r="L105">
            <v>132988.85999999999</v>
          </cell>
          <cell r="M105">
            <v>135263.23000000007</v>
          </cell>
          <cell r="N105">
            <v>145655.39000000001</v>
          </cell>
          <cell r="O105">
            <v>124403.68000000002</v>
          </cell>
          <cell r="P105">
            <v>127287.87999999999</v>
          </cell>
          <cell r="Q105">
            <v>135284.45000000004</v>
          </cell>
        </row>
        <row r="106">
          <cell r="L106">
            <v>291.5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L107">
            <v>5273.92</v>
          </cell>
          <cell r="M107">
            <v>6367.87</v>
          </cell>
          <cell r="N107">
            <v>9450.82</v>
          </cell>
          <cell r="O107">
            <v>8257.42</v>
          </cell>
          <cell r="P107">
            <v>10743.67</v>
          </cell>
          <cell r="Q107">
            <v>11474.25</v>
          </cell>
        </row>
        <row r="108">
          <cell r="L108">
            <v>19279.97</v>
          </cell>
          <cell r="M108">
            <v>5007.47</v>
          </cell>
          <cell r="N108">
            <v>5908.47</v>
          </cell>
          <cell r="O108">
            <v>12526.02</v>
          </cell>
          <cell r="P108">
            <v>7246.62</v>
          </cell>
          <cell r="Q108">
            <v>11246.619999999999</v>
          </cell>
        </row>
        <row r="109">
          <cell r="L109">
            <v>0</v>
          </cell>
          <cell r="M109">
            <v>0</v>
          </cell>
          <cell r="N109">
            <v>0</v>
          </cell>
          <cell r="O109">
            <v>1020</v>
          </cell>
          <cell r="P109">
            <v>0</v>
          </cell>
          <cell r="Q109">
            <v>0</v>
          </cell>
        </row>
      </sheetData>
      <sheetData sheetId="1">
        <row r="6">
          <cell r="L6">
            <v>-4.5474735088646412E-13</v>
          </cell>
          <cell r="M6">
            <v>-1.0000000000218279E-2</v>
          </cell>
          <cell r="N6">
            <v>4.5474735088646412E-13</v>
          </cell>
          <cell r="O6">
            <v>-9.9999999997635314E-3</v>
          </cell>
          <cell r="P6">
            <v>1.0000000000218279E-2</v>
          </cell>
          <cell r="Q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9">
          <cell r="L9">
            <v>3.637978807091713E-12</v>
          </cell>
          <cell r="M9">
            <v>-9.9999999947613105E-3</v>
          </cell>
          <cell r="N9">
            <v>3.637978807091713E-12</v>
          </cell>
          <cell r="O9">
            <v>3.637978807091713E-12</v>
          </cell>
          <cell r="P9">
            <v>1.4551915228366852E-11</v>
          </cell>
          <cell r="Q9">
            <v>-7.2759576141834259E-12</v>
          </cell>
        </row>
        <row r="10">
          <cell r="L10">
            <v>665312</v>
          </cell>
          <cell r="M10">
            <v>1429633.39</v>
          </cell>
          <cell r="N10">
            <v>-2208105</v>
          </cell>
          <cell r="O10">
            <v>3165370.89</v>
          </cell>
          <cell r="P10">
            <v>2485333.08</v>
          </cell>
          <cell r="Q10">
            <v>-5790856</v>
          </cell>
        </row>
        <row r="11">
          <cell r="L11">
            <v>0</v>
          </cell>
          <cell r="M11">
            <v>0</v>
          </cell>
          <cell r="N11">
            <v>467728</v>
          </cell>
          <cell r="O11">
            <v>0</v>
          </cell>
          <cell r="P11">
            <v>0</v>
          </cell>
          <cell r="Q11">
            <v>158852</v>
          </cell>
        </row>
        <row r="18">
          <cell r="L18">
            <v>42.91</v>
          </cell>
          <cell r="M18">
            <v>41.39</v>
          </cell>
          <cell r="N18">
            <v>39.950000000000003</v>
          </cell>
          <cell r="O18">
            <v>44.34</v>
          </cell>
          <cell r="P18">
            <v>90.28</v>
          </cell>
          <cell r="Q18">
            <v>0.46</v>
          </cell>
        </row>
        <row r="19">
          <cell r="L19">
            <v>30.04000000000002</v>
          </cell>
          <cell r="M19">
            <v>28.979999999999961</v>
          </cell>
          <cell r="N19">
            <v>27.970000000000027</v>
          </cell>
          <cell r="O19">
            <v>31.039999999999964</v>
          </cell>
          <cell r="P19">
            <v>63.200000000000045</v>
          </cell>
          <cell r="Q19">
            <v>0.31999999999999984</v>
          </cell>
        </row>
        <row r="20">
          <cell r="L20">
            <v>4.58</v>
          </cell>
          <cell r="M20">
            <v>31.66</v>
          </cell>
          <cell r="N20">
            <v>65.12</v>
          </cell>
          <cell r="O20">
            <v>73.81</v>
          </cell>
          <cell r="P20">
            <v>33.380000000000003</v>
          </cell>
          <cell r="Q20">
            <v>16.239999999999998</v>
          </cell>
        </row>
        <row r="21">
          <cell r="L21">
            <v>98.53</v>
          </cell>
          <cell r="M21">
            <v>114.78</v>
          </cell>
          <cell r="N21">
            <v>268.01</v>
          </cell>
          <cell r="O21">
            <v>299.08</v>
          </cell>
          <cell r="P21">
            <v>302.98</v>
          </cell>
          <cell r="Q21">
            <v>210.46</v>
          </cell>
        </row>
        <row r="22">
          <cell r="L22">
            <v>882.02</v>
          </cell>
          <cell r="M22">
            <v>458.57</v>
          </cell>
          <cell r="N22">
            <v>1101.8100000000002</v>
          </cell>
          <cell r="O22">
            <v>2270.65</v>
          </cell>
          <cell r="P22">
            <v>1407.2199999999998</v>
          </cell>
          <cell r="Q22">
            <v>933.5</v>
          </cell>
        </row>
        <row r="23">
          <cell r="L23">
            <v>0</v>
          </cell>
          <cell r="M23">
            <v>24916.09</v>
          </cell>
          <cell r="N23">
            <v>1796.84</v>
          </cell>
          <cell r="O23">
            <v>1555.5</v>
          </cell>
          <cell r="P23">
            <v>867.9</v>
          </cell>
          <cell r="Q23">
            <v>71.599999999999994</v>
          </cell>
        </row>
        <row r="24">
          <cell r="L24">
            <v>38.620000000000005</v>
          </cell>
          <cell r="M24">
            <v>37.259999999999991</v>
          </cell>
          <cell r="N24">
            <v>35.95999999999998</v>
          </cell>
          <cell r="O24">
            <v>39.910000000000025</v>
          </cell>
          <cell r="P24">
            <v>81.259999999999991</v>
          </cell>
          <cell r="Q24">
            <v>0.41999999999999993</v>
          </cell>
        </row>
        <row r="25">
          <cell r="L25">
            <v>64.349999999999994</v>
          </cell>
          <cell r="M25">
            <v>168.13</v>
          </cell>
          <cell r="N25">
            <v>49.629999999999995</v>
          </cell>
          <cell r="O25">
            <v>88.69</v>
          </cell>
          <cell r="P25">
            <v>180.58</v>
          </cell>
          <cell r="Q25">
            <v>0.93</v>
          </cell>
        </row>
        <row r="26">
          <cell r="L26">
            <v>165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L27">
            <v>139345.71999999994</v>
          </cell>
          <cell r="M27">
            <v>157717.82000000004</v>
          </cell>
          <cell r="N27">
            <v>164992.21999999997</v>
          </cell>
          <cell r="O27">
            <v>296232.22000000003</v>
          </cell>
          <cell r="P27">
            <v>195538.02999999997</v>
          </cell>
          <cell r="Q27">
            <v>158320.26</v>
          </cell>
        </row>
        <row r="28">
          <cell r="L28">
            <v>7499.6599999999989</v>
          </cell>
          <cell r="M28">
            <v>14106.130000000001</v>
          </cell>
          <cell r="N28">
            <v>8495.9200000000019</v>
          </cell>
          <cell r="O28">
            <v>15885.039999999997</v>
          </cell>
          <cell r="P28">
            <v>10443.089999999998</v>
          </cell>
          <cell r="Q28">
            <v>5713.2799999999988</v>
          </cell>
        </row>
        <row r="29">
          <cell r="L29">
            <v>40385.42</v>
          </cell>
          <cell r="M29">
            <v>33529.85</v>
          </cell>
          <cell r="N29">
            <v>33354.81</v>
          </cell>
          <cell r="O29">
            <v>39895.360000000001</v>
          </cell>
          <cell r="P29">
            <v>47737.26</v>
          </cell>
          <cell r="Q29">
            <v>42150.710000000006</v>
          </cell>
        </row>
        <row r="30">
          <cell r="L30">
            <v>14954.65</v>
          </cell>
          <cell r="M30">
            <v>3501.5099999999998</v>
          </cell>
          <cell r="N30">
            <v>6920.9599999999991</v>
          </cell>
          <cell r="O30">
            <v>10664.21</v>
          </cell>
          <cell r="P30">
            <v>17114.39</v>
          </cell>
          <cell r="Q30">
            <v>17495.79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-594.27</v>
          </cell>
          <cell r="Q31">
            <v>0</v>
          </cell>
        </row>
        <row r="32">
          <cell r="L32">
            <v>-32.22</v>
          </cell>
          <cell r="M32">
            <v>703.87</v>
          </cell>
          <cell r="N32">
            <v>-31.360000000000014</v>
          </cell>
          <cell r="O32">
            <v>-25.69</v>
          </cell>
          <cell r="P32">
            <v>0</v>
          </cell>
          <cell r="Q32">
            <v>86.52</v>
          </cell>
        </row>
        <row r="33">
          <cell r="L33">
            <v>62949.62</v>
          </cell>
          <cell r="M33">
            <v>73531.02</v>
          </cell>
          <cell r="N33">
            <v>65229.94</v>
          </cell>
          <cell r="O33">
            <v>63613.43</v>
          </cell>
          <cell r="P33">
            <v>54706.84</v>
          </cell>
          <cell r="Q33">
            <v>75256.34</v>
          </cell>
        </row>
        <row r="34">
          <cell r="L34">
            <v>27085.839999999986</v>
          </cell>
          <cell r="M34">
            <v>26509.170000000006</v>
          </cell>
          <cell r="N34">
            <v>26412.429999999993</v>
          </cell>
          <cell r="O34">
            <v>29001.720000000027</v>
          </cell>
          <cell r="P34">
            <v>27550.120000000014</v>
          </cell>
          <cell r="Q34">
            <v>27016.200000000012</v>
          </cell>
        </row>
        <row r="35">
          <cell r="L35">
            <v>-73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L36">
            <v>5895.3899999999994</v>
          </cell>
          <cell r="M36">
            <v>9768.17</v>
          </cell>
          <cell r="N36">
            <v>4719.97</v>
          </cell>
          <cell r="O36">
            <v>5505.8</v>
          </cell>
          <cell r="P36">
            <v>12013.62</v>
          </cell>
          <cell r="Q36">
            <v>16059.380000000001</v>
          </cell>
        </row>
        <row r="37">
          <cell r="L37">
            <v>-147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L38">
            <v>952.80000000000007</v>
          </cell>
          <cell r="M38">
            <v>708.08999999999992</v>
          </cell>
          <cell r="N38">
            <v>-373.89</v>
          </cell>
          <cell r="O38">
            <v>347.63</v>
          </cell>
          <cell r="P38">
            <v>1784.47</v>
          </cell>
          <cell r="Q38">
            <v>-370.8</v>
          </cell>
        </row>
        <row r="39">
          <cell r="L39">
            <v>11142.44</v>
          </cell>
          <cell r="M39">
            <v>10759.199999999999</v>
          </cell>
          <cell r="N39">
            <v>11714.829999999998</v>
          </cell>
          <cell r="O39">
            <v>10696.17</v>
          </cell>
          <cell r="P39">
            <v>10190.27</v>
          </cell>
          <cell r="Q39">
            <v>10278.519999999999</v>
          </cell>
        </row>
        <row r="40">
          <cell r="L40">
            <v>46.349999999999994</v>
          </cell>
          <cell r="M40">
            <v>32.449999999999996</v>
          </cell>
          <cell r="N40">
            <v>18.019999999999996</v>
          </cell>
          <cell r="O40">
            <v>-4.12</v>
          </cell>
          <cell r="P40">
            <v>193.13</v>
          </cell>
          <cell r="Q40">
            <v>-38.630000000000003</v>
          </cell>
        </row>
        <row r="41">
          <cell r="L41">
            <v>178386.68</v>
          </cell>
          <cell r="M41">
            <v>137704.55000000002</v>
          </cell>
          <cell r="N41">
            <v>172860.59000000003</v>
          </cell>
          <cell r="O41">
            <v>176651.31999999998</v>
          </cell>
          <cell r="P41">
            <v>198238.99</v>
          </cell>
          <cell r="Q41">
            <v>186086.76</v>
          </cell>
        </row>
        <row r="42">
          <cell r="L42">
            <v>36687.96</v>
          </cell>
          <cell r="M42">
            <v>-14057.98</v>
          </cell>
          <cell r="N42">
            <v>22866.559999999998</v>
          </cell>
          <cell r="O42">
            <v>13091.859999999999</v>
          </cell>
          <cell r="P42">
            <v>13695.55</v>
          </cell>
          <cell r="Q42">
            <v>15666.96</v>
          </cell>
        </row>
        <row r="43">
          <cell r="L43">
            <v>60.36</v>
          </cell>
          <cell r="M43">
            <v>25.3</v>
          </cell>
          <cell r="N43">
            <v>2.4700000000000002</v>
          </cell>
          <cell r="O43">
            <v>53.07</v>
          </cell>
          <cell r="P43">
            <v>27.77</v>
          </cell>
          <cell r="Q43">
            <v>30.24</v>
          </cell>
        </row>
        <row r="44">
          <cell r="L44">
            <v>10915.16</v>
          </cell>
          <cell r="M44">
            <v>14058</v>
          </cell>
          <cell r="N44">
            <v>11574.8</v>
          </cell>
          <cell r="O44">
            <v>10256.56</v>
          </cell>
          <cell r="P44">
            <v>11003.880000000001</v>
          </cell>
          <cell r="Q44">
            <v>12875.32</v>
          </cell>
        </row>
        <row r="45"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381.56</v>
          </cell>
          <cell r="Q46">
            <v>0</v>
          </cell>
        </row>
        <row r="47">
          <cell r="L47">
            <v>-23430.54</v>
          </cell>
          <cell r="M47">
            <v>-6224.37</v>
          </cell>
          <cell r="N47">
            <v>-6352.92</v>
          </cell>
          <cell r="O47">
            <v>-6289.33</v>
          </cell>
          <cell r="P47">
            <v>-37620.61</v>
          </cell>
          <cell r="Q47">
            <v>-26547.97</v>
          </cell>
        </row>
        <row r="48">
          <cell r="L48">
            <v>0</v>
          </cell>
          <cell r="M48">
            <v>0</v>
          </cell>
          <cell r="N48">
            <v>0</v>
          </cell>
          <cell r="O48">
            <v>-70000</v>
          </cell>
          <cell r="P48">
            <v>20.420000000000002</v>
          </cell>
          <cell r="Q48">
            <v>0</v>
          </cell>
        </row>
        <row r="49">
          <cell r="L49">
            <v>-712627.73999999976</v>
          </cell>
          <cell r="M49">
            <v>-559667.31000000006</v>
          </cell>
          <cell r="N49">
            <v>-721663.96</v>
          </cell>
          <cell r="O49">
            <v>-853891.54999999993</v>
          </cell>
          <cell r="P49">
            <v>-727663.9</v>
          </cell>
          <cell r="Q49">
            <v>-806851.44000000076</v>
          </cell>
        </row>
        <row r="50">
          <cell r="L50">
            <v>20248.73</v>
          </cell>
          <cell r="M50">
            <v>16646.03</v>
          </cell>
          <cell r="N50">
            <v>20939.349999999999</v>
          </cell>
          <cell r="O50">
            <v>4528.18</v>
          </cell>
          <cell r="P50">
            <v>1752.05</v>
          </cell>
          <cell r="Q50">
            <v>-12642.050000000001</v>
          </cell>
        </row>
        <row r="51">
          <cell r="L51">
            <v>42.389999999999986</v>
          </cell>
          <cell r="M51">
            <v>34.639999999999986</v>
          </cell>
          <cell r="N51">
            <v>42.480000000000018</v>
          </cell>
          <cell r="O51">
            <v>-44.129999999999995</v>
          </cell>
          <cell r="P51">
            <v>51.660000000000025</v>
          </cell>
          <cell r="Q51">
            <v>16.599999999999966</v>
          </cell>
        </row>
        <row r="52">
          <cell r="L52">
            <v>5206.2899999999991</v>
          </cell>
          <cell r="M52">
            <v>12893.57</v>
          </cell>
          <cell r="N52">
            <v>-27443.61</v>
          </cell>
          <cell r="O52">
            <v>11921.480000000001</v>
          </cell>
          <cell r="P52">
            <v>9251.3599999999988</v>
          </cell>
          <cell r="Q52">
            <v>2300.2699999999986</v>
          </cell>
        </row>
        <row r="53">
          <cell r="L53">
            <v>173178.98000000004</v>
          </cell>
          <cell r="M53">
            <v>41923.419999999969</v>
          </cell>
          <cell r="N53">
            <v>202335.10000000003</v>
          </cell>
          <cell r="O53">
            <v>237507.75</v>
          </cell>
          <cell r="P53">
            <v>151157.51999999999</v>
          </cell>
          <cell r="Q53">
            <v>275863.81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</sheetData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O&amp;M Comparison"/>
      <sheetName val="Div 2 forecast"/>
      <sheetName val="Div 12 forecast"/>
      <sheetName val="Div 9 forecast"/>
      <sheetName val="Div 91 forecast"/>
      <sheetName val="Div 2 history"/>
      <sheetName val="Div 12 history "/>
      <sheetName val="Div 9 history"/>
      <sheetName val="Div 91 history"/>
      <sheetName val="FY21 OM Budget"/>
      <sheetName val="incent comp w cap credits"/>
      <sheetName val="final summary"/>
      <sheetName val="adjustment"/>
      <sheetName val="CPI Index"/>
      <sheetName val="Escalation"/>
      <sheetName val="O&amp;M CC1903"/>
    </sheetNames>
    <sheetDataSet>
      <sheetData sheetId="0"/>
      <sheetData sheetId="1">
        <row r="6">
          <cell r="C6">
            <v>5363212.75</v>
          </cell>
          <cell r="D6">
            <v>5563297.6372600002</v>
          </cell>
        </row>
        <row r="7">
          <cell r="C7">
            <v>1805039.17</v>
          </cell>
          <cell r="D7">
            <v>1695037.5517198595</v>
          </cell>
        </row>
        <row r="10">
          <cell r="C10">
            <v>1035431.1400000001</v>
          </cell>
          <cell r="D10">
            <v>1035431.1400000001</v>
          </cell>
        </row>
        <row r="22">
          <cell r="C22">
            <v>880036.46</v>
          </cell>
          <cell r="D22">
            <v>363457.88190960902</v>
          </cell>
          <cell r="K22">
            <v>89985.07843014189</v>
          </cell>
          <cell r="L22">
            <v>89985.078200000018</v>
          </cell>
        </row>
        <row r="25">
          <cell r="C25">
            <v>16133468.909999998</v>
          </cell>
          <cell r="D25">
            <v>15706973.600889467</v>
          </cell>
          <cell r="G25">
            <v>9943506.7756448239</v>
          </cell>
          <cell r="H25">
            <v>10080870.36588835</v>
          </cell>
          <cell r="K25">
            <v>5234683.814803998</v>
          </cell>
          <cell r="L25">
            <v>5382802.4310166789</v>
          </cell>
        </row>
      </sheetData>
      <sheetData sheetId="2">
        <row r="57">
          <cell r="F57">
            <v>5203.08</v>
          </cell>
          <cell r="G57">
            <v>3489.09</v>
          </cell>
          <cell r="H57">
            <v>1363.63</v>
          </cell>
          <cell r="I57">
            <v>7254.45</v>
          </cell>
          <cell r="J57">
            <v>4542.18</v>
          </cell>
          <cell r="K57">
            <v>1704.44</v>
          </cell>
          <cell r="L57">
            <v>4749.1264191954569</v>
          </cell>
          <cell r="M57">
            <v>12656.878740195092</v>
          </cell>
          <cell r="N57">
            <v>5038.6589946927752</v>
          </cell>
          <cell r="O57">
            <v>8248.9821324589357</v>
          </cell>
          <cell r="P57">
            <v>3648.4479809978543</v>
          </cell>
          <cell r="Q57">
            <v>3804.9179197080571</v>
          </cell>
          <cell r="U57">
            <v>4417.2684073780374</v>
          </cell>
          <cell r="V57">
            <v>4118.4729106043624</v>
          </cell>
          <cell r="W57">
            <v>7398.6701926291753</v>
          </cell>
          <cell r="X57">
            <v>4749.1264191954569</v>
          </cell>
          <cell r="Y57">
            <v>12656.878740195092</v>
          </cell>
          <cell r="Z57">
            <v>5038.6589946927752</v>
          </cell>
          <cell r="AA57">
            <v>8248.9821324589357</v>
          </cell>
          <cell r="AB57">
            <v>3648.4479809978543</v>
          </cell>
          <cell r="AC57">
            <v>3804.9179197080571</v>
          </cell>
          <cell r="AD57">
            <v>2573.2671359790029</v>
          </cell>
          <cell r="AE57">
            <v>2628.9202122376223</v>
          </cell>
          <cell r="AF57">
            <v>2420.2711411718001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66">
          <cell r="F266">
            <v>813100.90999999992</v>
          </cell>
          <cell r="G266">
            <v>675641.87000000011</v>
          </cell>
          <cell r="H266">
            <v>682733.8</v>
          </cell>
          <cell r="I266">
            <v>682315.85</v>
          </cell>
          <cell r="J266">
            <v>987766.77000000014</v>
          </cell>
          <cell r="K266">
            <v>949191.35000000009</v>
          </cell>
          <cell r="L266">
            <v>994361.35879185179</v>
          </cell>
          <cell r="M266">
            <v>992957.28406184469</v>
          </cell>
          <cell r="N266">
            <v>1030355.4328704643</v>
          </cell>
          <cell r="O266">
            <v>1022789.1433254045</v>
          </cell>
          <cell r="P266">
            <v>996586.05336405989</v>
          </cell>
          <cell r="Q266">
            <v>9677187.5852002166</v>
          </cell>
          <cell r="U266">
            <v>599833.71780652518</v>
          </cell>
          <cell r="V266">
            <v>947435.28981537907</v>
          </cell>
          <cell r="W266">
            <v>917904.04804401286</v>
          </cell>
          <cell r="X266">
            <v>994361.35879185179</v>
          </cell>
          <cell r="Y266">
            <v>992957.28406184469</v>
          </cell>
          <cell r="Z266">
            <v>1030355.4328704643</v>
          </cell>
          <cell r="AA266">
            <v>1022789.1433254045</v>
          </cell>
          <cell r="AB266">
            <v>996586.05336405989</v>
          </cell>
          <cell r="AC266">
            <v>9677187.5852002166</v>
          </cell>
          <cell r="AD266">
            <v>724983.45991617884</v>
          </cell>
          <cell r="AE266">
            <v>731782.81910871365</v>
          </cell>
          <cell r="AF266">
            <v>868811.21530919254</v>
          </cell>
        </row>
        <row r="273">
          <cell r="F273">
            <v>41629.03</v>
          </cell>
          <cell r="G273">
            <v>139610.76</v>
          </cell>
          <cell r="H273">
            <v>127027.07</v>
          </cell>
          <cell r="I273">
            <v>63350.9</v>
          </cell>
          <cell r="J273">
            <v>98980.78</v>
          </cell>
          <cell r="K273">
            <v>88047.23</v>
          </cell>
          <cell r="L273">
            <v>115951.72012045592</v>
          </cell>
          <cell r="M273">
            <v>115787.99203641231</v>
          </cell>
          <cell r="N273">
            <v>120148.96166313726</v>
          </cell>
          <cell r="O273">
            <v>119266.66240651182</v>
          </cell>
          <cell r="P273">
            <v>116211.14005880067</v>
          </cell>
          <cell r="Q273">
            <v>1128449.4681044531</v>
          </cell>
          <cell r="U273">
            <v>69946.152624454407</v>
          </cell>
          <cell r="V273">
            <v>110479.70698538782</v>
          </cell>
          <cell r="W273">
            <v>107036.09139191447</v>
          </cell>
          <cell r="X273">
            <v>115951.72012045592</v>
          </cell>
          <cell r="Y273">
            <v>115787.99203641231</v>
          </cell>
          <cell r="Z273">
            <v>120148.96166313726</v>
          </cell>
          <cell r="AA273">
            <v>119266.66240651182</v>
          </cell>
          <cell r="AB273">
            <v>116211.14005880067</v>
          </cell>
          <cell r="AC273">
            <v>1128449.4681044531</v>
          </cell>
          <cell r="AD273">
            <v>84539.768659451031</v>
          </cell>
          <cell r="AE273">
            <v>85332.636752242935</v>
          </cell>
          <cell r="AF273">
            <v>101311.41358654952</v>
          </cell>
        </row>
        <row r="277"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20493544</v>
          </cell>
        </row>
        <row r="288">
          <cell r="U288">
            <v>8335433.914928901</v>
          </cell>
          <cell r="V288">
            <v>8082379.5849139122</v>
          </cell>
          <cell r="W288">
            <v>10131158.143594243</v>
          </cell>
          <cell r="X288">
            <v>9219942.9612175655</v>
          </cell>
          <cell r="Y288">
            <v>12160424.005015528</v>
          </cell>
          <cell r="Z288">
            <v>9826740.7398184892</v>
          </cell>
          <cell r="AA288">
            <v>10691452.615331614</v>
          </cell>
          <cell r="AB288">
            <v>8849211.6153316125</v>
          </cell>
          <cell r="AC288">
            <v>41966639.22224576</v>
          </cell>
          <cell r="AD288">
            <v>10037893.10574875</v>
          </cell>
          <cell r="AE288">
            <v>6278069.1447830573</v>
          </cell>
          <cell r="AF288">
            <v>9337623.2866969183</v>
          </cell>
        </row>
        <row r="298">
          <cell r="L298">
            <v>9</v>
          </cell>
          <cell r="M298">
            <v>10</v>
          </cell>
          <cell r="N298">
            <v>11</v>
          </cell>
          <cell r="O298">
            <v>12</v>
          </cell>
          <cell r="P298">
            <v>13</v>
          </cell>
          <cell r="Q298">
            <v>14</v>
          </cell>
          <cell r="U298">
            <v>18</v>
          </cell>
          <cell r="V298">
            <v>19</v>
          </cell>
          <cell r="W298">
            <v>20</v>
          </cell>
          <cell r="X298">
            <v>21</v>
          </cell>
          <cell r="Y298">
            <v>22</v>
          </cell>
          <cell r="Z298">
            <v>23</v>
          </cell>
          <cell r="AA298">
            <v>24</v>
          </cell>
          <cell r="AB298">
            <v>25</v>
          </cell>
          <cell r="AC298">
            <v>26</v>
          </cell>
          <cell r="AD298">
            <v>27</v>
          </cell>
          <cell r="AE298">
            <v>28</v>
          </cell>
          <cell r="AF298">
            <v>29</v>
          </cell>
        </row>
        <row r="299">
          <cell r="D299">
            <v>8140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</row>
        <row r="300">
          <cell r="D300">
            <v>8150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</row>
        <row r="301">
          <cell r="D301">
            <v>8160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</row>
        <row r="302">
          <cell r="D302">
            <v>8170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</row>
        <row r="303">
          <cell r="D303">
            <v>8180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</row>
        <row r="304">
          <cell r="D304">
            <v>8190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</row>
        <row r="305">
          <cell r="D305">
            <v>8200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</row>
        <row r="306">
          <cell r="D306">
            <v>8210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</row>
        <row r="307">
          <cell r="D307">
            <v>8240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</row>
        <row r="308">
          <cell r="D308">
            <v>8250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</row>
        <row r="309">
          <cell r="D309">
            <v>8310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</row>
        <row r="310">
          <cell r="D310">
            <v>8320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</row>
        <row r="311">
          <cell r="D311">
            <v>8340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</row>
        <row r="312">
          <cell r="D312">
            <v>8350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</row>
        <row r="313">
          <cell r="D313">
            <v>8360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</row>
        <row r="314">
          <cell r="D314">
            <v>8400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</row>
        <row r="315">
          <cell r="D315">
            <v>8410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</row>
        <row r="316">
          <cell r="D316">
            <v>8470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</row>
        <row r="317">
          <cell r="D317">
            <v>8500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</row>
        <row r="318">
          <cell r="D318">
            <v>8560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</row>
        <row r="319">
          <cell r="D319">
            <v>8570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</row>
        <row r="320">
          <cell r="D320">
            <v>8580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</row>
        <row r="321">
          <cell r="D321">
            <v>8590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</row>
        <row r="322">
          <cell r="D322">
            <v>8600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</row>
        <row r="323">
          <cell r="D323">
            <v>8620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</row>
        <row r="324">
          <cell r="D324">
            <v>8630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</row>
        <row r="325">
          <cell r="D325">
            <v>8640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</row>
        <row r="326">
          <cell r="D326">
            <v>8650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</row>
        <row r="327">
          <cell r="D327">
            <v>8670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</row>
        <row r="328">
          <cell r="D328">
            <v>8700</v>
          </cell>
          <cell r="F328">
            <v>191.5</v>
          </cell>
          <cell r="G328">
            <v>176.5</v>
          </cell>
          <cell r="H328">
            <v>1620.99</v>
          </cell>
          <cell r="I328">
            <v>6.5500000000000114</v>
          </cell>
          <cell r="J328">
            <v>176.5</v>
          </cell>
          <cell r="K328">
            <v>176.5</v>
          </cell>
          <cell r="L328">
            <v>645.70289822601535</v>
          </cell>
          <cell r="M328">
            <v>634.72054793521102</v>
          </cell>
          <cell r="N328">
            <v>654.64110325387651</v>
          </cell>
          <cell r="O328">
            <v>651.08520259986403</v>
          </cell>
          <cell r="P328">
            <v>644.73325711178404</v>
          </cell>
          <cell r="Q328">
            <v>667.8530688797689</v>
          </cell>
          <cell r="R328">
            <v>392.03624169854646</v>
          </cell>
          <cell r="S328">
            <v>374.59168651556325</v>
          </cell>
          <cell r="T328">
            <v>469.35661844282055</v>
          </cell>
          <cell r="U328">
            <v>355.18442603664073</v>
          </cell>
          <cell r="V328">
            <v>374.57459439020806</v>
          </cell>
          <cell r="W328">
            <v>421.03263291622085</v>
          </cell>
          <cell r="X328">
            <v>652.46580751012812</v>
          </cell>
          <cell r="Y328">
            <v>641.18408042767794</v>
          </cell>
          <cell r="Z328">
            <v>661.41295064132908</v>
          </cell>
          <cell r="AA328">
            <v>657.8721596456262</v>
          </cell>
          <cell r="AB328">
            <v>651.52021415754621</v>
          </cell>
          <cell r="AC328">
            <v>674.6400300393467</v>
          </cell>
          <cell r="AD328">
            <v>398.82856701352949</v>
          </cell>
          <cell r="AE328">
            <v>380.87293539751687</v>
          </cell>
          <cell r="AF328">
            <v>476.78450246678</v>
          </cell>
        </row>
        <row r="329">
          <cell r="D329">
            <v>8710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</row>
        <row r="330">
          <cell r="D330">
            <v>8711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</row>
        <row r="331">
          <cell r="D331">
            <v>8720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</row>
        <row r="332">
          <cell r="D332">
            <v>8740</v>
          </cell>
          <cell r="F332">
            <v>5862.9700000000012</v>
          </cell>
          <cell r="G332">
            <v>10458.82</v>
          </cell>
          <cell r="H332">
            <v>-5224.83</v>
          </cell>
          <cell r="I332">
            <v>7918.87</v>
          </cell>
          <cell r="J332">
            <v>4937.92</v>
          </cell>
          <cell r="K332">
            <v>-33591.440000000002</v>
          </cell>
          <cell r="L332">
            <v>68496.723513510748</v>
          </cell>
          <cell r="M332">
            <v>68738.418682313728</v>
          </cell>
          <cell r="N332">
            <v>69346.016145623871</v>
          </cell>
          <cell r="O332">
            <v>68603.694266142556</v>
          </cell>
          <cell r="P332">
            <v>68463.082012093015</v>
          </cell>
          <cell r="Q332">
            <v>69328.478311868617</v>
          </cell>
          <cell r="R332">
            <v>72651.329303600884</v>
          </cell>
          <cell r="S332">
            <v>70562.007466117881</v>
          </cell>
          <cell r="T332">
            <v>-34482.229085115665</v>
          </cell>
          <cell r="U332">
            <v>73651.003488617149</v>
          </cell>
          <cell r="V332">
            <v>33326.211124212066</v>
          </cell>
          <cell r="W332">
            <v>-225346.01229743237</v>
          </cell>
          <cell r="X332">
            <v>68496.723513510748</v>
          </cell>
          <cell r="Y332">
            <v>68738.418682313728</v>
          </cell>
          <cell r="Z332">
            <v>69346.016145623871</v>
          </cell>
          <cell r="AA332">
            <v>68603.694266142556</v>
          </cell>
          <cell r="AB332">
            <v>68463.082012093015</v>
          </cell>
          <cell r="AC332">
            <v>69328.478311868617</v>
          </cell>
          <cell r="AD332">
            <v>72651.329303600884</v>
          </cell>
          <cell r="AE332">
            <v>70562.007466117881</v>
          </cell>
          <cell r="AF332">
            <v>-34482.229085115665</v>
          </cell>
        </row>
        <row r="333">
          <cell r="D333">
            <v>8750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</row>
        <row r="334">
          <cell r="D334">
            <v>8760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</row>
        <row r="335">
          <cell r="D335">
            <v>8770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</row>
        <row r="336">
          <cell r="D336">
            <v>8780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</row>
        <row r="337">
          <cell r="D337">
            <v>8790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</row>
        <row r="338">
          <cell r="D338">
            <v>8800</v>
          </cell>
          <cell r="F338">
            <v>995</v>
          </cell>
          <cell r="G338">
            <v>29.34</v>
          </cell>
          <cell r="H338">
            <v>0</v>
          </cell>
          <cell r="I338">
            <v>0</v>
          </cell>
          <cell r="J338">
            <v>0</v>
          </cell>
          <cell r="K338">
            <v>9883.1</v>
          </cell>
          <cell r="L338">
            <v>2270.1507539182526</v>
          </cell>
          <cell r="M338">
            <v>2258.4849773053293</v>
          </cell>
          <cell r="N338">
            <v>2339.3280175560758</v>
          </cell>
          <cell r="O338">
            <v>2324.7005232851293</v>
          </cell>
          <cell r="P338">
            <v>2266.2034626409609</v>
          </cell>
          <cell r="Q338">
            <v>20173.946705467268</v>
          </cell>
          <cell r="R338">
            <v>1671.1039879799048</v>
          </cell>
          <cell r="S338">
            <v>1677.8434087337382</v>
          </cell>
          <cell r="T338">
            <v>1964.1410653783742</v>
          </cell>
          <cell r="U338">
            <v>1405.4280910728485</v>
          </cell>
          <cell r="V338">
            <v>2124.6741187703237</v>
          </cell>
          <cell r="W338">
            <v>2064.2493280648137</v>
          </cell>
          <cell r="X338">
            <v>2270.1507539182526</v>
          </cell>
          <cell r="Y338">
            <v>2258.4849773053293</v>
          </cell>
          <cell r="Z338">
            <v>2339.3280175560758</v>
          </cell>
          <cell r="AA338">
            <v>2324.7005232851293</v>
          </cell>
          <cell r="AB338">
            <v>2266.2034626409609</v>
          </cell>
          <cell r="AC338">
            <v>20173.946705467268</v>
          </cell>
          <cell r="AD338">
            <v>1671.1039879799048</v>
          </cell>
          <cell r="AE338">
            <v>1677.8434087337382</v>
          </cell>
          <cell r="AF338">
            <v>1964.1410653783742</v>
          </cell>
        </row>
        <row r="339">
          <cell r="D339">
            <v>8810</v>
          </cell>
          <cell r="F339">
            <v>838.41000000000008</v>
          </cell>
          <cell r="G339">
            <v>1681.66</v>
          </cell>
          <cell r="H339">
            <v>201.1400000000001</v>
          </cell>
          <cell r="I339">
            <v>-16315.23</v>
          </cell>
          <cell r="J339">
            <v>-592.26</v>
          </cell>
          <cell r="K339">
            <v>-362.24</v>
          </cell>
          <cell r="L339">
            <v>-3040.132100437555</v>
          </cell>
          <cell r="M339">
            <v>-3040.132100437555</v>
          </cell>
          <cell r="N339">
            <v>-3045.7770193076108</v>
          </cell>
          <cell r="O339">
            <v>-3040.132100437555</v>
          </cell>
          <cell r="P339">
            <v>-3040.132100437555</v>
          </cell>
          <cell r="Q339">
            <v>-3043.1187272246243</v>
          </cell>
          <cell r="R339">
            <v>-2799.9415675025948</v>
          </cell>
          <cell r="S339">
            <v>-2709.1563783731863</v>
          </cell>
          <cell r="T339">
            <v>-2386.2230891768349</v>
          </cell>
          <cell r="U339">
            <v>-2638.9371927608681</v>
          </cell>
          <cell r="V339">
            <v>-2555.3526818348346</v>
          </cell>
          <cell r="W339">
            <v>-1458.9090903516833</v>
          </cell>
          <cell r="X339">
            <v>-3040.132100437555</v>
          </cell>
          <cell r="Y339">
            <v>-3040.132100437555</v>
          </cell>
          <cell r="Z339">
            <v>-3045.7770193076108</v>
          </cell>
          <cell r="AA339">
            <v>-3040.132100437555</v>
          </cell>
          <cell r="AB339">
            <v>-3040.132100437555</v>
          </cell>
          <cell r="AC339">
            <v>-3043.1187272246243</v>
          </cell>
          <cell r="AD339">
            <v>-2799.9415675025948</v>
          </cell>
          <cell r="AE339">
            <v>-2709.1563783731863</v>
          </cell>
          <cell r="AF339">
            <v>-2386.2230891768349</v>
          </cell>
        </row>
        <row r="340">
          <cell r="D340">
            <v>8850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</row>
        <row r="341">
          <cell r="D341">
            <v>8860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</row>
        <row r="342">
          <cell r="D342">
            <v>8870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</row>
        <row r="343">
          <cell r="D343">
            <v>8890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</row>
        <row r="344">
          <cell r="D344">
            <v>8900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</row>
        <row r="345">
          <cell r="D345">
            <v>8910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</row>
        <row r="346">
          <cell r="D346">
            <v>8920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</row>
        <row r="347">
          <cell r="D347">
            <v>8930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</row>
        <row r="348">
          <cell r="D348">
            <v>8940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</row>
        <row r="349">
          <cell r="D349">
            <v>8950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</row>
        <row r="350">
          <cell r="D350">
            <v>9010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</row>
        <row r="351">
          <cell r="D351">
            <v>9020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</row>
        <row r="352">
          <cell r="D352">
            <v>9030</v>
          </cell>
          <cell r="F352">
            <v>9950.67</v>
          </cell>
          <cell r="G352">
            <v>9680.4399999999987</v>
          </cell>
          <cell r="H352">
            <v>10052.82</v>
          </cell>
          <cell r="I352">
            <v>9579.11</v>
          </cell>
          <cell r="J352">
            <v>7383.68</v>
          </cell>
          <cell r="K352">
            <v>6556.66</v>
          </cell>
          <cell r="L352">
            <v>9015.2315691721578</v>
          </cell>
          <cell r="M352">
            <v>8625.5142377056509</v>
          </cell>
          <cell r="N352">
            <v>9463.6760423713749</v>
          </cell>
          <cell r="O352">
            <v>9054.87896335398</v>
          </cell>
          <cell r="P352">
            <v>9050.1052363575272</v>
          </cell>
          <cell r="Q352">
            <v>9177.708866226676</v>
          </cell>
          <cell r="R352">
            <v>9312.1029649610682</v>
          </cell>
          <cell r="S352">
            <v>8299.6185167648582</v>
          </cell>
          <cell r="T352">
            <v>10005.54112009333</v>
          </cell>
          <cell r="U352">
            <v>8820.7730061416241</v>
          </cell>
          <cell r="V352">
            <v>7932.5964810165397</v>
          </cell>
          <cell r="W352">
            <v>10341.843311022589</v>
          </cell>
          <cell r="X352">
            <v>9282.1481375359563</v>
          </cell>
          <cell r="Y352">
            <v>8880.6150885258758</v>
          </cell>
          <cell r="Z352">
            <v>9730.9453772400793</v>
          </cell>
          <cell r="AA352">
            <v>9322.7446418930958</v>
          </cell>
          <cell r="AB352">
            <v>9317.9709148966431</v>
          </cell>
          <cell r="AC352">
            <v>9445.574707128686</v>
          </cell>
          <cell r="AD352">
            <v>9580.1805168136198</v>
          </cell>
          <cell r="AE352">
            <v>8547.5250502072813</v>
          </cell>
          <cell r="AF352">
            <v>10298.702721201458</v>
          </cell>
        </row>
        <row r="353">
          <cell r="D353">
            <v>9040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20493544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20493544</v>
          </cell>
          <cell r="AD353">
            <v>0</v>
          </cell>
          <cell r="AE353">
            <v>0</v>
          </cell>
          <cell r="AF353">
            <v>0</v>
          </cell>
        </row>
        <row r="354">
          <cell r="D354">
            <v>9070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</row>
        <row r="355">
          <cell r="D355">
            <v>9080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</row>
        <row r="356">
          <cell r="D356">
            <v>9090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</row>
        <row r="357">
          <cell r="D357">
            <v>9100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</row>
        <row r="358">
          <cell r="D358">
            <v>9110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</row>
        <row r="359">
          <cell r="D359">
            <v>9120</v>
          </cell>
          <cell r="F359">
            <v>16725.25</v>
          </cell>
          <cell r="G359">
            <v>13023.16</v>
          </cell>
          <cell r="H359">
            <v>20634.500000000004</v>
          </cell>
          <cell r="I359">
            <v>10106.09</v>
          </cell>
          <cell r="J359">
            <v>10279.459999999999</v>
          </cell>
          <cell r="K359">
            <v>9867.66</v>
          </cell>
          <cell r="L359">
            <v>15148.158187377789</v>
          </cell>
          <cell r="M359">
            <v>16138.248265882978</v>
          </cell>
          <cell r="N359">
            <v>15141.919408882181</v>
          </cell>
          <cell r="O359">
            <v>17524.905820454333</v>
          </cell>
          <cell r="P359">
            <v>16532.988900916334</v>
          </cell>
          <cell r="Q359">
            <v>17511.066391107463</v>
          </cell>
          <cell r="R359">
            <v>21053.75605267207</v>
          </cell>
          <cell r="S359">
            <v>11706.989754638369</v>
          </cell>
          <cell r="T359">
            <v>18315.712886541769</v>
          </cell>
          <cell r="U359">
            <v>9248.4787300402731</v>
          </cell>
          <cell r="V359">
            <v>8991.4775044534927</v>
          </cell>
          <cell r="W359">
            <v>11319.705071654045</v>
          </cell>
          <cell r="X359">
            <v>15148.158187377789</v>
          </cell>
          <cell r="Y359">
            <v>16138.248265882978</v>
          </cell>
          <cell r="Z359">
            <v>15141.919408882181</v>
          </cell>
          <cell r="AA359">
            <v>17524.905820454333</v>
          </cell>
          <cell r="AB359">
            <v>16532.988900916334</v>
          </cell>
          <cell r="AC359">
            <v>17511.066391107463</v>
          </cell>
          <cell r="AD359">
            <v>21053.75605267207</v>
          </cell>
          <cell r="AE359">
            <v>11706.989754638369</v>
          </cell>
          <cell r="AF359">
            <v>18315.712886541769</v>
          </cell>
        </row>
        <row r="360">
          <cell r="D360">
            <v>9130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</row>
        <row r="361">
          <cell r="D361">
            <v>9160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</row>
        <row r="362">
          <cell r="D362">
            <v>9200</v>
          </cell>
          <cell r="F362">
            <v>-674500.99999999814</v>
          </cell>
          <cell r="G362">
            <v>-3232736.2200000011</v>
          </cell>
          <cell r="H362">
            <v>-1373917.7500000009</v>
          </cell>
          <cell r="I362">
            <v>-2933233.92</v>
          </cell>
          <cell r="J362">
            <v>-3189449.86</v>
          </cell>
          <cell r="K362">
            <v>-2224757.7500000005</v>
          </cell>
          <cell r="L362">
            <v>-3538153.0737666846</v>
          </cell>
          <cell r="M362">
            <v>-4918214.2557761436</v>
          </cell>
          <cell r="N362">
            <v>-3555013.7601088076</v>
          </cell>
          <cell r="O362">
            <v>-3954091.1833593673</v>
          </cell>
          <cell r="P362">
            <v>-3024910.541044883</v>
          </cell>
          <cell r="Q362">
            <v>-3131627.9860983384</v>
          </cell>
          <cell r="R362">
            <v>-517013.0361850448</v>
          </cell>
          <cell r="S362">
            <v>-3108679.3264280441</v>
          </cell>
          <cell r="T362">
            <v>-1218128.815814238</v>
          </cell>
          <cell r="U362">
            <v>-2802652.4099780433</v>
          </cell>
          <cell r="V362">
            <v>-3070148.2988499645</v>
          </cell>
          <cell r="W362">
            <v>-2141142.0949446713</v>
          </cell>
          <cell r="X362">
            <v>-3401814.4629443302</v>
          </cell>
          <cell r="Y362">
            <v>-4787911.0084594553</v>
          </cell>
          <cell r="Z362">
            <v>-3418494.9592910646</v>
          </cell>
          <cell r="AA362">
            <v>-3817267.7754949541</v>
          </cell>
          <cell r="AB362">
            <v>-2888087.1331804697</v>
          </cell>
          <cell r="AC362">
            <v>-2994804.4953003977</v>
          </cell>
          <cell r="AD362">
            <v>-380081.40531521384</v>
          </cell>
          <cell r="AE362">
            <v>-2982050.8724863692</v>
          </cell>
          <cell r="AF362">
            <v>-1068384.4755263692</v>
          </cell>
        </row>
        <row r="363">
          <cell r="D363">
            <v>9210</v>
          </cell>
          <cell r="F363">
            <v>2659290.8799999994</v>
          </cell>
          <cell r="G363">
            <v>2536561.1399999992</v>
          </cell>
          <cell r="H363">
            <v>2622285.3800000004</v>
          </cell>
          <cell r="I363">
            <v>2388729.63</v>
          </cell>
          <cell r="J363">
            <v>2559956.0299999998</v>
          </cell>
          <cell r="K363">
            <v>2631300.8099999991</v>
          </cell>
          <cell r="L363">
            <v>3592791.722185717</v>
          </cell>
          <cell r="M363">
            <v>3360712.1266616024</v>
          </cell>
          <cell r="N363">
            <v>3416733.722998878</v>
          </cell>
          <cell r="O363">
            <v>3385039.199422481</v>
          </cell>
          <cell r="P363">
            <v>3321938.7189634759</v>
          </cell>
          <cell r="Q363">
            <v>5023503.1415613638</v>
          </cell>
          <cell r="R363">
            <v>2538982.5969090243</v>
          </cell>
          <cell r="S363">
            <v>2428634.8498993553</v>
          </cell>
          <cell r="T363">
            <v>2592654.8117151489</v>
          </cell>
          <cell r="U363">
            <v>2413386.2920247815</v>
          </cell>
          <cell r="V363">
            <v>2547301.1645046766</v>
          </cell>
          <cell r="W363">
            <v>2877164.1549470103</v>
          </cell>
          <cell r="X363">
            <v>3592791.722185717</v>
          </cell>
          <cell r="Y363">
            <v>3360712.1266616024</v>
          </cell>
          <cell r="Z363">
            <v>3416733.722998878</v>
          </cell>
          <cell r="AA363">
            <v>3385039.199422481</v>
          </cell>
          <cell r="AB363">
            <v>3321938.7189634759</v>
          </cell>
          <cell r="AC363">
            <v>5023503.1415613638</v>
          </cell>
          <cell r="AD363">
            <v>2538982.5969090243</v>
          </cell>
          <cell r="AE363">
            <v>2428634.8498993553</v>
          </cell>
          <cell r="AF363">
            <v>2592654.8117151489</v>
          </cell>
        </row>
        <row r="364">
          <cell r="D364">
            <v>9220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</row>
        <row r="365">
          <cell r="D365">
            <v>9230</v>
          </cell>
          <cell r="F365">
            <v>894023.35999999987</v>
          </cell>
          <cell r="G365">
            <v>854946.4700000002</v>
          </cell>
          <cell r="H365">
            <v>826624.74</v>
          </cell>
          <cell r="I365">
            <v>847252.16</v>
          </cell>
          <cell r="J365">
            <v>1176194.7700000003</v>
          </cell>
          <cell r="K365">
            <v>1062100.58</v>
          </cell>
          <cell r="L365">
            <v>1213250.0711173653</v>
          </cell>
          <cell r="M365">
            <v>1261432.0947888519</v>
          </cell>
          <cell r="N365">
            <v>1261812.8011866785</v>
          </cell>
          <cell r="O365">
            <v>1270294.8221298491</v>
          </cell>
          <cell r="P365">
            <v>1210032.3585461036</v>
          </cell>
          <cell r="Q365">
            <v>11005989.81530362</v>
          </cell>
          <cell r="R365">
            <v>853827.06996868562</v>
          </cell>
          <cell r="S365">
            <v>865158.73624845129</v>
          </cell>
          <cell r="T365">
            <v>1013849.320495827</v>
          </cell>
          <cell r="U365">
            <v>723475.43906114635</v>
          </cell>
          <cell r="V365">
            <v>1112346.2948580468</v>
          </cell>
          <cell r="W365">
            <v>1108099.1956573313</v>
          </cell>
          <cell r="X365">
            <v>1213656.911136491</v>
          </cell>
          <cell r="Y365">
            <v>1261804.2058908818</v>
          </cell>
          <cell r="Z365">
            <v>1262220.6781484687</v>
          </cell>
          <cell r="AA365">
            <v>1270704.4520515266</v>
          </cell>
          <cell r="AB365">
            <v>1210441.9884677809</v>
          </cell>
          <cell r="AC365">
            <v>11006399.541510385</v>
          </cell>
          <cell r="AD365">
            <v>854280.62617498485</v>
          </cell>
          <cell r="AE365">
            <v>865578.16542500095</v>
          </cell>
          <cell r="AF365">
            <v>1014345.316011723</v>
          </cell>
        </row>
        <row r="366">
          <cell r="D366">
            <v>9240</v>
          </cell>
          <cell r="F366">
            <v>9023.86</v>
          </cell>
          <cell r="G366">
            <v>9023.86</v>
          </cell>
          <cell r="H366">
            <v>9032.4599999999991</v>
          </cell>
          <cell r="I366">
            <v>9023.86</v>
          </cell>
          <cell r="J366">
            <v>9023.86</v>
          </cell>
          <cell r="K366">
            <v>9717.19</v>
          </cell>
          <cell r="L366">
            <v>10825.165236247549</v>
          </cell>
          <cell r="M366">
            <v>10825.165236247549</v>
          </cell>
          <cell r="N366">
            <v>10825.165236247549</v>
          </cell>
          <cell r="O366">
            <v>10825.165236247549</v>
          </cell>
          <cell r="P366">
            <v>10900.039603801652</v>
          </cell>
          <cell r="Q366">
            <v>10825.165236247549</v>
          </cell>
          <cell r="R366">
            <v>11247.030218694039</v>
          </cell>
          <cell r="S366">
            <v>9323.1554309850635</v>
          </cell>
          <cell r="T366">
            <v>11272.295366597551</v>
          </cell>
          <cell r="U366">
            <v>11272.559386967303</v>
          </cell>
          <cell r="V366">
            <v>11272.260321448917</v>
          </cell>
          <cell r="W366">
            <v>457.78927530713037</v>
          </cell>
          <cell r="X366">
            <v>10825.165236247549</v>
          </cell>
          <cell r="Y366">
            <v>10825.165236247549</v>
          </cell>
          <cell r="Z366">
            <v>10825.165236247549</v>
          </cell>
          <cell r="AA366">
            <v>10825.165236247549</v>
          </cell>
          <cell r="AB366">
            <v>10900.039603801652</v>
          </cell>
          <cell r="AC366">
            <v>10825.165236247549</v>
          </cell>
          <cell r="AD366">
            <v>11247.030218694039</v>
          </cell>
          <cell r="AE366">
            <v>9323.1554309850635</v>
          </cell>
          <cell r="AF366">
            <v>11272.295366597551</v>
          </cell>
        </row>
        <row r="367">
          <cell r="D367">
            <v>9250</v>
          </cell>
          <cell r="F367">
            <v>2756598.2199999997</v>
          </cell>
          <cell r="G367">
            <v>2294190.9099999997</v>
          </cell>
          <cell r="H367">
            <v>2747643.0100000002</v>
          </cell>
          <cell r="I367">
            <v>2770998.27</v>
          </cell>
          <cell r="J367">
            <v>2766989.4800000004</v>
          </cell>
          <cell r="K367">
            <v>103137.16000000015</v>
          </cell>
          <cell r="L367">
            <v>2653093.1582426662</v>
          </cell>
          <cell r="M367">
            <v>2652772.1697166492</v>
          </cell>
          <cell r="N367">
            <v>2653102.7415367938</v>
          </cell>
          <cell r="O367">
            <v>2653118.9418594711</v>
          </cell>
          <cell r="P367">
            <v>2671418.137758621</v>
          </cell>
          <cell r="Q367">
            <v>2653118.8990754327</v>
          </cell>
          <cell r="R367">
            <v>2756206.6073131049</v>
          </cell>
          <cell r="S367">
            <v>2285453.8023159807</v>
          </cell>
          <cell r="T367">
            <v>2763078.2274416015</v>
          </cell>
          <cell r="U367">
            <v>2761972.5185352028</v>
          </cell>
          <cell r="V367">
            <v>2761291.9310293584</v>
          </cell>
          <cell r="W367">
            <v>119245.38714102328</v>
          </cell>
          <cell r="X367">
            <v>2653293.5670903698</v>
          </cell>
          <cell r="Y367">
            <v>2652955.4711463749</v>
          </cell>
          <cell r="Z367">
            <v>2653303.6611810625</v>
          </cell>
          <cell r="AA367">
            <v>2653320.7250094293</v>
          </cell>
          <cell r="AB367">
            <v>2671619.9209085791</v>
          </cell>
          <cell r="AC367">
            <v>2653320.7296552951</v>
          </cell>
          <cell r="AD367">
            <v>2756430.0284919469</v>
          </cell>
          <cell r="AE367">
            <v>2285660.412565744</v>
          </cell>
          <cell r="AF367">
            <v>2763322.5541674243</v>
          </cell>
        </row>
        <row r="368">
          <cell r="D368">
            <v>9260</v>
          </cell>
          <cell r="F368">
            <v>2672275.7399999998</v>
          </cell>
          <cell r="G368">
            <v>2744975.4899999993</v>
          </cell>
          <cell r="H368">
            <v>2887846.87</v>
          </cell>
          <cell r="I368">
            <v>4090987.3899999997</v>
          </cell>
          <cell r="J368">
            <v>3279883.51</v>
          </cell>
          <cell r="K368">
            <v>5373014.1700000009</v>
          </cell>
          <cell r="L368">
            <v>4302453.8671469083</v>
          </cell>
          <cell r="M368">
            <v>8814611.0692081619</v>
          </cell>
          <cell r="N368">
            <v>4472114.3906851467</v>
          </cell>
          <cell r="O368">
            <v>6334503.9637681404</v>
          </cell>
          <cell r="P368">
            <v>3670463.7083556219</v>
          </cell>
          <cell r="Q368">
            <v>3761062.1296100719</v>
          </cell>
          <cell r="R368">
            <v>3044605.5605227808</v>
          </cell>
          <cell r="S368">
            <v>2959867.2024631109</v>
          </cell>
          <cell r="T368">
            <v>3101464.5108476318</v>
          </cell>
          <cell r="U368">
            <v>4013605.0587421623</v>
          </cell>
          <cell r="V368">
            <v>3713777.5616447059</v>
          </cell>
          <cell r="W368">
            <v>5821103.1131768515</v>
          </cell>
          <cell r="X368">
            <v>4344285.4391976427</v>
          </cell>
          <cell r="Y368">
            <v>8852871.7899919339</v>
          </cell>
          <cell r="Z368">
            <v>4514052.5818975801</v>
          </cell>
          <cell r="AA368">
            <v>6376622.39552812</v>
          </cell>
          <cell r="AB368">
            <v>3712582.1401156024</v>
          </cell>
          <cell r="AC368">
            <v>3803190.4614692079</v>
          </cell>
          <cell r="AD368">
            <v>3091240.5232376903</v>
          </cell>
          <cell r="AE368">
            <v>3002993.2003841484</v>
          </cell>
          <cell r="AF368">
            <v>3152463.1127172895</v>
          </cell>
        </row>
        <row r="369">
          <cell r="D369">
            <v>9270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</row>
        <row r="370">
          <cell r="D370">
            <v>9280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</row>
        <row r="371">
          <cell r="D371">
            <v>9290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</row>
        <row r="372">
          <cell r="D372">
            <v>9301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</row>
        <row r="373">
          <cell r="D373">
            <v>9302</v>
          </cell>
          <cell r="F373">
            <v>549726.27</v>
          </cell>
          <cell r="G373">
            <v>112310.48000000001</v>
          </cell>
          <cell r="H373">
            <v>547447.46</v>
          </cell>
          <cell r="I373">
            <v>687802.95000000007</v>
          </cell>
          <cell r="J373">
            <v>523819.50000000006</v>
          </cell>
          <cell r="K373">
            <v>2145254.2599999998</v>
          </cell>
          <cell r="L373">
            <v>214879.02444943885</v>
          </cell>
          <cell r="M373">
            <v>217213.60353239247</v>
          </cell>
          <cell r="N373">
            <v>794456.33155038464</v>
          </cell>
          <cell r="O373">
            <v>217756.78776682273</v>
          </cell>
          <cell r="P373">
            <v>217254.0450031863</v>
          </cell>
          <cell r="Q373">
            <v>1283872.2026455146</v>
          </cell>
          <cell r="R373">
            <v>613258.76993331057</v>
          </cell>
          <cell r="S373">
            <v>142453.96569910919</v>
          </cell>
          <cell r="T373">
            <v>434404.1201878477</v>
          </cell>
          <cell r="U373">
            <v>702831.90501897899</v>
          </cell>
          <cell r="V373">
            <v>523219.60629197047</v>
          </cell>
          <cell r="W373">
            <v>2150192.5528687835</v>
          </cell>
          <cell r="X373">
            <v>214879.02444943885</v>
          </cell>
          <cell r="Y373">
            <v>217213.60353239247</v>
          </cell>
          <cell r="Z373">
            <v>794456.33155038464</v>
          </cell>
          <cell r="AA373">
            <v>217756.78776682273</v>
          </cell>
          <cell r="AB373">
            <v>217254.0450031863</v>
          </cell>
          <cell r="AC373">
            <v>1283872.2026455146</v>
          </cell>
          <cell r="AD373">
            <v>613258.76993331057</v>
          </cell>
          <cell r="AE373">
            <v>142453.96569910919</v>
          </cell>
          <cell r="AF373">
            <v>434404.1201878477</v>
          </cell>
        </row>
        <row r="374">
          <cell r="D374">
            <v>9310</v>
          </cell>
          <cell r="F374">
            <v>419451.93000000005</v>
          </cell>
          <cell r="G374">
            <v>405841.35</v>
          </cell>
          <cell r="H374">
            <v>414345.17</v>
          </cell>
          <cell r="I374">
            <v>406290.94999999995</v>
          </cell>
          <cell r="J374">
            <v>433844.62000000005</v>
          </cell>
          <cell r="K374">
            <v>371906.23999999993</v>
          </cell>
          <cell r="L374">
            <v>471795.44015733991</v>
          </cell>
          <cell r="M374">
            <v>471807.23736069928</v>
          </cell>
          <cell r="N374">
            <v>472408.38179578341</v>
          </cell>
          <cell r="O374">
            <v>471925.0775955026</v>
          </cell>
          <cell r="P374">
            <v>471802.07539647486</v>
          </cell>
          <cell r="Q374">
            <v>509032.43427796412</v>
          </cell>
          <cell r="R374">
            <v>428170.68781025079</v>
          </cell>
          <cell r="S374">
            <v>414268.94577235071</v>
          </cell>
          <cell r="T374">
            <v>421335.66671873012</v>
          </cell>
          <cell r="U374">
            <v>400259.67798592499</v>
          </cell>
          <cell r="V374">
            <v>410965.83174444077</v>
          </cell>
          <cell r="W374">
            <v>376679.44996830268</v>
          </cell>
          <cell r="X374">
            <v>471795.44015733991</v>
          </cell>
          <cell r="Y374">
            <v>471807.23736069928</v>
          </cell>
          <cell r="Z374">
            <v>472408.38179578341</v>
          </cell>
          <cell r="AA374">
            <v>471925.0775955026</v>
          </cell>
          <cell r="AB374">
            <v>471802.07539647486</v>
          </cell>
          <cell r="AC374">
            <v>509032.43427796412</v>
          </cell>
          <cell r="AD374">
            <v>428170.68781025079</v>
          </cell>
          <cell r="AE374">
            <v>414268.94577235071</v>
          </cell>
          <cell r="AF374">
            <v>421335.66671873012</v>
          </cell>
        </row>
        <row r="375">
          <cell r="D375">
            <v>9320</v>
          </cell>
          <cell r="F375">
            <v>21992.440000000002</v>
          </cell>
          <cell r="G375">
            <v>25758.79</v>
          </cell>
          <cell r="H375">
            <v>38480.229999999996</v>
          </cell>
          <cell r="I375">
            <v>23613.9</v>
          </cell>
          <cell r="J375">
            <v>2923.3599999999997</v>
          </cell>
          <cell r="K375">
            <v>16721.189999999999</v>
          </cell>
          <cell r="L375">
            <v>27420.640409229214</v>
          </cell>
          <cell r="M375">
            <v>26528.594660828538</v>
          </cell>
          <cell r="N375">
            <v>27061.331420510418</v>
          </cell>
          <cell r="O375">
            <v>27132.802905450317</v>
          </cell>
          <cell r="P375">
            <v>26568.186648914623</v>
          </cell>
          <cell r="Q375">
            <v>63665.453771795539</v>
          </cell>
          <cell r="R375">
            <v>21808.991427483594</v>
          </cell>
          <cell r="S375">
            <v>21041.239856005039</v>
          </cell>
          <cell r="T375">
            <v>22022.996337229288</v>
          </cell>
          <cell r="U375">
            <v>20440.943602636267</v>
          </cell>
          <cell r="V375">
            <v>22159.052228219145</v>
          </cell>
          <cell r="W375">
            <v>22016.686548426656</v>
          </cell>
          <cell r="X375">
            <v>27420.640409229214</v>
          </cell>
          <cell r="Y375">
            <v>26528.594660828538</v>
          </cell>
          <cell r="Z375">
            <v>27061.331420510418</v>
          </cell>
          <cell r="AA375">
            <v>27132.802905450317</v>
          </cell>
          <cell r="AB375">
            <v>26568.186648914623</v>
          </cell>
          <cell r="AC375">
            <v>63665.453771795539</v>
          </cell>
          <cell r="AD375">
            <v>21808.991427483594</v>
          </cell>
          <cell r="AE375">
            <v>21041.239856005039</v>
          </cell>
          <cell r="AF375">
            <v>22022.996337229288</v>
          </cell>
        </row>
      </sheetData>
      <sheetData sheetId="3">
        <row r="40">
          <cell r="F40">
            <v>69.260000000000005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11.927308794677835</v>
          </cell>
          <cell r="M40">
            <v>35.312417870208328</v>
          </cell>
          <cell r="N40">
            <v>13.342039294485865</v>
          </cell>
          <cell r="O40">
            <v>13.545424039828637</v>
          </cell>
          <cell r="P40">
            <v>13.545424039828637</v>
          </cell>
          <cell r="Q40">
            <v>14.592683118390235</v>
          </cell>
          <cell r="U40">
            <v>7.6835447479388721</v>
          </cell>
          <cell r="V40">
            <v>5.4166183763483318</v>
          </cell>
          <cell r="W40">
            <v>8.7662789521669531</v>
          </cell>
          <cell r="X40">
            <v>11.927308794677835</v>
          </cell>
          <cell r="Y40">
            <v>35.312417870208328</v>
          </cell>
          <cell r="Z40">
            <v>13.342039294485865</v>
          </cell>
          <cell r="AA40">
            <v>13.545424039828637</v>
          </cell>
          <cell r="AB40">
            <v>13.545424039828637</v>
          </cell>
          <cell r="AC40">
            <v>14.592683118390235</v>
          </cell>
          <cell r="AD40">
            <v>7.3436578136794379</v>
          </cell>
          <cell r="AE40">
            <v>24.42517729682454</v>
          </cell>
          <cell r="AF40">
            <v>15.624722813041862</v>
          </cell>
        </row>
        <row r="41">
          <cell r="F41">
            <v>681.83</v>
          </cell>
          <cell r="G41">
            <v>3881.25</v>
          </cell>
          <cell r="H41">
            <v>9304.02</v>
          </cell>
          <cell r="I41">
            <v>8476.76</v>
          </cell>
          <cell r="J41">
            <v>5300.59</v>
          </cell>
          <cell r="K41">
            <v>2922.99</v>
          </cell>
          <cell r="L41">
            <v>5264.0383474268992</v>
          </cell>
          <cell r="M41">
            <v>15584.9005847895</v>
          </cell>
          <cell r="N41">
            <v>5888.420236959847</v>
          </cell>
          <cell r="O41">
            <v>5978.1827405720405</v>
          </cell>
          <cell r="P41">
            <v>5978.1827405720405</v>
          </cell>
          <cell r="Q41">
            <v>6440.3835642565173</v>
          </cell>
          <cell r="U41">
            <v>3391.081332225478</v>
          </cell>
          <cell r="V41">
            <v>2390.5884669639772</v>
          </cell>
          <cell r="W41">
            <v>3868.938866497635</v>
          </cell>
          <cell r="X41">
            <v>5264.0383474268992</v>
          </cell>
          <cell r="Y41">
            <v>15584.9005847895</v>
          </cell>
          <cell r="Z41">
            <v>5888.420236959847</v>
          </cell>
          <cell r="AA41">
            <v>5978.1827405720405</v>
          </cell>
          <cell r="AB41">
            <v>5978.1827405720405</v>
          </cell>
          <cell r="AC41">
            <v>6440.3835642565173</v>
          </cell>
          <cell r="AD41">
            <v>3241.0744961042074</v>
          </cell>
          <cell r="AE41">
            <v>10779.889424054958</v>
          </cell>
          <cell r="AF41">
            <v>6895.8674141537449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F43">
            <v>93.75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16.144747321701516</v>
          </cell>
          <cell r="M43">
            <v>47.798717518510401</v>
          </cell>
          <cell r="N43">
            <v>18.059719662980793</v>
          </cell>
          <cell r="O43">
            <v>18.335020267599404</v>
          </cell>
          <cell r="P43">
            <v>18.335020267599404</v>
          </cell>
          <cell r="Q43">
            <v>19.752585075788108</v>
          </cell>
          <cell r="U43">
            <v>10.400408895744574</v>
          </cell>
          <cell r="V43">
            <v>7.3319083566655507</v>
          </cell>
          <cell r="W43">
            <v>11.865992661935486</v>
          </cell>
          <cell r="X43">
            <v>16.144747321701516</v>
          </cell>
          <cell r="Y43">
            <v>47.798717518510401</v>
          </cell>
          <cell r="Z43">
            <v>18.059719662980793</v>
          </cell>
          <cell r="AA43">
            <v>18.335020267599404</v>
          </cell>
          <cell r="AB43">
            <v>18.335020267599404</v>
          </cell>
          <cell r="AC43">
            <v>19.752585075788108</v>
          </cell>
          <cell r="AD43">
            <v>9.940339590419395</v>
          </cell>
          <cell r="AE43">
            <v>33.061801495485135</v>
          </cell>
          <cell r="AF43">
            <v>21.149548999749847</v>
          </cell>
        </row>
        <row r="158">
          <cell r="F158">
            <v>74949.450000000012</v>
          </cell>
          <cell r="G158">
            <v>49686.48</v>
          </cell>
          <cell r="H158">
            <v>34290.61</v>
          </cell>
          <cell r="I158">
            <v>95902.25</v>
          </cell>
          <cell r="J158">
            <v>69658.850000000006</v>
          </cell>
          <cell r="K158">
            <v>97684.86</v>
          </cell>
          <cell r="L158">
            <v>80705.303585721689</v>
          </cell>
          <cell r="M158">
            <v>35347.088581801712</v>
          </cell>
          <cell r="N158">
            <v>63542.73574640062</v>
          </cell>
          <cell r="O158">
            <v>75411.654414502525</v>
          </cell>
          <cell r="P158">
            <v>57301.801986647501</v>
          </cell>
          <cell r="Q158">
            <v>48938.950748578325</v>
          </cell>
          <cell r="U158">
            <v>78289.961919976078</v>
          </cell>
          <cell r="V158">
            <v>101300.81962936524</v>
          </cell>
          <cell r="W158">
            <v>90110.396333931916</v>
          </cell>
          <cell r="X158">
            <v>80705.303585721689</v>
          </cell>
          <cell r="Y158">
            <v>35347.088581801712</v>
          </cell>
          <cell r="Z158">
            <v>63542.73574640062</v>
          </cell>
          <cell r="AA158">
            <v>75411.654414502525</v>
          </cell>
          <cell r="AB158">
            <v>57301.801986647501</v>
          </cell>
          <cell r="AC158">
            <v>48938.950748578325</v>
          </cell>
          <cell r="AD158">
            <v>68124.104918714249</v>
          </cell>
          <cell r="AE158">
            <v>52566.671808827952</v>
          </cell>
          <cell r="AF158">
            <v>31780.545389184517</v>
          </cell>
        </row>
        <row r="160">
          <cell r="F160">
            <v>3465</v>
          </cell>
          <cell r="G160">
            <v>102.18</v>
          </cell>
          <cell r="H160">
            <v>0</v>
          </cell>
          <cell r="I160">
            <v>0</v>
          </cell>
          <cell r="J160">
            <v>2573.7199999999998</v>
          </cell>
          <cell r="K160">
            <v>0</v>
          </cell>
          <cell r="L160">
            <v>1173.9352960923752</v>
          </cell>
          <cell r="M160">
            <v>514.15697676183584</v>
          </cell>
          <cell r="N160">
            <v>924.28944553487395</v>
          </cell>
          <cell r="O160">
            <v>1096.9341408879511</v>
          </cell>
          <cell r="P160">
            <v>833.509136241237</v>
          </cell>
          <cell r="Q160">
            <v>711.8635217877636</v>
          </cell>
          <cell r="U160">
            <v>1138.8018574264811</v>
          </cell>
          <cell r="V160">
            <v>1473.5166389614885</v>
          </cell>
          <cell r="W160">
            <v>1310.7413032517336</v>
          </cell>
          <cell r="X160">
            <v>1173.9352960923752</v>
          </cell>
          <cell r="Y160">
            <v>514.15697676183584</v>
          </cell>
          <cell r="Z160">
            <v>924.28944553487395</v>
          </cell>
          <cell r="AA160">
            <v>1096.9341408879511</v>
          </cell>
          <cell r="AB160">
            <v>833.509136241237</v>
          </cell>
          <cell r="AC160">
            <v>711.8635217877636</v>
          </cell>
          <cell r="AD160">
            <v>990.92981161807631</v>
          </cell>
          <cell r="AE160">
            <v>764.63217028781264</v>
          </cell>
          <cell r="AF160">
            <v>462.27821845440712</v>
          </cell>
        </row>
        <row r="166">
          <cell r="U166">
            <v>4320566.2070685504</v>
          </cell>
          <cell r="V166">
            <v>4056689.6340455078</v>
          </cell>
          <cell r="W166">
            <v>4522529.9078770373</v>
          </cell>
          <cell r="X166">
            <v>4460938.1926109893</v>
          </cell>
          <cell r="Y166">
            <v>4224623.9717521379</v>
          </cell>
          <cell r="Z166">
            <v>4387179.1926109893</v>
          </cell>
          <cell r="AA166">
            <v>4321227.676415721</v>
          </cell>
          <cell r="AB166">
            <v>4239186.676415721</v>
          </cell>
          <cell r="AC166">
            <v>4224691.8450205224</v>
          </cell>
          <cell r="AD166">
            <v>4360209.5921201799</v>
          </cell>
          <cell r="AE166">
            <v>4167444.4118591975</v>
          </cell>
          <cell r="AF166">
            <v>4473773.7294602161</v>
          </cell>
        </row>
        <row r="170">
          <cell r="L170">
            <v>9</v>
          </cell>
          <cell r="M170">
            <v>10</v>
          </cell>
          <cell r="N170">
            <v>11</v>
          </cell>
          <cell r="O170">
            <v>12</v>
          </cell>
          <cell r="P170">
            <v>13</v>
          </cell>
          <cell r="Q170">
            <v>14</v>
          </cell>
          <cell r="U170">
            <v>18</v>
          </cell>
          <cell r="V170">
            <v>19</v>
          </cell>
          <cell r="W170">
            <v>20</v>
          </cell>
          <cell r="X170">
            <v>21</v>
          </cell>
          <cell r="Y170">
            <v>22</v>
          </cell>
          <cell r="Z170">
            <v>23</v>
          </cell>
          <cell r="AA170">
            <v>24</v>
          </cell>
          <cell r="AB170">
            <v>25</v>
          </cell>
          <cell r="AC170">
            <v>26</v>
          </cell>
          <cell r="AD170">
            <v>27</v>
          </cell>
          <cell r="AE170">
            <v>28</v>
          </cell>
          <cell r="AF170">
            <v>29</v>
          </cell>
        </row>
        <row r="171">
          <cell r="D171">
            <v>8140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</row>
        <row r="172">
          <cell r="D172">
            <v>8150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</row>
        <row r="173">
          <cell r="D173">
            <v>8160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</row>
        <row r="174">
          <cell r="D174">
            <v>8170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</row>
        <row r="175">
          <cell r="D175">
            <v>8180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</row>
        <row r="176">
          <cell r="D176">
            <v>8190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</row>
        <row r="177">
          <cell r="D177">
            <v>8200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</row>
        <row r="178">
          <cell r="D178">
            <v>8210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</row>
        <row r="179">
          <cell r="D179">
            <v>8240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</row>
        <row r="180">
          <cell r="D180">
            <v>8250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</row>
        <row r="181">
          <cell r="D181">
            <v>8310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</row>
        <row r="182">
          <cell r="D182">
            <v>8320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</row>
        <row r="183">
          <cell r="D183">
            <v>8340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</row>
        <row r="184">
          <cell r="D184">
            <v>8350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</row>
        <row r="185">
          <cell r="D185">
            <v>8360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</row>
        <row r="186">
          <cell r="D186">
            <v>8400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</row>
        <row r="187">
          <cell r="D187">
            <v>8410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</row>
        <row r="188">
          <cell r="D188">
            <v>8470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</row>
        <row r="189">
          <cell r="D189">
            <v>8500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</row>
        <row r="190">
          <cell r="D190">
            <v>8560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</row>
        <row r="191">
          <cell r="D191">
            <v>8570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</row>
        <row r="192">
          <cell r="D192">
            <v>8580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</row>
        <row r="193">
          <cell r="D193">
            <v>8590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</row>
        <row r="194">
          <cell r="D194">
            <v>8600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</row>
        <row r="195">
          <cell r="D195">
            <v>8620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</row>
        <row r="196">
          <cell r="D196">
            <v>8630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</row>
        <row r="197">
          <cell r="D197">
            <v>8640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</row>
        <row r="198">
          <cell r="D198">
            <v>8650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</row>
        <row r="199">
          <cell r="D199">
            <v>8670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</row>
        <row r="200">
          <cell r="D200">
            <v>8700</v>
          </cell>
          <cell r="F200">
            <v>0</v>
          </cell>
          <cell r="G200">
            <v>3775.77</v>
          </cell>
          <cell r="H200">
            <v>0</v>
          </cell>
          <cell r="I200">
            <v>0</v>
          </cell>
          <cell r="J200">
            <v>172.49</v>
          </cell>
          <cell r="K200">
            <v>0</v>
          </cell>
          <cell r="L200">
            <v>117.40310176145465</v>
          </cell>
          <cell r="M200">
            <v>114.61865088192474</v>
          </cell>
          <cell r="N200">
            <v>113.32674397121139</v>
          </cell>
          <cell r="O200">
            <v>117.83373739835912</v>
          </cell>
          <cell r="P200">
            <v>111.17356578668912</v>
          </cell>
          <cell r="Q200">
            <v>109.98714487224683</v>
          </cell>
          <cell r="R200">
            <v>683.84245393239451</v>
          </cell>
          <cell r="S200">
            <v>649.99203718334888</v>
          </cell>
          <cell r="T200">
            <v>636.23982829254339</v>
          </cell>
          <cell r="U200">
            <v>697.62082033074796</v>
          </cell>
          <cell r="V200">
            <v>524.15941313689837</v>
          </cell>
          <cell r="W200">
            <v>756.40544712406688</v>
          </cell>
          <cell r="X200">
            <v>117.40310176145465</v>
          </cell>
          <cell r="Y200">
            <v>114.61865088192474</v>
          </cell>
          <cell r="Z200">
            <v>113.32674397121139</v>
          </cell>
          <cell r="AA200">
            <v>117.83373739835912</v>
          </cell>
          <cell r="AB200">
            <v>111.17356578668912</v>
          </cell>
          <cell r="AC200">
            <v>109.98714487224683</v>
          </cell>
          <cell r="AD200">
            <v>683.84245393239451</v>
          </cell>
          <cell r="AE200">
            <v>649.99203718334888</v>
          </cell>
          <cell r="AF200">
            <v>636.23982829254339</v>
          </cell>
        </row>
        <row r="201">
          <cell r="D201">
            <v>8710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</row>
        <row r="202">
          <cell r="D202">
            <v>8711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</row>
        <row r="203">
          <cell r="D203">
            <v>8720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</row>
        <row r="204">
          <cell r="D204">
            <v>8740</v>
          </cell>
          <cell r="F204">
            <v>11348.060000000001</v>
          </cell>
          <cell r="G204">
            <v>9512.83</v>
          </cell>
          <cell r="H204">
            <v>6381.1799999999994</v>
          </cell>
          <cell r="I204">
            <v>12271.98</v>
          </cell>
          <cell r="J204">
            <v>6747.79</v>
          </cell>
          <cell r="K204">
            <v>4409.18</v>
          </cell>
          <cell r="L204">
            <v>9707.2708369586526</v>
          </cell>
          <cell r="M204">
            <v>9342.9694172340769</v>
          </cell>
          <cell r="N204">
            <v>9707.2708369586526</v>
          </cell>
          <cell r="O204">
            <v>9421.5011100409793</v>
          </cell>
          <cell r="P204">
            <v>9421.5011100409793</v>
          </cell>
          <cell r="Q204">
            <v>9421.4931942195435</v>
          </cell>
          <cell r="R204">
            <v>8032.003484589799</v>
          </cell>
          <cell r="S204">
            <v>10083.927249433624</v>
          </cell>
          <cell r="T204">
            <v>9664.1086406741306</v>
          </cell>
          <cell r="U204">
            <v>8129.1473942033654</v>
          </cell>
          <cell r="V204">
            <v>7935.8219123884173</v>
          </cell>
          <cell r="W204">
            <v>8069.2461187106628</v>
          </cell>
          <cell r="X204">
            <v>9953.6362057435472</v>
          </cell>
          <cell r="Y204">
            <v>9578.4057434272345</v>
          </cell>
          <cell r="Z204">
            <v>9953.6362057435472</v>
          </cell>
          <cell r="AA204">
            <v>9659.2933870183424</v>
          </cell>
          <cell r="AB204">
            <v>9659.2933870183424</v>
          </cell>
          <cell r="AC204">
            <v>9659.2852337222648</v>
          </cell>
          <cell r="AD204">
            <v>8244.0673503750313</v>
          </cell>
          <cell r="AE204">
            <v>10286.355543143176</v>
          </cell>
          <cell r="AF204">
            <v>9889.2800687182189</v>
          </cell>
        </row>
        <row r="205">
          <cell r="D205">
            <v>8750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</row>
        <row r="206">
          <cell r="D206">
            <v>8760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</row>
        <row r="207">
          <cell r="D207">
            <v>8770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</row>
        <row r="208">
          <cell r="D208">
            <v>8780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</row>
        <row r="209">
          <cell r="D209">
            <v>8790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</row>
        <row r="210">
          <cell r="D210">
            <v>8800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</row>
        <row r="211">
          <cell r="D211">
            <v>8810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</row>
        <row r="212">
          <cell r="D212">
            <v>8850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</row>
        <row r="213">
          <cell r="D213">
            <v>8860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</row>
        <row r="214">
          <cell r="D214">
            <v>8870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</row>
        <row r="215">
          <cell r="D215">
            <v>8890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</row>
        <row r="216">
          <cell r="D216">
            <v>8900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</row>
        <row r="217">
          <cell r="D217">
            <v>8910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</row>
        <row r="218">
          <cell r="D218">
            <v>8920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</row>
        <row r="219">
          <cell r="D219">
            <v>8930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0">
          <cell r="D220">
            <v>8940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</row>
        <row r="221">
          <cell r="D221">
            <v>8950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</row>
        <row r="222">
          <cell r="D222">
            <v>9010</v>
          </cell>
          <cell r="F222">
            <v>367825.37</v>
          </cell>
          <cell r="G222">
            <v>373216.01000000007</v>
          </cell>
          <cell r="H222">
            <v>380641.79000000004</v>
          </cell>
          <cell r="I222">
            <v>373085.68999999994</v>
          </cell>
          <cell r="J222">
            <v>347547.33</v>
          </cell>
          <cell r="K222">
            <v>431838.25999999989</v>
          </cell>
          <cell r="L222">
            <v>456880.34141682804</v>
          </cell>
          <cell r="M222">
            <v>435042.11148568196</v>
          </cell>
          <cell r="N222">
            <v>454782.08333512011</v>
          </cell>
          <cell r="O222">
            <v>441648.6578001781</v>
          </cell>
          <cell r="P222">
            <v>439050.94775564526</v>
          </cell>
          <cell r="Q222">
            <v>438879.12699799321</v>
          </cell>
          <cell r="R222">
            <v>387249.67389852396</v>
          </cell>
          <cell r="S222">
            <v>370380.86967850785</v>
          </cell>
          <cell r="T222">
            <v>411536.29428824451</v>
          </cell>
          <cell r="U222">
            <v>392610.0956739937</v>
          </cell>
          <cell r="V222">
            <v>366333.65992456558</v>
          </cell>
          <cell r="W222">
            <v>414082.36763616465</v>
          </cell>
          <cell r="X222">
            <v>470363.17899403116</v>
          </cell>
          <cell r="Y222">
            <v>447926.83534720552</v>
          </cell>
          <cell r="Z222">
            <v>468264.92091232323</v>
          </cell>
          <cell r="AA222">
            <v>454662.31578064861</v>
          </cell>
          <cell r="AB222">
            <v>452064.60573611577</v>
          </cell>
          <cell r="AC222">
            <v>451892.77198218886</v>
          </cell>
          <cell r="AD222">
            <v>398855.29311553546</v>
          </cell>
          <cell r="AE222">
            <v>381459.16294098046</v>
          </cell>
          <cell r="AF222">
            <v>423859.25106710929</v>
          </cell>
        </row>
        <row r="223">
          <cell r="D223">
            <v>9020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</row>
        <row r="224">
          <cell r="D224">
            <v>9030</v>
          </cell>
          <cell r="F224">
            <v>1825152.32</v>
          </cell>
          <cell r="G224">
            <v>1679301.4100000001</v>
          </cell>
          <cell r="H224">
            <v>1893104.77</v>
          </cell>
          <cell r="I224">
            <v>1769755.3099999998</v>
          </cell>
          <cell r="J224">
            <v>1674505.0199999996</v>
          </cell>
          <cell r="K224">
            <v>1859986.7499999995</v>
          </cell>
          <cell r="L224">
            <v>2137170.8263267516</v>
          </cell>
          <cell r="M224">
            <v>2006379.9594416935</v>
          </cell>
          <cell r="N224">
            <v>2097488.3104089545</v>
          </cell>
          <cell r="O224">
            <v>2065387.7389834442</v>
          </cell>
          <cell r="P224">
            <v>2026187.4170779991</v>
          </cell>
          <cell r="Q224">
            <v>2024983.1706443292</v>
          </cell>
          <cell r="R224">
            <v>1858704.1268697926</v>
          </cell>
          <cell r="S224">
            <v>1724152.0215100935</v>
          </cell>
          <cell r="T224">
            <v>1915969.0135297265</v>
          </cell>
          <cell r="U224">
            <v>1876219.0015756739</v>
          </cell>
          <cell r="V224">
            <v>1700961.5564471716</v>
          </cell>
          <cell r="W224">
            <v>1940305.6880675415</v>
          </cell>
          <cell r="X224">
            <v>2199494.8091337155</v>
          </cell>
          <cell r="Y224">
            <v>2065939.1808459344</v>
          </cell>
          <cell r="Z224">
            <v>2159812.2932159184</v>
          </cell>
          <cell r="AA224">
            <v>2125542.9542032648</v>
          </cell>
          <cell r="AB224">
            <v>2086342.6322978202</v>
          </cell>
          <cell r="AC224">
            <v>2085138.3257892882</v>
          </cell>
          <cell r="AD224">
            <v>1912350.7282178767</v>
          </cell>
          <cell r="AE224">
            <v>1775361.0756032947</v>
          </cell>
          <cell r="AF224">
            <v>1972931.4846727066</v>
          </cell>
        </row>
        <row r="225">
          <cell r="D225">
            <v>9040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</row>
        <row r="226">
          <cell r="D226">
            <v>9070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</row>
        <row r="227">
          <cell r="D227">
            <v>9080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</row>
        <row r="228">
          <cell r="D228">
            <v>9090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</row>
        <row r="229">
          <cell r="D229">
            <v>9100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</row>
        <row r="230">
          <cell r="D230">
            <v>9110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</row>
        <row r="231">
          <cell r="D231">
            <v>9120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</row>
        <row r="232">
          <cell r="D232">
            <v>9130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</row>
        <row r="233">
          <cell r="D233">
            <v>9160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</row>
        <row r="234">
          <cell r="D234">
            <v>9200</v>
          </cell>
          <cell r="F234">
            <v>270729.69</v>
          </cell>
          <cell r="G234">
            <v>253169.12000000002</v>
          </cell>
          <cell r="H234">
            <v>290399.91999999993</v>
          </cell>
          <cell r="I234">
            <v>344454.85000000003</v>
          </cell>
          <cell r="J234">
            <v>249039.50999999995</v>
          </cell>
          <cell r="K234">
            <v>300879.83</v>
          </cell>
          <cell r="L234">
            <v>338598.81823494891</v>
          </cell>
          <cell r="M234">
            <v>323578.1969347503</v>
          </cell>
          <cell r="N234">
            <v>338598.81823494891</v>
          </cell>
          <cell r="O234">
            <v>326816.16075769626</v>
          </cell>
          <cell r="P234">
            <v>326816.16075769626</v>
          </cell>
          <cell r="Q234">
            <v>326815.83437808411</v>
          </cell>
          <cell r="R234">
            <v>291455.63233730278</v>
          </cell>
          <cell r="S234">
            <v>278212.72675388452</v>
          </cell>
          <cell r="T234">
            <v>309470.36027037125</v>
          </cell>
          <cell r="U234">
            <v>295163.87517656403</v>
          </cell>
          <cell r="V234">
            <v>273890.73518406553</v>
          </cell>
          <cell r="W234">
            <v>311739.77787781204</v>
          </cell>
          <cell r="X234">
            <v>348756.78278199729</v>
          </cell>
          <cell r="Y234">
            <v>333285.54284279287</v>
          </cell>
          <cell r="Z234">
            <v>348756.78278199729</v>
          </cell>
          <cell r="AA234">
            <v>336620.64558042708</v>
          </cell>
          <cell r="AB234">
            <v>336620.64558042708</v>
          </cell>
          <cell r="AC234">
            <v>336620.3094094267</v>
          </cell>
          <cell r="AD234">
            <v>300199.30130742193</v>
          </cell>
          <cell r="AE234">
            <v>286559.10855650099</v>
          </cell>
          <cell r="AF234">
            <v>318754.4710784824</v>
          </cell>
        </row>
        <row r="235">
          <cell r="D235">
            <v>9210</v>
          </cell>
          <cell r="F235">
            <v>659502.9</v>
          </cell>
          <cell r="G235">
            <v>649344.78000000014</v>
          </cell>
          <cell r="H235">
            <v>648815.22</v>
          </cell>
          <cell r="I235">
            <v>666149.92000000004</v>
          </cell>
          <cell r="J235">
            <v>719356.57</v>
          </cell>
          <cell r="K235">
            <v>720359.04000000015</v>
          </cell>
          <cell r="L235">
            <v>208930.2136277417</v>
          </cell>
          <cell r="M235">
            <v>175445.48509584501</v>
          </cell>
          <cell r="N235">
            <v>190749.5601261991</v>
          </cell>
          <cell r="O235">
            <v>207776.55482664966</v>
          </cell>
          <cell r="P235">
            <v>185986.46078597062</v>
          </cell>
          <cell r="Q235">
            <v>178664.74735281381</v>
          </cell>
          <cell r="R235">
            <v>677498.8018131787</v>
          </cell>
          <cell r="S235">
            <v>662205.35764260951</v>
          </cell>
          <cell r="T235">
            <v>640733.36195854656</v>
          </cell>
          <cell r="U235">
            <v>684858.88360492943</v>
          </cell>
          <cell r="V235">
            <v>688915.69087941456</v>
          </cell>
          <cell r="W235">
            <v>709316.33410132083</v>
          </cell>
          <cell r="X235">
            <v>208930.2136277417</v>
          </cell>
          <cell r="Y235">
            <v>175445.48509584501</v>
          </cell>
          <cell r="Z235">
            <v>190749.5601261991</v>
          </cell>
          <cell r="AA235">
            <v>207776.55482664966</v>
          </cell>
          <cell r="AB235">
            <v>185986.46078597062</v>
          </cell>
          <cell r="AC235">
            <v>178664.74735281381</v>
          </cell>
          <cell r="AD235">
            <v>677498.8018131787</v>
          </cell>
          <cell r="AE235">
            <v>662205.35764260951</v>
          </cell>
          <cell r="AF235">
            <v>640733.36195854656</v>
          </cell>
        </row>
        <row r="236">
          <cell r="D236">
            <v>9220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</row>
        <row r="237">
          <cell r="D237">
            <v>9230</v>
          </cell>
          <cell r="F237">
            <v>78414.450000000012</v>
          </cell>
          <cell r="G237">
            <v>49788.66</v>
          </cell>
          <cell r="H237">
            <v>34290.61</v>
          </cell>
          <cell r="I237">
            <v>95902.25</v>
          </cell>
          <cell r="J237">
            <v>72232.570000000007</v>
          </cell>
          <cell r="K237">
            <v>97684.86</v>
          </cell>
          <cell r="L237">
            <v>81879.238881814061</v>
          </cell>
          <cell r="M237">
            <v>35861.245558563547</v>
          </cell>
          <cell r="N237">
            <v>64467.025191935492</v>
          </cell>
          <cell r="O237">
            <v>76508.588555390481</v>
          </cell>
          <cell r="P237">
            <v>58135.311122888736</v>
          </cell>
          <cell r="Q237">
            <v>49650.814270366085</v>
          </cell>
          <cell r="R237">
            <v>69115.034730332321</v>
          </cell>
          <cell r="S237">
            <v>53331.303979115764</v>
          </cell>
          <cell r="T237">
            <v>32242.823607638926</v>
          </cell>
          <cell r="U237">
            <v>79428.763777402564</v>
          </cell>
          <cell r="V237">
            <v>102774.33626832673</v>
          </cell>
          <cell r="W237">
            <v>91421.137637183652</v>
          </cell>
          <cell r="X237">
            <v>81879.238881814061</v>
          </cell>
          <cell r="Y237">
            <v>35861.245558563547</v>
          </cell>
          <cell r="Z237">
            <v>64467.025191935492</v>
          </cell>
          <cell r="AA237">
            <v>76508.588555390481</v>
          </cell>
          <cell r="AB237">
            <v>58135.311122888736</v>
          </cell>
          <cell r="AC237">
            <v>49650.814270366085</v>
          </cell>
          <cell r="AD237">
            <v>69115.034730332321</v>
          </cell>
          <cell r="AE237">
            <v>53331.303979115764</v>
          </cell>
          <cell r="AF237">
            <v>32242.823607638926</v>
          </cell>
        </row>
        <row r="238">
          <cell r="D238">
            <v>9240</v>
          </cell>
          <cell r="F238">
            <v>6576.15</v>
          </cell>
          <cell r="G238">
            <v>6576.15</v>
          </cell>
          <cell r="H238">
            <v>6576.15</v>
          </cell>
          <cell r="I238">
            <v>6576.15</v>
          </cell>
          <cell r="J238">
            <v>6576.15</v>
          </cell>
          <cell r="K238">
            <v>6666.03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6562.6323268229899</v>
          </cell>
          <cell r="S238">
            <v>6562.6323268229899</v>
          </cell>
          <cell r="T238">
            <v>6562.6323268229899</v>
          </cell>
          <cell r="U238">
            <v>6645.1732393260136</v>
          </cell>
          <cell r="V238">
            <v>6562.6323268229899</v>
          </cell>
          <cell r="W238">
            <v>6651.0774533820231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6562.6323268229899</v>
          </cell>
          <cell r="AE238">
            <v>6562.6323268229899</v>
          </cell>
          <cell r="AF238">
            <v>6562.6323268229899</v>
          </cell>
        </row>
        <row r="239">
          <cell r="D239">
            <v>9250</v>
          </cell>
          <cell r="F239">
            <v>92.95</v>
          </cell>
          <cell r="G239">
            <v>92.95</v>
          </cell>
          <cell r="H239">
            <v>92.95</v>
          </cell>
          <cell r="I239">
            <v>176.83</v>
          </cell>
          <cell r="J239">
            <v>92.95</v>
          </cell>
          <cell r="K239">
            <v>92.95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106.46767317700947</v>
          </cell>
          <cell r="S239">
            <v>106.46767317700947</v>
          </cell>
          <cell r="T239">
            <v>106.46767317700947</v>
          </cell>
          <cell r="U239">
            <v>107.8067606739862</v>
          </cell>
          <cell r="V239">
            <v>106.46767317700947</v>
          </cell>
          <cell r="W239">
            <v>107.90254661797596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106.46767317700947</v>
          </cell>
          <cell r="AE239">
            <v>106.46767317700947</v>
          </cell>
          <cell r="AF239">
            <v>106.46767317700947</v>
          </cell>
        </row>
        <row r="240">
          <cell r="D240">
            <v>9260</v>
          </cell>
          <cell r="F240">
            <v>847167.98999999987</v>
          </cell>
          <cell r="G240">
            <v>857813.24</v>
          </cell>
          <cell r="H240">
            <v>907833.74</v>
          </cell>
          <cell r="I240">
            <v>837584.6100000001</v>
          </cell>
          <cell r="J240">
            <v>790921.69</v>
          </cell>
          <cell r="K240">
            <v>908983.74</v>
          </cell>
          <cell r="L240">
            <v>999638.79235812812</v>
          </cell>
          <cell r="M240">
            <v>1016720.8175486103</v>
          </cell>
          <cell r="N240">
            <v>1003272.7292551731</v>
          </cell>
          <cell r="O240">
            <v>970075.55195723369</v>
          </cell>
          <cell r="P240">
            <v>970075.55195723369</v>
          </cell>
          <cell r="Q240">
            <v>972764.65614174202</v>
          </cell>
          <cell r="R240">
            <v>867031.70930191176</v>
          </cell>
          <cell r="S240">
            <v>872369.69038791582</v>
          </cell>
          <cell r="T240">
            <v>940727.67736614193</v>
          </cell>
          <cell r="U240">
            <v>878696.15860867989</v>
          </cell>
          <cell r="V240">
            <v>810966.01924847031</v>
          </cell>
          <cell r="W240">
            <v>929715.04591738502</v>
          </cell>
          <cell r="X240">
            <v>1045558.2246691174</v>
          </cell>
          <cell r="Y240">
            <v>1060603.1718007484</v>
          </cell>
          <cell r="Z240">
            <v>1049192.1615661625</v>
          </cell>
          <cell r="AA240">
            <v>1014397.0680729547</v>
          </cell>
          <cell r="AB240">
            <v>1014397.0680729547</v>
          </cell>
          <cell r="AC240">
            <v>1017086.1239622646</v>
          </cell>
          <cell r="AD240">
            <v>892476.76363256783</v>
          </cell>
          <cell r="AE240">
            <v>896658.59464055276</v>
          </cell>
          <cell r="AF240">
            <v>967745.47787203174</v>
          </cell>
        </row>
        <row r="241">
          <cell r="D241">
            <v>9270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</row>
        <row r="242">
          <cell r="D242">
            <v>9280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</row>
        <row r="243">
          <cell r="D243">
            <v>9290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</row>
        <row r="244">
          <cell r="D244">
            <v>9301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</row>
        <row r="245">
          <cell r="D245">
            <v>9302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</row>
        <row r="246">
          <cell r="D246">
            <v>9310</v>
          </cell>
          <cell r="F246">
            <v>100626.1</v>
          </cell>
          <cell r="G246">
            <v>99559.650000000009</v>
          </cell>
          <cell r="H246">
            <v>100784.92</v>
          </cell>
          <cell r="I246">
            <v>99911.650000000009</v>
          </cell>
          <cell r="J246">
            <v>100746.33</v>
          </cell>
          <cell r="K246">
            <v>91362.880000000005</v>
          </cell>
          <cell r="L246">
            <v>95882.460777098371</v>
          </cell>
          <cell r="M246">
            <v>95868.031512873058</v>
          </cell>
          <cell r="N246">
            <v>95868.031512873058</v>
          </cell>
          <cell r="O246">
            <v>95940.177833999551</v>
          </cell>
          <cell r="P246">
            <v>95868.031512873058</v>
          </cell>
          <cell r="Q246">
            <v>95868.031512873058</v>
          </cell>
          <cell r="R246">
            <v>93821.759836026802</v>
          </cell>
          <cell r="S246">
            <v>93965.14054878075</v>
          </cell>
          <cell r="T246">
            <v>100010.65018513304</v>
          </cell>
          <cell r="U246">
            <v>97711.092975781605</v>
          </cell>
          <cell r="V246">
            <v>97416.210760367787</v>
          </cell>
          <cell r="W246">
            <v>110066.67569390996</v>
          </cell>
          <cell r="X246">
            <v>95882.460777098371</v>
          </cell>
          <cell r="Y246">
            <v>95868.031512873058</v>
          </cell>
          <cell r="Z246">
            <v>95868.031512873058</v>
          </cell>
          <cell r="AA246">
            <v>95940.177833999551</v>
          </cell>
          <cell r="AB246">
            <v>95868.031512873058</v>
          </cell>
          <cell r="AC246">
            <v>95868.031512873058</v>
          </cell>
          <cell r="AD246">
            <v>93821.759836026802</v>
          </cell>
          <cell r="AE246">
            <v>93965.14054878075</v>
          </cell>
          <cell r="AF246">
            <v>100010.65018513304</v>
          </cell>
        </row>
        <row r="247">
          <cell r="D247">
            <v>9320</v>
          </cell>
          <cell r="F247">
            <v>0</v>
          </cell>
          <cell r="G247">
            <v>584.51</v>
          </cell>
          <cell r="H247">
            <v>163.69</v>
          </cell>
          <cell r="I247">
            <v>0</v>
          </cell>
          <cell r="J247">
            <v>381.69</v>
          </cell>
          <cell r="K247">
            <v>665</v>
          </cell>
          <cell r="L247">
            <v>2.2444379693866385</v>
          </cell>
          <cell r="M247">
            <v>1.4543538660489996</v>
          </cell>
          <cell r="N247">
            <v>1.4543538660489996</v>
          </cell>
          <cell r="O247">
            <v>2.2444379693866385</v>
          </cell>
          <cell r="P247">
            <v>1.4543538660489996</v>
          </cell>
          <cell r="Q247">
            <v>1.4483627069715579</v>
          </cell>
          <cell r="R247">
            <v>294.89966293250495</v>
          </cell>
          <cell r="S247">
            <v>299.22036703597445</v>
          </cell>
          <cell r="T247">
            <v>301.58912155621795</v>
          </cell>
          <cell r="U247">
            <v>298.58746099103342</v>
          </cell>
          <cell r="V247">
            <v>302.34400759997567</v>
          </cell>
          <cell r="W247">
            <v>298.24937988429343</v>
          </cell>
          <cell r="X247">
            <v>2.2444379693866385</v>
          </cell>
          <cell r="Y247">
            <v>1.4543538660489996</v>
          </cell>
          <cell r="Z247">
            <v>1.4543538660489996</v>
          </cell>
          <cell r="AA247">
            <v>2.2444379693866385</v>
          </cell>
          <cell r="AB247">
            <v>1.4543538660489996</v>
          </cell>
          <cell r="AC247">
            <v>1.4483627069715579</v>
          </cell>
          <cell r="AD247">
            <v>294.89966293250495</v>
          </cell>
          <cell r="AE247">
            <v>299.22036703597445</v>
          </cell>
          <cell r="AF247">
            <v>301.58912155621795</v>
          </cell>
        </row>
      </sheetData>
      <sheetData sheetId="4">
        <row r="10">
          <cell r="C10" t="str">
            <v>8870</v>
          </cell>
          <cell r="AL10">
            <v>272.07401020160887</v>
          </cell>
        </row>
        <row r="11">
          <cell r="C11" t="str">
            <v>8890</v>
          </cell>
          <cell r="AL11">
            <v>0</v>
          </cell>
        </row>
        <row r="12">
          <cell r="C12" t="str">
            <v>8900</v>
          </cell>
          <cell r="AL12">
            <v>0</v>
          </cell>
        </row>
        <row r="13">
          <cell r="C13" t="str">
            <v>8910</v>
          </cell>
          <cell r="AL13">
            <v>78.934893905687659</v>
          </cell>
        </row>
        <row r="14">
          <cell r="C14" t="str">
            <v>8920</v>
          </cell>
          <cell r="AL14">
            <v>41.775850650162965</v>
          </cell>
        </row>
        <row r="15">
          <cell r="C15" t="str">
            <v>9020</v>
          </cell>
          <cell r="AL15">
            <v>22669.007163485279</v>
          </cell>
        </row>
        <row r="16">
          <cell r="C16" t="str">
            <v>9030</v>
          </cell>
          <cell r="AL16">
            <v>4750.8961326852732</v>
          </cell>
        </row>
        <row r="17">
          <cell r="C17" t="str">
            <v>9090</v>
          </cell>
          <cell r="AL17">
            <v>4597.0632440429617</v>
          </cell>
        </row>
        <row r="18">
          <cell r="C18" t="str">
            <v>9110</v>
          </cell>
          <cell r="AL18">
            <v>4152.696334395092</v>
          </cell>
        </row>
        <row r="19">
          <cell r="C19" t="str">
            <v>9200</v>
          </cell>
          <cell r="AL19">
            <v>6666.7773573904415</v>
          </cell>
        </row>
        <row r="20">
          <cell r="C20" t="str">
            <v>8160</v>
          </cell>
          <cell r="AL20">
            <v>914.37250038843194</v>
          </cell>
        </row>
        <row r="21">
          <cell r="C21" t="str">
            <v>8170</v>
          </cell>
          <cell r="AL21">
            <v>938.01158091915568</v>
          </cell>
        </row>
        <row r="22">
          <cell r="C22" t="str">
            <v>8180</v>
          </cell>
          <cell r="AL22">
            <v>1329.6581755492589</v>
          </cell>
        </row>
        <row r="23">
          <cell r="C23" t="str">
            <v>8200</v>
          </cell>
          <cell r="AL23">
            <v>94.739197745846468</v>
          </cell>
        </row>
        <row r="24">
          <cell r="C24" t="str">
            <v>8210</v>
          </cell>
          <cell r="AL24">
            <v>1298.1971517050406</v>
          </cell>
        </row>
        <row r="25">
          <cell r="C25" t="str">
            <v>8340</v>
          </cell>
          <cell r="AL25">
            <v>0</v>
          </cell>
        </row>
        <row r="26">
          <cell r="C26" t="str">
            <v>8410</v>
          </cell>
          <cell r="AL26">
            <v>8174.8266927440418</v>
          </cell>
        </row>
        <row r="27">
          <cell r="C27" t="str">
            <v>8560</v>
          </cell>
          <cell r="AL27">
            <v>5285.448797483521</v>
          </cell>
        </row>
        <row r="28">
          <cell r="C28" t="str">
            <v>8570</v>
          </cell>
          <cell r="AL28">
            <v>53.806339550819757</v>
          </cell>
        </row>
        <row r="29">
          <cell r="C29" t="str">
            <v>8630</v>
          </cell>
          <cell r="AL29">
            <v>148.91690314512198</v>
          </cell>
        </row>
        <row r="30">
          <cell r="C30" t="str">
            <v>8700</v>
          </cell>
          <cell r="AL30">
            <v>18760.229212124716</v>
          </cell>
        </row>
        <row r="31">
          <cell r="C31" t="str">
            <v>8740</v>
          </cell>
          <cell r="AL31">
            <v>69135.762721129227</v>
          </cell>
        </row>
        <row r="32">
          <cell r="C32" t="str">
            <v>8750</v>
          </cell>
          <cell r="AL32">
            <v>11702.918555563549</v>
          </cell>
        </row>
        <row r="33">
          <cell r="C33" t="str">
            <v>8760</v>
          </cell>
          <cell r="AL33">
            <v>803.62687311385162</v>
          </cell>
        </row>
        <row r="34">
          <cell r="C34" t="str">
            <v>8780</v>
          </cell>
          <cell r="AL34">
            <v>37600.72157268005</v>
          </cell>
        </row>
        <row r="35">
          <cell r="C35" t="str">
            <v>8700</v>
          </cell>
          <cell r="AL35">
            <v>298896.72833835799</v>
          </cell>
        </row>
        <row r="36">
          <cell r="C36" t="str">
            <v>8700</v>
          </cell>
          <cell r="AL36">
            <v>-301515.85937547684</v>
          </cell>
        </row>
        <row r="37">
          <cell r="C37" t="str">
            <v>8800</v>
          </cell>
          <cell r="AL37">
            <v>0</v>
          </cell>
        </row>
        <row r="38">
          <cell r="C38" t="str">
            <v>8560</v>
          </cell>
          <cell r="AL38">
            <v>0</v>
          </cell>
        </row>
        <row r="39">
          <cell r="C39" t="str">
            <v>8700</v>
          </cell>
          <cell r="AL39">
            <v>0</v>
          </cell>
        </row>
        <row r="40">
          <cell r="C40" t="str">
            <v>8740</v>
          </cell>
          <cell r="AL40">
            <v>1636.362251640996</v>
          </cell>
        </row>
        <row r="41">
          <cell r="C41" t="str">
            <v>8750</v>
          </cell>
          <cell r="AL41">
            <v>109.44063324555555</v>
          </cell>
        </row>
        <row r="42">
          <cell r="C42" t="str">
            <v>8760</v>
          </cell>
          <cell r="AL42">
            <v>111.05683666810455</v>
          </cell>
        </row>
        <row r="43">
          <cell r="C43" t="str">
            <v>8780</v>
          </cell>
          <cell r="AL43">
            <v>-557.96315080023305</v>
          </cell>
        </row>
        <row r="44">
          <cell r="C44" t="str">
            <v>8870</v>
          </cell>
          <cell r="AL44">
            <v>-63.942301164100172</v>
          </cell>
        </row>
        <row r="45">
          <cell r="C45" t="str">
            <v>8890</v>
          </cell>
          <cell r="AL45">
            <v>0</v>
          </cell>
        </row>
        <row r="46">
          <cell r="C46" t="str">
            <v>8900</v>
          </cell>
          <cell r="AL46">
            <v>0</v>
          </cell>
        </row>
        <row r="47">
          <cell r="C47" t="str">
            <v>8910</v>
          </cell>
          <cell r="AL47">
            <v>-1.0892328773312627</v>
          </cell>
        </row>
        <row r="48">
          <cell r="C48" t="str">
            <v>8920</v>
          </cell>
          <cell r="AL48">
            <v>2.4271124350547666</v>
          </cell>
        </row>
        <row r="49">
          <cell r="C49" t="str">
            <v>9020</v>
          </cell>
          <cell r="AL49">
            <v>-13.710859208468889</v>
          </cell>
        </row>
        <row r="50">
          <cell r="C50" t="str">
            <v>9030</v>
          </cell>
          <cell r="AL50">
            <v>-5.9963954277824598</v>
          </cell>
        </row>
        <row r="51">
          <cell r="C51" t="str">
            <v>9090</v>
          </cell>
          <cell r="AL51">
            <v>8.2550697890230822</v>
          </cell>
        </row>
        <row r="52">
          <cell r="C52" t="str">
            <v>9110</v>
          </cell>
          <cell r="AL52">
            <v>5.3876121038542237</v>
          </cell>
        </row>
        <row r="53">
          <cell r="C53" t="str">
            <v>9200</v>
          </cell>
          <cell r="AL53">
            <v>58.684627002902516</v>
          </cell>
        </row>
        <row r="54">
          <cell r="C54" t="str">
            <v>8160</v>
          </cell>
          <cell r="AL54">
            <v>11.790665166987822</v>
          </cell>
        </row>
        <row r="55">
          <cell r="C55" t="str">
            <v>8170</v>
          </cell>
          <cell r="AL55">
            <v>62.161670098065542</v>
          </cell>
        </row>
        <row r="56">
          <cell r="C56" t="str">
            <v>8180</v>
          </cell>
          <cell r="AL56">
            <v>41.295401096759861</v>
          </cell>
        </row>
        <row r="57">
          <cell r="C57" t="str">
            <v>8200</v>
          </cell>
          <cell r="AL57">
            <v>-2.8421709430404007E-14</v>
          </cell>
        </row>
        <row r="58">
          <cell r="C58" t="str">
            <v>8210</v>
          </cell>
          <cell r="AL58">
            <v>37.534419534310587</v>
          </cell>
        </row>
        <row r="59">
          <cell r="C59" t="str">
            <v>8340</v>
          </cell>
          <cell r="AL59">
            <v>0</v>
          </cell>
        </row>
        <row r="60">
          <cell r="C60" t="str">
            <v>8410</v>
          </cell>
          <cell r="AL60">
            <v>-129.58181644339402</v>
          </cell>
        </row>
        <row r="61">
          <cell r="C61" t="str">
            <v>8560</v>
          </cell>
          <cell r="AL61">
            <v>-383.25998272630022</v>
          </cell>
        </row>
        <row r="62">
          <cell r="C62" t="str">
            <v>8570</v>
          </cell>
          <cell r="AL62">
            <v>0</v>
          </cell>
        </row>
        <row r="63">
          <cell r="C63" t="str">
            <v>8630</v>
          </cell>
          <cell r="AL63">
            <v>9.118662839926905E-15</v>
          </cell>
        </row>
        <row r="64">
          <cell r="C64" t="str">
            <v>8700</v>
          </cell>
          <cell r="AL64">
            <v>-314.42656073306716</v>
          </cell>
        </row>
        <row r="65">
          <cell r="C65" t="str">
            <v>8700</v>
          </cell>
          <cell r="AL65">
            <v>192273.4191905167</v>
          </cell>
        </row>
        <row r="66">
          <cell r="C66" t="str">
            <v>8700</v>
          </cell>
          <cell r="AL66">
            <v>-189654.28815340158</v>
          </cell>
        </row>
        <row r="67">
          <cell r="C67" t="str">
            <v>8560</v>
          </cell>
          <cell r="AL67">
            <v>0</v>
          </cell>
        </row>
        <row r="68">
          <cell r="C68" t="str">
            <v>8700</v>
          </cell>
          <cell r="AL68">
            <v>0</v>
          </cell>
        </row>
        <row r="69">
          <cell r="C69" t="str">
            <v>8560</v>
          </cell>
          <cell r="AL69">
            <v>0</v>
          </cell>
        </row>
        <row r="72">
          <cell r="C72" t="str">
            <v>9260</v>
          </cell>
          <cell r="AL72">
            <v>-19043.396293622907</v>
          </cell>
        </row>
        <row r="73">
          <cell r="C73" t="str">
            <v>9260</v>
          </cell>
          <cell r="AL73">
            <v>-17070.731332927244</v>
          </cell>
        </row>
        <row r="74">
          <cell r="C74" t="str">
            <v>9260</v>
          </cell>
          <cell r="AL74">
            <v>-73542.541711029829</v>
          </cell>
        </row>
        <row r="75">
          <cell r="C75" t="str">
            <v>9260</v>
          </cell>
          <cell r="AL75">
            <v>0</v>
          </cell>
        </row>
        <row r="76">
          <cell r="C76" t="str">
            <v>9260</v>
          </cell>
          <cell r="AL76">
            <v>-14741.884904808743</v>
          </cell>
        </row>
        <row r="77">
          <cell r="C77" t="str">
            <v>9260</v>
          </cell>
          <cell r="AL77">
            <v>0</v>
          </cell>
        </row>
        <row r="78">
          <cell r="C78" t="str">
            <v>9260</v>
          </cell>
          <cell r="AL78">
            <v>-3658.9186286942349</v>
          </cell>
        </row>
        <row r="79">
          <cell r="C79" t="str">
            <v>9260</v>
          </cell>
          <cell r="AL79">
            <v>0</v>
          </cell>
        </row>
        <row r="80">
          <cell r="C80" t="str">
            <v>9260</v>
          </cell>
          <cell r="AL80">
            <v>-722.07000149359737</v>
          </cell>
        </row>
        <row r="81">
          <cell r="C81" t="str">
            <v>9260</v>
          </cell>
          <cell r="AL81">
            <v>0</v>
          </cell>
        </row>
        <row r="82">
          <cell r="C82" t="str">
            <v>9260</v>
          </cell>
          <cell r="AL82">
            <v>-2527.2732276518655</v>
          </cell>
        </row>
        <row r="83">
          <cell r="C83" t="str">
            <v>9260</v>
          </cell>
          <cell r="AL83">
            <v>0</v>
          </cell>
        </row>
        <row r="84">
          <cell r="C84" t="str">
            <v>9260</v>
          </cell>
          <cell r="AL84">
            <v>0</v>
          </cell>
        </row>
        <row r="85">
          <cell r="C85" t="str">
            <v>9260</v>
          </cell>
          <cell r="AL85">
            <v>0</v>
          </cell>
        </row>
        <row r="86">
          <cell r="C86" t="str">
            <v>9250</v>
          </cell>
          <cell r="AL86">
            <v>0</v>
          </cell>
        </row>
        <row r="87">
          <cell r="C87" t="str">
            <v>9260</v>
          </cell>
          <cell r="AL87">
            <v>20340.103799487115</v>
          </cell>
        </row>
        <row r="88">
          <cell r="C88" t="str">
            <v>9260</v>
          </cell>
          <cell r="AL88">
            <v>0</v>
          </cell>
        </row>
        <row r="89">
          <cell r="C89" t="str">
            <v>9260</v>
          </cell>
          <cell r="AL89">
            <v>965.09402060095636</v>
          </cell>
        </row>
        <row r="90">
          <cell r="C90" t="str">
            <v>9260</v>
          </cell>
          <cell r="AL90">
            <v>0</v>
          </cell>
        </row>
        <row r="93">
          <cell r="C93" t="str">
            <v>9260</v>
          </cell>
          <cell r="AN93">
            <v>0</v>
          </cell>
        </row>
        <row r="94">
          <cell r="C94" t="str">
            <v>9250</v>
          </cell>
          <cell r="AN94">
            <v>0</v>
          </cell>
        </row>
        <row r="95">
          <cell r="C95" t="str">
            <v>8890</v>
          </cell>
          <cell r="AN95">
            <v>0</v>
          </cell>
        </row>
        <row r="96">
          <cell r="C96" t="str">
            <v>9020</v>
          </cell>
          <cell r="AN96">
            <v>0</v>
          </cell>
        </row>
        <row r="97">
          <cell r="C97" t="str">
            <v>9030</v>
          </cell>
          <cell r="AN97">
            <v>0</v>
          </cell>
        </row>
        <row r="98">
          <cell r="C98" t="str">
            <v>8700</v>
          </cell>
          <cell r="AN98">
            <v>0</v>
          </cell>
        </row>
        <row r="99">
          <cell r="C99" t="str">
            <v>8740</v>
          </cell>
          <cell r="AN99">
            <v>0</v>
          </cell>
        </row>
        <row r="100">
          <cell r="C100" t="str">
            <v>8750</v>
          </cell>
          <cell r="AN100">
            <v>0</v>
          </cell>
        </row>
        <row r="101">
          <cell r="C101" t="str">
            <v>8780</v>
          </cell>
          <cell r="AN101">
            <v>0</v>
          </cell>
        </row>
        <row r="102">
          <cell r="C102" t="str">
            <v>8560</v>
          </cell>
          <cell r="AN102">
            <v>0</v>
          </cell>
        </row>
        <row r="103">
          <cell r="C103" t="str">
            <v>9260</v>
          </cell>
          <cell r="AN103">
            <v>0</v>
          </cell>
        </row>
        <row r="104">
          <cell r="C104" t="str">
            <v>9250</v>
          </cell>
          <cell r="AN104">
            <v>0</v>
          </cell>
        </row>
        <row r="105">
          <cell r="C105" t="str">
            <v>8890</v>
          </cell>
          <cell r="AN105">
            <v>0</v>
          </cell>
        </row>
        <row r="106">
          <cell r="C106" t="str">
            <v>9020</v>
          </cell>
          <cell r="AN106">
            <v>0</v>
          </cell>
        </row>
        <row r="107">
          <cell r="C107" t="str">
            <v>9030</v>
          </cell>
          <cell r="AN107">
            <v>0</v>
          </cell>
        </row>
        <row r="108">
          <cell r="C108" t="str">
            <v>8700</v>
          </cell>
          <cell r="AN108">
            <v>0</v>
          </cell>
        </row>
        <row r="109">
          <cell r="C109" t="str">
            <v>8740</v>
          </cell>
          <cell r="AN109">
            <v>0</v>
          </cell>
        </row>
        <row r="110">
          <cell r="C110" t="str">
            <v>8750</v>
          </cell>
          <cell r="AN110">
            <v>0</v>
          </cell>
        </row>
        <row r="111">
          <cell r="C111" t="str">
            <v>8780</v>
          </cell>
          <cell r="AN111">
            <v>0</v>
          </cell>
        </row>
        <row r="112">
          <cell r="C112" t="str">
            <v>8560</v>
          </cell>
          <cell r="AN112">
            <v>0</v>
          </cell>
        </row>
        <row r="113">
          <cell r="C113" t="str">
            <v>8740</v>
          </cell>
          <cell r="AN113">
            <v>0</v>
          </cell>
        </row>
        <row r="114">
          <cell r="C114" t="str">
            <v>9260</v>
          </cell>
          <cell r="AN114">
            <v>0</v>
          </cell>
        </row>
        <row r="115">
          <cell r="C115" t="str">
            <v>9260</v>
          </cell>
          <cell r="AN115">
            <v>0</v>
          </cell>
        </row>
        <row r="116">
          <cell r="C116" t="str">
            <v>9260</v>
          </cell>
          <cell r="AN116">
            <v>0</v>
          </cell>
        </row>
        <row r="117">
          <cell r="C117" t="str">
            <v>9030</v>
          </cell>
          <cell r="AN117">
            <v>0</v>
          </cell>
        </row>
        <row r="118">
          <cell r="C118" t="str">
            <v>9100</v>
          </cell>
          <cell r="AN118">
            <v>0</v>
          </cell>
        </row>
        <row r="119">
          <cell r="C119" t="str">
            <v>9110</v>
          </cell>
          <cell r="AN119">
            <v>0</v>
          </cell>
        </row>
        <row r="120">
          <cell r="C120" t="str">
            <v>9210</v>
          </cell>
          <cell r="AN120">
            <v>0</v>
          </cell>
        </row>
        <row r="121">
          <cell r="C121" t="str">
            <v>9250</v>
          </cell>
          <cell r="AN121">
            <v>0</v>
          </cell>
        </row>
        <row r="122">
          <cell r="C122" t="str">
            <v>9260</v>
          </cell>
          <cell r="AN122">
            <v>0</v>
          </cell>
        </row>
        <row r="123">
          <cell r="C123" t="str">
            <v>8260</v>
          </cell>
          <cell r="AN123">
            <v>0</v>
          </cell>
        </row>
        <row r="124">
          <cell r="C124" t="str">
            <v>8410</v>
          </cell>
          <cell r="AN124">
            <v>0</v>
          </cell>
        </row>
        <row r="125">
          <cell r="C125" t="str">
            <v>8560</v>
          </cell>
          <cell r="AN125">
            <v>0</v>
          </cell>
        </row>
        <row r="126">
          <cell r="C126" t="str">
            <v>8700</v>
          </cell>
          <cell r="AN126">
            <v>0</v>
          </cell>
        </row>
        <row r="127">
          <cell r="C127" t="str">
            <v>8740</v>
          </cell>
          <cell r="AN127">
            <v>0</v>
          </cell>
        </row>
        <row r="128">
          <cell r="C128" t="str">
            <v>8750</v>
          </cell>
          <cell r="AN128">
            <v>0</v>
          </cell>
        </row>
        <row r="129">
          <cell r="C129" t="str">
            <v>8780</v>
          </cell>
          <cell r="AN129">
            <v>0</v>
          </cell>
        </row>
        <row r="130">
          <cell r="C130" t="str">
            <v>8800</v>
          </cell>
          <cell r="AN130">
            <v>0</v>
          </cell>
        </row>
        <row r="133">
          <cell r="C133" t="str">
            <v>9240</v>
          </cell>
          <cell r="AN133">
            <v>0</v>
          </cell>
        </row>
        <row r="134">
          <cell r="C134" t="str">
            <v>9210</v>
          </cell>
          <cell r="AN134">
            <v>0</v>
          </cell>
        </row>
        <row r="135">
          <cell r="C135" t="str">
            <v>9250</v>
          </cell>
          <cell r="AN135">
            <v>0</v>
          </cell>
        </row>
        <row r="136">
          <cell r="C136" t="str">
            <v>9240</v>
          </cell>
          <cell r="AN136">
            <v>0</v>
          </cell>
        </row>
        <row r="137">
          <cell r="C137" t="str">
            <v>8700</v>
          </cell>
          <cell r="AN137">
            <v>0</v>
          </cell>
        </row>
        <row r="138">
          <cell r="C138" t="str">
            <v>8740</v>
          </cell>
          <cell r="AN138">
            <v>0</v>
          </cell>
        </row>
        <row r="139">
          <cell r="C139" t="str">
            <v>8750</v>
          </cell>
          <cell r="AN139">
            <v>0</v>
          </cell>
        </row>
        <row r="140">
          <cell r="C140" t="str">
            <v>8800</v>
          </cell>
          <cell r="AN140">
            <v>0</v>
          </cell>
        </row>
        <row r="141">
          <cell r="C141" t="str">
            <v>8810</v>
          </cell>
          <cell r="AN141">
            <v>0</v>
          </cell>
        </row>
        <row r="142">
          <cell r="C142" t="str">
            <v>9250</v>
          </cell>
          <cell r="AN142">
            <v>0</v>
          </cell>
        </row>
        <row r="145">
          <cell r="C145" t="str">
            <v>8810</v>
          </cell>
          <cell r="AM145">
            <v>0</v>
          </cell>
        </row>
        <row r="146">
          <cell r="C146" t="str">
            <v>8810</v>
          </cell>
          <cell r="AM146">
            <v>0</v>
          </cell>
        </row>
        <row r="147">
          <cell r="C147" t="str">
            <v>9020</v>
          </cell>
          <cell r="AM147">
            <v>0</v>
          </cell>
        </row>
        <row r="148">
          <cell r="C148" t="str">
            <v>8700</v>
          </cell>
          <cell r="AM148">
            <v>0</v>
          </cell>
        </row>
        <row r="149">
          <cell r="C149" t="str">
            <v>8810</v>
          </cell>
          <cell r="AM149">
            <v>0</v>
          </cell>
        </row>
        <row r="150">
          <cell r="C150" t="str">
            <v>8250</v>
          </cell>
          <cell r="AM150">
            <v>0</v>
          </cell>
        </row>
        <row r="151">
          <cell r="C151" t="str">
            <v>8810</v>
          </cell>
          <cell r="AM151">
            <v>0</v>
          </cell>
        </row>
        <row r="152">
          <cell r="C152" t="str">
            <v>8770</v>
          </cell>
          <cell r="AM152">
            <v>0</v>
          </cell>
        </row>
        <row r="153">
          <cell r="C153" t="str">
            <v>8250</v>
          </cell>
          <cell r="AM153">
            <v>0</v>
          </cell>
        </row>
        <row r="154">
          <cell r="C154" t="str">
            <v>9310</v>
          </cell>
          <cell r="AM154">
            <v>0</v>
          </cell>
        </row>
        <row r="155">
          <cell r="C155" t="str">
            <v>8810</v>
          </cell>
          <cell r="AM155">
            <v>0</v>
          </cell>
        </row>
        <row r="156">
          <cell r="C156" t="str">
            <v>8770</v>
          </cell>
          <cell r="AM156">
            <v>0</v>
          </cell>
        </row>
        <row r="157">
          <cell r="C157" t="str">
            <v>9320</v>
          </cell>
          <cell r="AM157">
            <v>0</v>
          </cell>
        </row>
        <row r="158">
          <cell r="C158" t="str">
            <v>9110</v>
          </cell>
          <cell r="AM158">
            <v>0</v>
          </cell>
        </row>
        <row r="159">
          <cell r="C159" t="str">
            <v>8810</v>
          </cell>
          <cell r="AM159">
            <v>0</v>
          </cell>
        </row>
        <row r="160">
          <cell r="C160" t="str">
            <v>8860</v>
          </cell>
          <cell r="AM160">
            <v>0</v>
          </cell>
        </row>
        <row r="161">
          <cell r="C161" t="str">
            <v>9030</v>
          </cell>
          <cell r="AM161">
            <v>0</v>
          </cell>
        </row>
        <row r="162">
          <cell r="C162" t="str">
            <v>8700</v>
          </cell>
          <cell r="AM162">
            <v>0</v>
          </cell>
        </row>
        <row r="163">
          <cell r="C163" t="str">
            <v>8740</v>
          </cell>
          <cell r="AM163">
            <v>0</v>
          </cell>
        </row>
        <row r="164">
          <cell r="C164" t="str">
            <v>8780</v>
          </cell>
          <cell r="AM164">
            <v>0</v>
          </cell>
        </row>
        <row r="165">
          <cell r="C165" t="str">
            <v>8800</v>
          </cell>
          <cell r="AM165">
            <v>0</v>
          </cell>
        </row>
        <row r="166">
          <cell r="C166" t="str">
            <v>8810</v>
          </cell>
          <cell r="AM166">
            <v>0</v>
          </cell>
        </row>
        <row r="167">
          <cell r="C167" t="str">
            <v>8740</v>
          </cell>
          <cell r="AM167">
            <v>0</v>
          </cell>
        </row>
        <row r="168">
          <cell r="C168" t="str">
            <v>8160</v>
          </cell>
          <cell r="AM168">
            <v>0</v>
          </cell>
        </row>
        <row r="169">
          <cell r="C169" t="str">
            <v>8170</v>
          </cell>
          <cell r="AM169">
            <v>0</v>
          </cell>
        </row>
        <row r="170">
          <cell r="C170" t="str">
            <v>8180</v>
          </cell>
          <cell r="AM170">
            <v>0</v>
          </cell>
        </row>
        <row r="171">
          <cell r="C171" t="str">
            <v>8190</v>
          </cell>
          <cell r="AM171">
            <v>0</v>
          </cell>
        </row>
        <row r="172">
          <cell r="C172" t="str">
            <v>8200</v>
          </cell>
          <cell r="AM172">
            <v>0</v>
          </cell>
        </row>
        <row r="173">
          <cell r="C173" t="str">
            <v>8210</v>
          </cell>
          <cell r="AM173">
            <v>0</v>
          </cell>
        </row>
        <row r="174">
          <cell r="C174" t="str">
            <v>8250</v>
          </cell>
          <cell r="AM174">
            <v>0</v>
          </cell>
        </row>
        <row r="175">
          <cell r="C175" t="str">
            <v>8550</v>
          </cell>
          <cell r="AM175">
            <v>0</v>
          </cell>
        </row>
        <row r="176">
          <cell r="C176" t="str">
            <v>8560</v>
          </cell>
          <cell r="AM176">
            <v>0</v>
          </cell>
        </row>
        <row r="177">
          <cell r="C177" t="str">
            <v>8570</v>
          </cell>
          <cell r="AM177">
            <v>0</v>
          </cell>
        </row>
        <row r="178">
          <cell r="C178" t="str">
            <v>8700</v>
          </cell>
          <cell r="AM178">
            <v>0</v>
          </cell>
        </row>
        <row r="179">
          <cell r="C179" t="str">
            <v>8710</v>
          </cell>
          <cell r="AM179">
            <v>0</v>
          </cell>
        </row>
        <row r="180">
          <cell r="C180" t="str">
            <v>8740</v>
          </cell>
          <cell r="AM180">
            <v>0</v>
          </cell>
        </row>
        <row r="181">
          <cell r="C181" t="str">
            <v>8750</v>
          </cell>
          <cell r="AM181">
            <v>0</v>
          </cell>
        </row>
        <row r="182">
          <cell r="C182" t="str">
            <v>8770</v>
          </cell>
          <cell r="AM182">
            <v>0</v>
          </cell>
        </row>
        <row r="183">
          <cell r="C183" t="str">
            <v>8780</v>
          </cell>
          <cell r="AM183">
            <v>0</v>
          </cell>
        </row>
        <row r="184">
          <cell r="C184" t="str">
            <v>8810</v>
          </cell>
          <cell r="AM184">
            <v>0</v>
          </cell>
        </row>
        <row r="185">
          <cell r="C185" t="str">
            <v>9020</v>
          </cell>
          <cell r="AM185">
            <v>0</v>
          </cell>
        </row>
        <row r="186">
          <cell r="C186" t="str">
            <v>9030</v>
          </cell>
          <cell r="AM186">
            <v>0</v>
          </cell>
        </row>
        <row r="187">
          <cell r="C187" t="str">
            <v>9110</v>
          </cell>
          <cell r="AM187">
            <v>0</v>
          </cell>
        </row>
        <row r="188">
          <cell r="C188" t="str">
            <v>9260</v>
          </cell>
          <cell r="AM188">
            <v>0</v>
          </cell>
        </row>
        <row r="189">
          <cell r="C189" t="str">
            <v>8800</v>
          </cell>
          <cell r="AM189">
            <v>0</v>
          </cell>
        </row>
        <row r="190">
          <cell r="C190" t="str">
            <v>8810</v>
          </cell>
          <cell r="AM190">
            <v>0</v>
          </cell>
        </row>
        <row r="191">
          <cell r="C191" t="str">
            <v>8560</v>
          </cell>
          <cell r="AM191">
            <v>0</v>
          </cell>
        </row>
        <row r="192">
          <cell r="C192" t="str">
            <v>8700</v>
          </cell>
          <cell r="AM192">
            <v>0</v>
          </cell>
        </row>
        <row r="193">
          <cell r="C193" t="str">
            <v>8800</v>
          </cell>
          <cell r="AM193">
            <v>0</v>
          </cell>
        </row>
        <row r="194">
          <cell r="C194" t="str">
            <v>8810</v>
          </cell>
          <cell r="AM194">
            <v>0</v>
          </cell>
        </row>
        <row r="195">
          <cell r="C195" t="str">
            <v>8180</v>
          </cell>
          <cell r="AM195">
            <v>0</v>
          </cell>
        </row>
        <row r="196">
          <cell r="C196" t="str">
            <v>9020</v>
          </cell>
          <cell r="AM196">
            <v>0</v>
          </cell>
        </row>
        <row r="198">
          <cell r="C198" t="str">
            <v/>
          </cell>
        </row>
        <row r="199">
          <cell r="C199" t="str">
            <v>8740</v>
          </cell>
          <cell r="AN199">
            <v>0</v>
          </cell>
        </row>
        <row r="200">
          <cell r="C200" t="str">
            <v>9260</v>
          </cell>
          <cell r="AN200">
            <v>0</v>
          </cell>
        </row>
        <row r="201">
          <cell r="C201" t="str">
            <v>8240</v>
          </cell>
          <cell r="AN201">
            <v>0</v>
          </cell>
        </row>
        <row r="202">
          <cell r="C202" t="str">
            <v>8410</v>
          </cell>
          <cell r="AN202">
            <v>0</v>
          </cell>
        </row>
        <row r="203">
          <cell r="C203" t="str">
            <v>8560</v>
          </cell>
          <cell r="AN203">
            <v>0</v>
          </cell>
        </row>
        <row r="204">
          <cell r="C204" t="str">
            <v>8570</v>
          </cell>
          <cell r="AN204">
            <v>0</v>
          </cell>
        </row>
        <row r="205">
          <cell r="C205" t="str">
            <v>8700</v>
          </cell>
          <cell r="AN205">
            <v>0</v>
          </cell>
        </row>
        <row r="206">
          <cell r="C206" t="str">
            <v>8740</v>
          </cell>
          <cell r="AN206">
            <v>0</v>
          </cell>
        </row>
        <row r="207">
          <cell r="C207" t="str">
            <v>8750</v>
          </cell>
          <cell r="AN207">
            <v>0</v>
          </cell>
        </row>
        <row r="208">
          <cell r="C208" t="str">
            <v>8760</v>
          </cell>
          <cell r="AN208">
            <v>0</v>
          </cell>
        </row>
        <row r="209">
          <cell r="C209" t="str">
            <v>8780</v>
          </cell>
          <cell r="AN209">
            <v>0</v>
          </cell>
        </row>
        <row r="210">
          <cell r="C210" t="str">
            <v>9020</v>
          </cell>
          <cell r="AN210">
            <v>0</v>
          </cell>
        </row>
        <row r="211">
          <cell r="C211" t="str">
            <v>9030</v>
          </cell>
          <cell r="AN211">
            <v>0</v>
          </cell>
        </row>
        <row r="212">
          <cell r="C212" t="str">
            <v>8240</v>
          </cell>
          <cell r="AN212">
            <v>0</v>
          </cell>
        </row>
        <row r="213">
          <cell r="C213" t="str">
            <v>8410</v>
          </cell>
          <cell r="AN213">
            <v>0</v>
          </cell>
        </row>
        <row r="214">
          <cell r="C214" t="str">
            <v>8560</v>
          </cell>
          <cell r="AN214">
            <v>0</v>
          </cell>
        </row>
        <row r="215">
          <cell r="C215" t="str">
            <v>8570</v>
          </cell>
          <cell r="AN215">
            <v>0</v>
          </cell>
        </row>
        <row r="216">
          <cell r="C216" t="str">
            <v>8700</v>
          </cell>
          <cell r="AN216">
            <v>0</v>
          </cell>
        </row>
        <row r="217">
          <cell r="C217" t="str">
            <v>8740</v>
          </cell>
          <cell r="AN217">
            <v>0</v>
          </cell>
        </row>
        <row r="218">
          <cell r="C218" t="str">
            <v>8750</v>
          </cell>
          <cell r="AN218">
            <v>0</v>
          </cell>
        </row>
        <row r="219">
          <cell r="C219" t="str">
            <v>8760</v>
          </cell>
          <cell r="AN219">
            <v>0</v>
          </cell>
        </row>
        <row r="220">
          <cell r="C220" t="str">
            <v>8780</v>
          </cell>
          <cell r="AN220">
            <v>0</v>
          </cell>
        </row>
        <row r="221">
          <cell r="C221" t="str">
            <v>9020</v>
          </cell>
          <cell r="AN221">
            <v>0</v>
          </cell>
        </row>
        <row r="222">
          <cell r="C222" t="str">
            <v>9030</v>
          </cell>
          <cell r="AN222">
            <v>0</v>
          </cell>
        </row>
        <row r="223">
          <cell r="C223" t="str">
            <v>9260</v>
          </cell>
          <cell r="AN223">
            <v>0</v>
          </cell>
        </row>
        <row r="224">
          <cell r="C224" t="str">
            <v>8740</v>
          </cell>
          <cell r="AN224">
            <v>0</v>
          </cell>
        </row>
        <row r="225">
          <cell r="C225" t="str">
            <v>8740</v>
          </cell>
          <cell r="AN225">
            <v>0</v>
          </cell>
        </row>
        <row r="226">
          <cell r="C226" t="str">
            <v>8930</v>
          </cell>
          <cell r="AN226">
            <v>0</v>
          </cell>
        </row>
        <row r="227">
          <cell r="C227" t="str">
            <v>9030</v>
          </cell>
          <cell r="AN227">
            <v>0</v>
          </cell>
        </row>
        <row r="228">
          <cell r="C228" t="str">
            <v>8711</v>
          </cell>
          <cell r="AN228">
            <v>0</v>
          </cell>
        </row>
        <row r="229">
          <cell r="C229" t="str">
            <v>8740</v>
          </cell>
          <cell r="AN229">
            <v>0</v>
          </cell>
        </row>
        <row r="230">
          <cell r="C230" t="str">
            <v>8750</v>
          </cell>
          <cell r="AN230">
            <v>0</v>
          </cell>
        </row>
        <row r="231">
          <cell r="C231" t="str">
            <v>8780</v>
          </cell>
          <cell r="AN231">
            <v>0</v>
          </cell>
        </row>
        <row r="232">
          <cell r="C232" t="str">
            <v>8800</v>
          </cell>
          <cell r="AN232">
            <v>0</v>
          </cell>
        </row>
        <row r="233">
          <cell r="C233" t="str">
            <v>8560</v>
          </cell>
          <cell r="AN233">
            <v>0</v>
          </cell>
        </row>
        <row r="234">
          <cell r="C234" t="str">
            <v>8570</v>
          </cell>
          <cell r="AN234">
            <v>0</v>
          </cell>
        </row>
        <row r="235">
          <cell r="C235" t="str">
            <v>8700</v>
          </cell>
          <cell r="AN235">
            <v>0</v>
          </cell>
        </row>
        <row r="236">
          <cell r="C236" t="str">
            <v>8750</v>
          </cell>
          <cell r="AN236">
            <v>0</v>
          </cell>
        </row>
        <row r="237">
          <cell r="C237" t="str">
            <v>8780</v>
          </cell>
          <cell r="AN237">
            <v>0</v>
          </cell>
        </row>
        <row r="238">
          <cell r="C238" t="str">
            <v>8800</v>
          </cell>
          <cell r="AN238">
            <v>0</v>
          </cell>
        </row>
        <row r="239">
          <cell r="C239" t="str">
            <v>8560</v>
          </cell>
          <cell r="AN239">
            <v>0</v>
          </cell>
        </row>
        <row r="240">
          <cell r="C240" t="str">
            <v>8570</v>
          </cell>
          <cell r="AN240">
            <v>0</v>
          </cell>
        </row>
        <row r="241">
          <cell r="C241" t="str">
            <v>8700</v>
          </cell>
          <cell r="AN241">
            <v>0</v>
          </cell>
        </row>
        <row r="242">
          <cell r="C242" t="str">
            <v>8810</v>
          </cell>
          <cell r="AN242">
            <v>0</v>
          </cell>
        </row>
        <row r="243">
          <cell r="C243" t="str">
            <v>8930</v>
          </cell>
          <cell r="AN243">
            <v>0</v>
          </cell>
        </row>
        <row r="244">
          <cell r="C244" t="str">
            <v>9030</v>
          </cell>
          <cell r="AN244">
            <v>0</v>
          </cell>
        </row>
        <row r="245">
          <cell r="C245" t="str">
            <v>8711</v>
          </cell>
          <cell r="AN245">
            <v>0</v>
          </cell>
        </row>
        <row r="246">
          <cell r="C246" t="str">
            <v>8740</v>
          </cell>
          <cell r="AN246">
            <v>0</v>
          </cell>
        </row>
        <row r="247">
          <cell r="C247" t="str">
            <v>8810</v>
          </cell>
          <cell r="AN247">
            <v>0</v>
          </cell>
        </row>
        <row r="248">
          <cell r="C248" t="str">
            <v>8740</v>
          </cell>
          <cell r="AN248">
            <v>0</v>
          </cell>
        </row>
        <row r="249">
          <cell r="C249" t="str">
            <v>8740</v>
          </cell>
          <cell r="AN249">
            <v>0</v>
          </cell>
        </row>
        <row r="250">
          <cell r="C250" t="str">
            <v>8740</v>
          </cell>
          <cell r="AN250">
            <v>0</v>
          </cell>
        </row>
        <row r="253">
          <cell r="C253" t="str">
            <v>8810</v>
          </cell>
          <cell r="AN253">
            <v>0</v>
          </cell>
        </row>
        <row r="254">
          <cell r="C254" t="str">
            <v>9090</v>
          </cell>
          <cell r="AN254">
            <v>0</v>
          </cell>
        </row>
        <row r="255">
          <cell r="C255" t="str">
            <v>9260</v>
          </cell>
          <cell r="AN255">
            <v>0</v>
          </cell>
        </row>
        <row r="256">
          <cell r="C256" t="str">
            <v>8160</v>
          </cell>
          <cell r="AN256">
            <v>0</v>
          </cell>
        </row>
        <row r="257">
          <cell r="C257" t="str">
            <v>8560</v>
          </cell>
          <cell r="AN257">
            <v>0</v>
          </cell>
        </row>
        <row r="258">
          <cell r="C258" t="str">
            <v>8570</v>
          </cell>
          <cell r="AN258">
            <v>0</v>
          </cell>
        </row>
        <row r="259">
          <cell r="C259" t="str">
            <v>8700</v>
          </cell>
          <cell r="AN259">
            <v>0</v>
          </cell>
        </row>
        <row r="260">
          <cell r="C260" t="str">
            <v>8711</v>
          </cell>
          <cell r="AN260">
            <v>0</v>
          </cell>
        </row>
        <row r="261">
          <cell r="C261" t="str">
            <v>8740</v>
          </cell>
          <cell r="AN261">
            <v>0</v>
          </cell>
        </row>
        <row r="262">
          <cell r="C262" t="str">
            <v>8750</v>
          </cell>
          <cell r="AN262">
            <v>0</v>
          </cell>
        </row>
        <row r="263">
          <cell r="C263" t="str">
            <v>9090</v>
          </cell>
          <cell r="AN263">
            <v>0</v>
          </cell>
        </row>
        <row r="264">
          <cell r="C264" t="str">
            <v>9260</v>
          </cell>
          <cell r="AN264">
            <v>0</v>
          </cell>
        </row>
        <row r="265">
          <cell r="C265" t="str">
            <v>8160</v>
          </cell>
          <cell r="AN265">
            <v>0</v>
          </cell>
        </row>
        <row r="266">
          <cell r="C266" t="str">
            <v>8560</v>
          </cell>
          <cell r="AN266">
            <v>0</v>
          </cell>
        </row>
        <row r="267">
          <cell r="C267" t="str">
            <v>8570</v>
          </cell>
          <cell r="AN267">
            <v>0</v>
          </cell>
        </row>
        <row r="268">
          <cell r="C268" t="str">
            <v>8700</v>
          </cell>
          <cell r="AN268">
            <v>0</v>
          </cell>
        </row>
        <row r="269">
          <cell r="C269" t="str">
            <v>8711</v>
          </cell>
          <cell r="AN269">
            <v>0</v>
          </cell>
        </row>
        <row r="270">
          <cell r="C270" t="str">
            <v>8740</v>
          </cell>
          <cell r="AN270">
            <v>0</v>
          </cell>
        </row>
        <row r="271">
          <cell r="C271" t="str">
            <v>8750</v>
          </cell>
          <cell r="AN271">
            <v>0</v>
          </cell>
        </row>
        <row r="272">
          <cell r="C272" t="str">
            <v>8810</v>
          </cell>
          <cell r="AN272">
            <v>0</v>
          </cell>
        </row>
        <row r="273">
          <cell r="C273" t="str">
            <v>8711</v>
          </cell>
          <cell r="AN273">
            <v>0</v>
          </cell>
        </row>
        <row r="274">
          <cell r="C274" t="str">
            <v>8740</v>
          </cell>
          <cell r="AN274">
            <v>0</v>
          </cell>
        </row>
        <row r="275">
          <cell r="C275" t="str">
            <v>8750</v>
          </cell>
          <cell r="AN275">
            <v>0</v>
          </cell>
        </row>
        <row r="276">
          <cell r="C276" t="str">
            <v>8760</v>
          </cell>
          <cell r="AN276">
            <v>0</v>
          </cell>
        </row>
        <row r="277">
          <cell r="C277" t="str">
            <v>8780</v>
          </cell>
          <cell r="AN277">
            <v>0</v>
          </cell>
        </row>
        <row r="278">
          <cell r="C278" t="str">
            <v>8790</v>
          </cell>
          <cell r="AN278">
            <v>0</v>
          </cell>
        </row>
        <row r="279">
          <cell r="C279" t="str">
            <v>8800</v>
          </cell>
          <cell r="AN279">
            <v>0</v>
          </cell>
        </row>
        <row r="280">
          <cell r="C280" t="str">
            <v>8810</v>
          </cell>
          <cell r="AN280">
            <v>0</v>
          </cell>
        </row>
        <row r="281">
          <cell r="C281" t="str">
            <v>8870</v>
          </cell>
          <cell r="AN281">
            <v>0</v>
          </cell>
        </row>
        <row r="282">
          <cell r="C282" t="str">
            <v>8890</v>
          </cell>
          <cell r="AN282">
            <v>0</v>
          </cell>
        </row>
        <row r="283">
          <cell r="C283" t="str">
            <v>8900</v>
          </cell>
          <cell r="AN283">
            <v>0</v>
          </cell>
        </row>
        <row r="284">
          <cell r="C284" t="str">
            <v>8910</v>
          </cell>
          <cell r="AN284">
            <v>0</v>
          </cell>
        </row>
        <row r="285">
          <cell r="C285" t="str">
            <v>8920</v>
          </cell>
          <cell r="AN285">
            <v>0</v>
          </cell>
        </row>
        <row r="286">
          <cell r="C286" t="str">
            <v>8930</v>
          </cell>
          <cell r="AN286">
            <v>0</v>
          </cell>
        </row>
        <row r="287">
          <cell r="C287" t="str">
            <v>8940</v>
          </cell>
          <cell r="AN287">
            <v>0</v>
          </cell>
        </row>
        <row r="288">
          <cell r="C288" t="str">
            <v>9020</v>
          </cell>
          <cell r="AN288">
            <v>0</v>
          </cell>
        </row>
        <row r="289">
          <cell r="C289" t="str">
            <v>9030</v>
          </cell>
          <cell r="AN289">
            <v>0</v>
          </cell>
        </row>
        <row r="290">
          <cell r="C290" t="str">
            <v>9110</v>
          </cell>
          <cell r="AN290">
            <v>0</v>
          </cell>
        </row>
        <row r="291">
          <cell r="C291" t="str">
            <v>9260</v>
          </cell>
          <cell r="AN291">
            <v>0</v>
          </cell>
        </row>
        <row r="292">
          <cell r="C292" t="str">
            <v>8140</v>
          </cell>
          <cell r="AN292">
            <v>0</v>
          </cell>
        </row>
        <row r="293">
          <cell r="C293" t="str">
            <v>8160</v>
          </cell>
          <cell r="AN293">
            <v>0</v>
          </cell>
        </row>
        <row r="294">
          <cell r="C294" t="str">
            <v>8170</v>
          </cell>
          <cell r="AN294">
            <v>0</v>
          </cell>
        </row>
        <row r="295">
          <cell r="C295" t="str">
            <v>8180</v>
          </cell>
          <cell r="AN295">
            <v>0</v>
          </cell>
        </row>
        <row r="296">
          <cell r="C296" t="str">
            <v>8200</v>
          </cell>
          <cell r="AN296">
            <v>0</v>
          </cell>
        </row>
        <row r="297">
          <cell r="C297" t="str">
            <v>8210</v>
          </cell>
          <cell r="AN297">
            <v>0</v>
          </cell>
        </row>
        <row r="298">
          <cell r="C298" t="str">
            <v>8310</v>
          </cell>
          <cell r="AN298">
            <v>0</v>
          </cell>
        </row>
        <row r="299">
          <cell r="C299" t="str">
            <v>8340</v>
          </cell>
          <cell r="AN299">
            <v>0</v>
          </cell>
        </row>
        <row r="300">
          <cell r="C300" t="str">
            <v>8410</v>
          </cell>
          <cell r="AN300">
            <v>0</v>
          </cell>
        </row>
        <row r="301">
          <cell r="C301" t="str">
            <v>8560</v>
          </cell>
          <cell r="AN301">
            <v>0</v>
          </cell>
        </row>
        <row r="302">
          <cell r="C302" t="str">
            <v>8570</v>
          </cell>
          <cell r="AN302">
            <v>0</v>
          </cell>
        </row>
        <row r="303">
          <cell r="C303" t="str">
            <v>8670</v>
          </cell>
          <cell r="AN303">
            <v>0</v>
          </cell>
        </row>
        <row r="304">
          <cell r="C304" t="str">
            <v>8700</v>
          </cell>
          <cell r="AN304">
            <v>0</v>
          </cell>
        </row>
        <row r="305">
          <cell r="C305" t="str">
            <v>8700</v>
          </cell>
          <cell r="AN305">
            <v>0</v>
          </cell>
        </row>
        <row r="306">
          <cell r="C306" t="str">
            <v>8780</v>
          </cell>
          <cell r="AN306">
            <v>0</v>
          </cell>
        </row>
        <row r="307">
          <cell r="C307" t="str">
            <v>9110</v>
          </cell>
          <cell r="AN307">
            <v>0</v>
          </cell>
        </row>
        <row r="308">
          <cell r="C308" t="str">
            <v>8700</v>
          </cell>
          <cell r="AN308">
            <v>0</v>
          </cell>
        </row>
        <row r="309">
          <cell r="C309" t="str">
            <v>8700</v>
          </cell>
          <cell r="AN309">
            <v>0</v>
          </cell>
        </row>
        <row r="310">
          <cell r="C310" t="str">
            <v>8740</v>
          </cell>
          <cell r="AN310">
            <v>0</v>
          </cell>
        </row>
        <row r="311">
          <cell r="C311" t="str">
            <v>8750</v>
          </cell>
          <cell r="AN311">
            <v>0</v>
          </cell>
        </row>
        <row r="312">
          <cell r="C312" t="str">
            <v>8780</v>
          </cell>
          <cell r="AN312">
            <v>0</v>
          </cell>
        </row>
        <row r="313">
          <cell r="C313" t="str">
            <v>8800</v>
          </cell>
          <cell r="AN313">
            <v>0</v>
          </cell>
        </row>
        <row r="314">
          <cell r="C314" t="str">
            <v>8810</v>
          </cell>
          <cell r="AN314">
            <v>0</v>
          </cell>
        </row>
        <row r="315">
          <cell r="C315" t="str">
            <v>8930</v>
          </cell>
          <cell r="AN315">
            <v>0</v>
          </cell>
        </row>
        <row r="316">
          <cell r="C316" t="str">
            <v>9020</v>
          </cell>
          <cell r="AN316">
            <v>0</v>
          </cell>
        </row>
        <row r="317">
          <cell r="C317" t="str">
            <v>9030</v>
          </cell>
          <cell r="AN317">
            <v>0</v>
          </cell>
        </row>
        <row r="318">
          <cell r="C318" t="str">
            <v>9090</v>
          </cell>
          <cell r="AN318">
            <v>0</v>
          </cell>
        </row>
        <row r="319">
          <cell r="C319" t="str">
            <v>9110</v>
          </cell>
          <cell r="AN319">
            <v>0</v>
          </cell>
        </row>
        <row r="320">
          <cell r="C320" t="str">
            <v>9210</v>
          </cell>
          <cell r="AN320">
            <v>0</v>
          </cell>
        </row>
        <row r="323">
          <cell r="C323" t="str">
            <v>8700</v>
          </cell>
          <cell r="AN323">
            <v>0</v>
          </cell>
        </row>
        <row r="324">
          <cell r="C324" t="str">
            <v>8700</v>
          </cell>
          <cell r="AN324">
            <v>0</v>
          </cell>
        </row>
        <row r="325">
          <cell r="C325" t="str">
            <v>9020</v>
          </cell>
          <cell r="AN325">
            <v>0</v>
          </cell>
        </row>
        <row r="326">
          <cell r="C326" t="str">
            <v>9210</v>
          </cell>
          <cell r="AN326">
            <v>0</v>
          </cell>
        </row>
        <row r="329">
          <cell r="C329" t="str">
            <v>8700</v>
          </cell>
          <cell r="AN329">
            <v>0</v>
          </cell>
        </row>
        <row r="330">
          <cell r="C330" t="str">
            <v>8700</v>
          </cell>
          <cell r="AN330">
            <v>0</v>
          </cell>
        </row>
        <row r="331">
          <cell r="C331" t="str">
            <v>8700</v>
          </cell>
          <cell r="AN331">
            <v>0</v>
          </cell>
        </row>
        <row r="332">
          <cell r="C332" t="str">
            <v>8700</v>
          </cell>
          <cell r="AN332">
            <v>0</v>
          </cell>
        </row>
        <row r="333">
          <cell r="C333" t="str">
            <v>8700</v>
          </cell>
          <cell r="AN333">
            <v>0</v>
          </cell>
        </row>
        <row r="334">
          <cell r="C334" t="str">
            <v>9020</v>
          </cell>
          <cell r="AN334">
            <v>0</v>
          </cell>
        </row>
        <row r="335">
          <cell r="C335" t="str">
            <v>9020</v>
          </cell>
          <cell r="AN335">
            <v>0</v>
          </cell>
        </row>
        <row r="336">
          <cell r="C336" t="str">
            <v>8700</v>
          </cell>
          <cell r="AN336">
            <v>0</v>
          </cell>
        </row>
        <row r="337">
          <cell r="C337" t="str">
            <v>8740</v>
          </cell>
          <cell r="AN337">
            <v>0</v>
          </cell>
        </row>
        <row r="338">
          <cell r="C338" t="str">
            <v>8770</v>
          </cell>
          <cell r="AN338">
            <v>0</v>
          </cell>
        </row>
        <row r="339">
          <cell r="C339" t="str">
            <v>9260</v>
          </cell>
          <cell r="AN339">
            <v>0</v>
          </cell>
        </row>
        <row r="340">
          <cell r="C340" t="str">
            <v>8700</v>
          </cell>
          <cell r="AN340">
            <v>0</v>
          </cell>
        </row>
        <row r="341">
          <cell r="C341" t="str">
            <v>8740</v>
          </cell>
          <cell r="AN341">
            <v>0</v>
          </cell>
        </row>
        <row r="342">
          <cell r="C342" t="str">
            <v>9210</v>
          </cell>
          <cell r="AN342">
            <v>0</v>
          </cell>
        </row>
        <row r="343">
          <cell r="C343" t="str">
            <v>9260</v>
          </cell>
          <cell r="AN343">
            <v>0</v>
          </cell>
        </row>
        <row r="344">
          <cell r="C344" t="str">
            <v>9020</v>
          </cell>
          <cell r="AN344">
            <v>0</v>
          </cell>
        </row>
        <row r="345">
          <cell r="C345" t="str">
            <v>9030</v>
          </cell>
          <cell r="AN345">
            <v>0</v>
          </cell>
        </row>
        <row r="346">
          <cell r="C346" t="str">
            <v>9110</v>
          </cell>
          <cell r="AN346">
            <v>0</v>
          </cell>
        </row>
        <row r="347">
          <cell r="C347" t="str">
            <v>8750</v>
          </cell>
          <cell r="AN347">
            <v>0</v>
          </cell>
        </row>
        <row r="348">
          <cell r="C348" t="str">
            <v>8780</v>
          </cell>
          <cell r="AN348">
            <v>0</v>
          </cell>
        </row>
        <row r="349">
          <cell r="C349" t="str">
            <v>8560</v>
          </cell>
          <cell r="AN349">
            <v>0</v>
          </cell>
        </row>
        <row r="350">
          <cell r="C350" t="str">
            <v>8700</v>
          </cell>
          <cell r="AN350">
            <v>0</v>
          </cell>
        </row>
        <row r="351">
          <cell r="C351" t="str">
            <v>8740</v>
          </cell>
          <cell r="AN351">
            <v>0</v>
          </cell>
        </row>
        <row r="352">
          <cell r="C352" t="str">
            <v>8700</v>
          </cell>
          <cell r="AN352">
            <v>0</v>
          </cell>
        </row>
        <row r="353">
          <cell r="C353" t="str">
            <v>9260</v>
          </cell>
          <cell r="AN353">
            <v>0</v>
          </cell>
        </row>
        <row r="354">
          <cell r="C354" t="str">
            <v>9020</v>
          </cell>
          <cell r="AN354">
            <v>0</v>
          </cell>
        </row>
        <row r="355">
          <cell r="C355" t="str">
            <v>9030</v>
          </cell>
          <cell r="AN355">
            <v>0</v>
          </cell>
        </row>
        <row r="356">
          <cell r="C356" t="str">
            <v>9110</v>
          </cell>
          <cell r="AN356">
            <v>0</v>
          </cell>
        </row>
        <row r="357">
          <cell r="C357" t="str">
            <v>8740</v>
          </cell>
          <cell r="AN357">
            <v>0</v>
          </cell>
        </row>
        <row r="358">
          <cell r="C358" t="str">
            <v>8750</v>
          </cell>
          <cell r="AN358">
            <v>0</v>
          </cell>
        </row>
        <row r="359">
          <cell r="C359" t="str">
            <v>8770</v>
          </cell>
          <cell r="AN359">
            <v>0</v>
          </cell>
        </row>
        <row r="360">
          <cell r="C360" t="str">
            <v>8780</v>
          </cell>
          <cell r="AN360">
            <v>0</v>
          </cell>
        </row>
        <row r="361">
          <cell r="C361" t="str">
            <v>8560</v>
          </cell>
          <cell r="AN361">
            <v>0</v>
          </cell>
        </row>
        <row r="362">
          <cell r="C362" t="str">
            <v>8700</v>
          </cell>
          <cell r="AN362">
            <v>0</v>
          </cell>
        </row>
        <row r="365">
          <cell r="C365" t="str">
            <v>8500</v>
          </cell>
          <cell r="AN365">
            <v>0</v>
          </cell>
        </row>
        <row r="366">
          <cell r="C366" t="str">
            <v>8700</v>
          </cell>
          <cell r="AN366">
            <v>0</v>
          </cell>
        </row>
        <row r="367">
          <cell r="C367" t="str">
            <v>9250</v>
          </cell>
          <cell r="AN367">
            <v>0</v>
          </cell>
        </row>
        <row r="368">
          <cell r="C368" t="str">
            <v>8700</v>
          </cell>
          <cell r="AN368">
            <v>0</v>
          </cell>
        </row>
        <row r="369">
          <cell r="C369" t="str">
            <v>9210</v>
          </cell>
          <cell r="AN369">
            <v>0</v>
          </cell>
        </row>
        <row r="370">
          <cell r="C370" t="str">
            <v>9030</v>
          </cell>
          <cell r="AN370">
            <v>0</v>
          </cell>
        </row>
        <row r="371">
          <cell r="C371" t="str">
            <v>9090</v>
          </cell>
          <cell r="AN371">
            <v>0</v>
          </cell>
        </row>
        <row r="372">
          <cell r="C372" t="str">
            <v>9110</v>
          </cell>
          <cell r="AN372">
            <v>0</v>
          </cell>
        </row>
        <row r="373">
          <cell r="C373" t="str">
            <v>9120</v>
          </cell>
          <cell r="AN373">
            <v>0</v>
          </cell>
        </row>
        <row r="374">
          <cell r="C374" t="str">
            <v>9130</v>
          </cell>
          <cell r="AN374">
            <v>0</v>
          </cell>
        </row>
        <row r="375">
          <cell r="C375" t="str">
            <v>8700</v>
          </cell>
          <cell r="AN375">
            <v>0</v>
          </cell>
        </row>
        <row r="376">
          <cell r="C376" t="str">
            <v>9090</v>
          </cell>
          <cell r="AN376">
            <v>0</v>
          </cell>
        </row>
        <row r="377">
          <cell r="C377" t="str">
            <v>9100</v>
          </cell>
          <cell r="AN377">
            <v>0</v>
          </cell>
        </row>
        <row r="378">
          <cell r="C378" t="str">
            <v>9120</v>
          </cell>
          <cell r="AN378">
            <v>0</v>
          </cell>
        </row>
        <row r="379">
          <cell r="C379" t="str">
            <v>9130</v>
          </cell>
          <cell r="AN379">
            <v>0</v>
          </cell>
        </row>
        <row r="380">
          <cell r="C380" t="str">
            <v>9090</v>
          </cell>
          <cell r="AN380">
            <v>0</v>
          </cell>
        </row>
        <row r="381">
          <cell r="C381" t="str">
            <v>9110</v>
          </cell>
          <cell r="AN381">
            <v>0</v>
          </cell>
        </row>
        <row r="382">
          <cell r="C382" t="str">
            <v>9120</v>
          </cell>
          <cell r="AN382">
            <v>0</v>
          </cell>
        </row>
        <row r="383">
          <cell r="C383" t="str">
            <v>9210</v>
          </cell>
          <cell r="AN383">
            <v>0</v>
          </cell>
        </row>
        <row r="384">
          <cell r="C384" t="str">
            <v>8700</v>
          </cell>
          <cell r="AN384">
            <v>0</v>
          </cell>
        </row>
        <row r="386">
          <cell r="AN386">
            <v>0</v>
          </cell>
        </row>
        <row r="387">
          <cell r="C387" t="str">
            <v>8750</v>
          </cell>
          <cell r="AN387">
            <v>0</v>
          </cell>
        </row>
        <row r="388">
          <cell r="C388" t="str">
            <v>8700</v>
          </cell>
          <cell r="AN388">
            <v>0</v>
          </cell>
        </row>
        <row r="389">
          <cell r="C389" t="str">
            <v>9090</v>
          </cell>
          <cell r="AN389">
            <v>0</v>
          </cell>
        </row>
        <row r="392">
          <cell r="C392" t="str">
            <v>8410</v>
          </cell>
          <cell r="AN392">
            <v>0</v>
          </cell>
        </row>
        <row r="393">
          <cell r="C393" t="str">
            <v>8700</v>
          </cell>
          <cell r="AN393">
            <v>0</v>
          </cell>
        </row>
        <row r="394">
          <cell r="C394" t="str">
            <v>8740</v>
          </cell>
          <cell r="AN394">
            <v>0</v>
          </cell>
        </row>
        <row r="395">
          <cell r="C395" t="str">
            <v>8800</v>
          </cell>
          <cell r="AN395">
            <v>0</v>
          </cell>
        </row>
        <row r="396">
          <cell r="C396" t="str">
            <v>9210</v>
          </cell>
          <cell r="AN396">
            <v>0</v>
          </cell>
        </row>
        <row r="397">
          <cell r="C397" t="str">
            <v>9302</v>
          </cell>
          <cell r="AN397">
            <v>0</v>
          </cell>
        </row>
        <row r="398">
          <cell r="C398" t="str">
            <v>8700</v>
          </cell>
          <cell r="AN398">
            <v>0</v>
          </cell>
        </row>
        <row r="399">
          <cell r="C399" t="str">
            <v>8700</v>
          </cell>
          <cell r="AN399">
            <v>0</v>
          </cell>
        </row>
        <row r="400">
          <cell r="C400" t="str">
            <v>9090</v>
          </cell>
          <cell r="AN400">
            <v>0</v>
          </cell>
        </row>
        <row r="401">
          <cell r="C401" t="str">
            <v>9302</v>
          </cell>
          <cell r="AN401">
            <v>0</v>
          </cell>
        </row>
        <row r="402">
          <cell r="C402" t="str">
            <v>9302</v>
          </cell>
          <cell r="AN402">
            <v>0</v>
          </cell>
        </row>
        <row r="403">
          <cell r="C403" t="str">
            <v>9310</v>
          </cell>
          <cell r="AN403">
            <v>0</v>
          </cell>
        </row>
        <row r="404">
          <cell r="C404" t="str">
            <v>8560</v>
          </cell>
          <cell r="AN404">
            <v>0</v>
          </cell>
        </row>
        <row r="405">
          <cell r="C405" t="str">
            <v>8700</v>
          </cell>
          <cell r="AN405">
            <v>0</v>
          </cell>
        </row>
        <row r="406">
          <cell r="C406" t="str">
            <v>9120</v>
          </cell>
          <cell r="AN406">
            <v>0</v>
          </cell>
        </row>
        <row r="409">
          <cell r="C409" t="str">
            <v>8160</v>
          </cell>
          <cell r="AN409">
            <v>0</v>
          </cell>
        </row>
        <row r="410">
          <cell r="C410" t="str">
            <v>8560</v>
          </cell>
          <cell r="AN410">
            <v>0</v>
          </cell>
        </row>
        <row r="411">
          <cell r="C411" t="str">
            <v>8700</v>
          </cell>
          <cell r="AN411">
            <v>0</v>
          </cell>
        </row>
        <row r="412">
          <cell r="C412" t="str">
            <v>8740</v>
          </cell>
          <cell r="AN412">
            <v>0</v>
          </cell>
        </row>
        <row r="413">
          <cell r="C413" t="str">
            <v>8750</v>
          </cell>
          <cell r="AN413">
            <v>0</v>
          </cell>
        </row>
        <row r="414">
          <cell r="C414" t="str">
            <v>8760</v>
          </cell>
          <cell r="AN414">
            <v>0</v>
          </cell>
        </row>
        <row r="415">
          <cell r="C415" t="str">
            <v>8780</v>
          </cell>
          <cell r="AN415">
            <v>0</v>
          </cell>
        </row>
        <row r="416">
          <cell r="C416" t="str">
            <v>8800</v>
          </cell>
          <cell r="AN416">
            <v>0</v>
          </cell>
        </row>
        <row r="417">
          <cell r="C417" t="str">
            <v>8850</v>
          </cell>
          <cell r="AN417">
            <v>0</v>
          </cell>
        </row>
        <row r="418">
          <cell r="C418" t="str">
            <v>8890</v>
          </cell>
          <cell r="AN418">
            <v>0</v>
          </cell>
        </row>
        <row r="419">
          <cell r="C419" t="str">
            <v>9030</v>
          </cell>
          <cell r="AN419">
            <v>0</v>
          </cell>
        </row>
        <row r="420">
          <cell r="C420" t="str">
            <v>9110</v>
          </cell>
          <cell r="AN420">
            <v>0</v>
          </cell>
        </row>
        <row r="421">
          <cell r="C421" t="str">
            <v>9210</v>
          </cell>
          <cell r="AN421">
            <v>0</v>
          </cell>
        </row>
        <row r="422">
          <cell r="C422" t="str">
            <v>9260</v>
          </cell>
          <cell r="AN422">
            <v>0</v>
          </cell>
        </row>
        <row r="423">
          <cell r="C423" t="str">
            <v>8700</v>
          </cell>
          <cell r="AN423">
            <v>0</v>
          </cell>
        </row>
        <row r="426">
          <cell r="C426" t="str">
            <v>9020</v>
          </cell>
          <cell r="AN426">
            <v>0</v>
          </cell>
        </row>
        <row r="427">
          <cell r="C427" t="str">
            <v>9030</v>
          </cell>
          <cell r="AN427">
            <v>0</v>
          </cell>
        </row>
        <row r="428">
          <cell r="C428" t="str">
            <v>9090</v>
          </cell>
          <cell r="AN428">
            <v>0</v>
          </cell>
        </row>
        <row r="429">
          <cell r="C429" t="str">
            <v>9110</v>
          </cell>
          <cell r="AN429">
            <v>0</v>
          </cell>
        </row>
        <row r="430">
          <cell r="C430" t="str">
            <v>9120</v>
          </cell>
          <cell r="AN430">
            <v>0</v>
          </cell>
        </row>
        <row r="431">
          <cell r="C431" t="str">
            <v>9210</v>
          </cell>
          <cell r="AN431">
            <v>0</v>
          </cell>
        </row>
        <row r="432">
          <cell r="C432" t="str">
            <v>9260</v>
          </cell>
          <cell r="AN432">
            <v>0</v>
          </cell>
        </row>
        <row r="433">
          <cell r="C433" t="str">
            <v>8410</v>
          </cell>
          <cell r="AN433">
            <v>0</v>
          </cell>
        </row>
        <row r="434">
          <cell r="C434" t="str">
            <v>8700</v>
          </cell>
          <cell r="AN434">
            <v>0</v>
          </cell>
        </row>
        <row r="435">
          <cell r="C435" t="str">
            <v>8740</v>
          </cell>
          <cell r="AN435">
            <v>0</v>
          </cell>
        </row>
        <row r="436">
          <cell r="C436" t="str">
            <v>8750</v>
          </cell>
          <cell r="AN436">
            <v>0</v>
          </cell>
        </row>
        <row r="437">
          <cell r="C437" t="str">
            <v>8780</v>
          </cell>
          <cell r="AN437">
            <v>0</v>
          </cell>
        </row>
        <row r="438">
          <cell r="C438" t="str">
            <v>8410</v>
          </cell>
          <cell r="AN438">
            <v>0</v>
          </cell>
        </row>
        <row r="439">
          <cell r="C439" t="str">
            <v>8700</v>
          </cell>
          <cell r="AN439">
            <v>0</v>
          </cell>
        </row>
        <row r="440">
          <cell r="C440" t="str">
            <v>9030</v>
          </cell>
          <cell r="AN440">
            <v>0</v>
          </cell>
        </row>
        <row r="441">
          <cell r="C441" t="str">
            <v>9090</v>
          </cell>
          <cell r="AN441">
            <v>0</v>
          </cell>
        </row>
        <row r="442">
          <cell r="C442" t="str">
            <v>9210</v>
          </cell>
          <cell r="AN442">
            <v>0</v>
          </cell>
        </row>
        <row r="443">
          <cell r="C443" t="str">
            <v>8410</v>
          </cell>
          <cell r="AN443">
            <v>0</v>
          </cell>
        </row>
        <row r="444">
          <cell r="C444" t="str">
            <v>8700</v>
          </cell>
          <cell r="AN444">
            <v>0</v>
          </cell>
        </row>
        <row r="445">
          <cell r="C445" t="str">
            <v>8740</v>
          </cell>
          <cell r="AN445">
            <v>0</v>
          </cell>
        </row>
        <row r="446">
          <cell r="C446" t="str">
            <v>8750</v>
          </cell>
          <cell r="AN446">
            <v>0</v>
          </cell>
        </row>
        <row r="447">
          <cell r="C447" t="str">
            <v>8780</v>
          </cell>
          <cell r="AN447">
            <v>0</v>
          </cell>
        </row>
        <row r="448">
          <cell r="C448" t="str">
            <v>9020</v>
          </cell>
          <cell r="AN448">
            <v>0</v>
          </cell>
        </row>
        <row r="449">
          <cell r="C449" t="str">
            <v>9030</v>
          </cell>
          <cell r="AN449">
            <v>0</v>
          </cell>
        </row>
        <row r="450">
          <cell r="C450" t="str">
            <v>9090</v>
          </cell>
          <cell r="AN450">
            <v>0</v>
          </cell>
        </row>
        <row r="451">
          <cell r="C451" t="str">
            <v>9110</v>
          </cell>
          <cell r="AN451">
            <v>0</v>
          </cell>
        </row>
        <row r="452">
          <cell r="C452" t="str">
            <v>9210</v>
          </cell>
          <cell r="AN452">
            <v>0</v>
          </cell>
        </row>
        <row r="453">
          <cell r="C453" t="str">
            <v>9090</v>
          </cell>
          <cell r="AN453">
            <v>0</v>
          </cell>
        </row>
        <row r="454">
          <cell r="C454" t="str">
            <v>9110</v>
          </cell>
          <cell r="AN454">
            <v>0</v>
          </cell>
        </row>
        <row r="455">
          <cell r="C455" t="str">
            <v>9210</v>
          </cell>
          <cell r="AN455">
            <v>0</v>
          </cell>
        </row>
        <row r="456">
          <cell r="C456" t="str">
            <v>8410</v>
          </cell>
          <cell r="AN456">
            <v>0</v>
          </cell>
        </row>
        <row r="457">
          <cell r="C457" t="str">
            <v>8700</v>
          </cell>
          <cell r="AN457">
            <v>0</v>
          </cell>
        </row>
        <row r="458">
          <cell r="C458" t="str">
            <v>8740</v>
          </cell>
          <cell r="AN458">
            <v>0</v>
          </cell>
        </row>
        <row r="459">
          <cell r="C459" t="str">
            <v>8750</v>
          </cell>
          <cell r="AN459">
            <v>0</v>
          </cell>
        </row>
        <row r="460">
          <cell r="C460" t="str">
            <v>8780</v>
          </cell>
          <cell r="AN460">
            <v>0</v>
          </cell>
        </row>
        <row r="461">
          <cell r="C461" t="str">
            <v>9020</v>
          </cell>
          <cell r="AN461">
            <v>0</v>
          </cell>
        </row>
        <row r="462">
          <cell r="C462" t="str">
            <v>9030</v>
          </cell>
          <cell r="AN462">
            <v>0</v>
          </cell>
        </row>
        <row r="463">
          <cell r="C463" t="str">
            <v>8700</v>
          </cell>
          <cell r="AN463">
            <v>0</v>
          </cell>
        </row>
        <row r="464">
          <cell r="C464" t="str">
            <v>8740</v>
          </cell>
          <cell r="AN464">
            <v>0</v>
          </cell>
        </row>
        <row r="465">
          <cell r="C465" t="str">
            <v>9020</v>
          </cell>
          <cell r="AN465">
            <v>0</v>
          </cell>
        </row>
        <row r="468">
          <cell r="C468" t="str">
            <v>8410</v>
          </cell>
          <cell r="AN468">
            <v>0</v>
          </cell>
        </row>
        <row r="469">
          <cell r="C469" t="str">
            <v>8700</v>
          </cell>
          <cell r="AN469">
            <v>0</v>
          </cell>
        </row>
        <row r="470">
          <cell r="C470" t="str">
            <v>8740</v>
          </cell>
          <cell r="AN470">
            <v>0</v>
          </cell>
        </row>
        <row r="471">
          <cell r="C471" t="str">
            <v>9090</v>
          </cell>
          <cell r="AN471">
            <v>0</v>
          </cell>
        </row>
        <row r="472">
          <cell r="C472" t="str">
            <v>9110</v>
          </cell>
          <cell r="AN472">
            <v>0</v>
          </cell>
        </row>
        <row r="473">
          <cell r="C473" t="str">
            <v>9302</v>
          </cell>
          <cell r="AN473">
            <v>0</v>
          </cell>
        </row>
        <row r="474">
          <cell r="C474" t="str">
            <v>8700</v>
          </cell>
          <cell r="AN474">
            <v>0</v>
          </cell>
        </row>
        <row r="475">
          <cell r="C475" t="str">
            <v>8740</v>
          </cell>
          <cell r="AN475">
            <v>0</v>
          </cell>
        </row>
        <row r="476">
          <cell r="C476" t="str">
            <v>8780</v>
          </cell>
          <cell r="AN476">
            <v>0</v>
          </cell>
        </row>
        <row r="477">
          <cell r="C477" t="str">
            <v>8800</v>
          </cell>
          <cell r="AN477">
            <v>0</v>
          </cell>
        </row>
        <row r="478">
          <cell r="C478" t="str">
            <v>9110</v>
          </cell>
          <cell r="AN478">
            <v>0</v>
          </cell>
        </row>
        <row r="479">
          <cell r="C479" t="str">
            <v>9210</v>
          </cell>
          <cell r="AN479">
            <v>0</v>
          </cell>
        </row>
        <row r="480">
          <cell r="C480" t="str">
            <v>8700</v>
          </cell>
          <cell r="AN480">
            <v>0</v>
          </cell>
        </row>
        <row r="481">
          <cell r="C481" t="str">
            <v>8700</v>
          </cell>
          <cell r="AN481">
            <v>0</v>
          </cell>
        </row>
        <row r="482">
          <cell r="C482" t="str">
            <v>8750</v>
          </cell>
          <cell r="AN482">
            <v>0</v>
          </cell>
        </row>
        <row r="483">
          <cell r="C483" t="str">
            <v>8700</v>
          </cell>
          <cell r="AN483">
            <v>0</v>
          </cell>
        </row>
        <row r="484">
          <cell r="C484" t="str">
            <v>8740</v>
          </cell>
          <cell r="AN484">
            <v>0</v>
          </cell>
        </row>
        <row r="485">
          <cell r="C485" t="str">
            <v>9210</v>
          </cell>
          <cell r="AN485">
            <v>0</v>
          </cell>
        </row>
        <row r="486">
          <cell r="C486" t="str">
            <v>8740</v>
          </cell>
          <cell r="AN486">
            <v>0</v>
          </cell>
        </row>
        <row r="489">
          <cell r="C489" t="str">
            <v>9250</v>
          </cell>
          <cell r="AN489">
            <v>0</v>
          </cell>
        </row>
        <row r="490">
          <cell r="C490" t="str">
            <v>8160</v>
          </cell>
          <cell r="AN490">
            <v>0</v>
          </cell>
        </row>
        <row r="491">
          <cell r="C491" t="str">
            <v>8560</v>
          </cell>
          <cell r="AN491">
            <v>0</v>
          </cell>
        </row>
        <row r="492">
          <cell r="C492" t="str">
            <v>8700</v>
          </cell>
          <cell r="AN492">
            <v>0</v>
          </cell>
        </row>
        <row r="493">
          <cell r="C493" t="str">
            <v>8711</v>
          </cell>
          <cell r="AN493">
            <v>0</v>
          </cell>
        </row>
        <row r="494">
          <cell r="C494" t="str">
            <v>8740</v>
          </cell>
          <cell r="AN494">
            <v>0</v>
          </cell>
        </row>
        <row r="495">
          <cell r="C495" t="str">
            <v>8750</v>
          </cell>
          <cell r="AN495">
            <v>0</v>
          </cell>
        </row>
        <row r="496">
          <cell r="C496" t="str">
            <v>8780</v>
          </cell>
          <cell r="AN496">
            <v>0</v>
          </cell>
        </row>
        <row r="497">
          <cell r="C497" t="str">
            <v>8810</v>
          </cell>
          <cell r="AN497">
            <v>0</v>
          </cell>
        </row>
        <row r="498">
          <cell r="C498" t="str">
            <v>8870</v>
          </cell>
          <cell r="AN498">
            <v>0</v>
          </cell>
        </row>
        <row r="499">
          <cell r="C499" t="str">
            <v>8890</v>
          </cell>
          <cell r="AN499">
            <v>0</v>
          </cell>
        </row>
        <row r="500">
          <cell r="C500" t="str">
            <v>8930</v>
          </cell>
          <cell r="AN500">
            <v>0</v>
          </cell>
        </row>
        <row r="501">
          <cell r="C501" t="str">
            <v>9020</v>
          </cell>
          <cell r="AN501">
            <v>0</v>
          </cell>
        </row>
        <row r="502">
          <cell r="C502" t="str">
            <v>9230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80500</v>
          </cell>
          <cell r="L502">
            <v>13623.63781976471</v>
          </cell>
          <cell r="M502">
            <v>14665.631373160775</v>
          </cell>
          <cell r="N502">
            <v>16198.90705819605</v>
          </cell>
          <cell r="O502">
            <v>14942.968060376457</v>
          </cell>
          <cell r="P502">
            <v>13259.138173709813</v>
          </cell>
          <cell r="Q502">
            <v>9554.7251012917495</v>
          </cell>
          <cell r="U502">
            <v>11152.621423034079</v>
          </cell>
          <cell r="V502">
            <v>13456.492545113557</v>
          </cell>
          <cell r="W502">
            <v>17014.267806119005</v>
          </cell>
          <cell r="X502">
            <v>13623.63781976471</v>
          </cell>
          <cell r="Y502">
            <v>14665.631373160775</v>
          </cell>
          <cell r="Z502">
            <v>16198.90705819605</v>
          </cell>
          <cell r="AA502">
            <v>14942.968060376457</v>
          </cell>
          <cell r="AB502">
            <v>13259.138173709813</v>
          </cell>
          <cell r="AC502">
            <v>9554.7251012917495</v>
          </cell>
          <cell r="AD502">
            <v>14758.131082252552</v>
          </cell>
          <cell r="AE502">
            <v>13769.603287808461</v>
          </cell>
          <cell r="AF502">
            <v>10348.883855672333</v>
          </cell>
          <cell r="AN502">
            <v>0</v>
          </cell>
        </row>
        <row r="503">
          <cell r="C503" t="str">
            <v>9280</v>
          </cell>
          <cell r="AN503">
            <v>0</v>
          </cell>
        </row>
        <row r="504">
          <cell r="C504" t="str">
            <v>9030</v>
          </cell>
          <cell r="AN504">
            <v>0</v>
          </cell>
        </row>
        <row r="505">
          <cell r="C505" t="str">
            <v>9030</v>
          </cell>
          <cell r="AN505">
            <v>0</v>
          </cell>
        </row>
        <row r="506">
          <cell r="C506" t="str">
            <v>8410</v>
          </cell>
          <cell r="AN506">
            <v>0</v>
          </cell>
        </row>
        <row r="507">
          <cell r="C507" t="str">
            <v>8740</v>
          </cell>
          <cell r="AN507">
            <v>0</v>
          </cell>
        </row>
        <row r="508">
          <cell r="C508" t="str">
            <v>9230</v>
          </cell>
          <cell r="F508">
            <v>7439</v>
          </cell>
          <cell r="G508">
            <v>6315</v>
          </cell>
          <cell r="H508">
            <v>8992.5</v>
          </cell>
          <cell r="I508">
            <v>6567</v>
          </cell>
          <cell r="J508">
            <v>9441.9699999999993</v>
          </cell>
          <cell r="K508">
            <v>8016</v>
          </cell>
          <cell r="L508">
            <v>7915.4977338880808</v>
          </cell>
          <cell r="M508">
            <v>8520.9085441099123</v>
          </cell>
          <cell r="N508">
            <v>9411.7601926112402</v>
          </cell>
          <cell r="O508">
            <v>8682.044501203176</v>
          </cell>
          <cell r="P508">
            <v>7703.7190474226491</v>
          </cell>
          <cell r="Q508">
            <v>5551.4104153206708</v>
          </cell>
          <cell r="U508">
            <v>6479.8074324074005</v>
          </cell>
          <cell r="V508">
            <v>7818.3843152671097</v>
          </cell>
          <cell r="W508">
            <v>9885.4946119982706</v>
          </cell>
          <cell r="X508">
            <v>7915.4977338880808</v>
          </cell>
          <cell r="Y508">
            <v>8520.9085441099123</v>
          </cell>
          <cell r="Z508">
            <v>9411.7601926112402</v>
          </cell>
          <cell r="AA508">
            <v>8682.044501203176</v>
          </cell>
          <cell r="AB508">
            <v>7703.7190474226491</v>
          </cell>
          <cell r="AC508">
            <v>5551.4104153206708</v>
          </cell>
          <cell r="AD508">
            <v>8574.6519896850041</v>
          </cell>
          <cell r="AE508">
            <v>8000.3054296600594</v>
          </cell>
          <cell r="AF508">
            <v>6012.8262209821469</v>
          </cell>
          <cell r="AN508">
            <v>0</v>
          </cell>
        </row>
        <row r="511">
          <cell r="C511" t="str">
            <v>9040</v>
          </cell>
        </row>
        <row r="514">
          <cell r="C514" t="str">
            <v>8760</v>
          </cell>
          <cell r="AN514">
            <v>0</v>
          </cell>
        </row>
        <row r="515">
          <cell r="C515" t="str">
            <v>9020</v>
          </cell>
          <cell r="AN515">
            <v>0</v>
          </cell>
        </row>
        <row r="516">
          <cell r="C516" t="str">
            <v>9030</v>
          </cell>
          <cell r="AN516">
            <v>0</v>
          </cell>
        </row>
        <row r="517">
          <cell r="C517" t="str">
            <v>9090</v>
          </cell>
          <cell r="AN517">
            <v>0</v>
          </cell>
        </row>
        <row r="518">
          <cell r="C518" t="str">
            <v>9110</v>
          </cell>
          <cell r="AN518">
            <v>0</v>
          </cell>
        </row>
        <row r="519">
          <cell r="C519" t="str">
            <v>9120</v>
          </cell>
          <cell r="AN519">
            <v>0</v>
          </cell>
        </row>
        <row r="520">
          <cell r="C520" t="str">
            <v>9250</v>
          </cell>
          <cell r="AN520">
            <v>0</v>
          </cell>
        </row>
        <row r="521">
          <cell r="C521" t="str">
            <v>9270</v>
          </cell>
          <cell r="AN521">
            <v>0</v>
          </cell>
        </row>
        <row r="522">
          <cell r="C522" t="str">
            <v>9280</v>
          </cell>
          <cell r="AN522">
            <v>0</v>
          </cell>
        </row>
        <row r="523">
          <cell r="C523" t="str">
            <v>9302</v>
          </cell>
          <cell r="AN523">
            <v>0</v>
          </cell>
        </row>
        <row r="524">
          <cell r="C524" t="str">
            <v>8160</v>
          </cell>
          <cell r="AN524">
            <v>0</v>
          </cell>
        </row>
        <row r="525">
          <cell r="C525" t="str">
            <v>8560</v>
          </cell>
          <cell r="AN525">
            <v>0</v>
          </cell>
        </row>
        <row r="526">
          <cell r="C526" t="str">
            <v>8700</v>
          </cell>
          <cell r="AN526">
            <v>0</v>
          </cell>
        </row>
        <row r="527">
          <cell r="C527" t="str">
            <v>8740</v>
          </cell>
          <cell r="AN527">
            <v>0</v>
          </cell>
        </row>
        <row r="528">
          <cell r="C528" t="str">
            <v>8750</v>
          </cell>
          <cell r="AN528">
            <v>0</v>
          </cell>
        </row>
        <row r="529">
          <cell r="C529" t="str">
            <v>8760</v>
          </cell>
          <cell r="AN529">
            <v>0</v>
          </cell>
        </row>
        <row r="530">
          <cell r="C530" t="str">
            <v>8780</v>
          </cell>
          <cell r="AN530">
            <v>0</v>
          </cell>
        </row>
        <row r="531">
          <cell r="C531" t="str">
            <v>8800</v>
          </cell>
          <cell r="AN531">
            <v>0</v>
          </cell>
        </row>
        <row r="532">
          <cell r="C532" t="str">
            <v>8810</v>
          </cell>
          <cell r="AN532">
            <v>0</v>
          </cell>
        </row>
        <row r="533">
          <cell r="C533" t="str">
            <v>9210</v>
          </cell>
          <cell r="AN533">
            <v>0</v>
          </cell>
        </row>
        <row r="534">
          <cell r="C534" t="str">
            <v>8700</v>
          </cell>
          <cell r="AN534">
            <v>0</v>
          </cell>
        </row>
        <row r="537">
          <cell r="F537">
            <v>1237497.3299999998</v>
          </cell>
          <cell r="G537">
            <v>1226116.2200000002</v>
          </cell>
          <cell r="H537">
            <v>1250262.6999999997</v>
          </cell>
          <cell r="I537">
            <v>1222005.3000000003</v>
          </cell>
          <cell r="J537">
            <v>1287606.92</v>
          </cell>
          <cell r="K537">
            <v>1521532.85</v>
          </cell>
          <cell r="L537">
            <v>1382342.3299999998</v>
          </cell>
          <cell r="M537">
            <v>1407956.8699999999</v>
          </cell>
          <cell r="N537">
            <v>1444772.0300000003</v>
          </cell>
          <cell r="O537">
            <v>1410393.8800000001</v>
          </cell>
          <cell r="P537">
            <v>1368759.49</v>
          </cell>
          <cell r="Q537">
            <v>1374222.9900000005</v>
          </cell>
          <cell r="U537">
            <v>1165188.5757314549</v>
          </cell>
          <cell r="V537">
            <v>1216714.2810393774</v>
          </cell>
          <cell r="W537">
            <v>1362319.9646871646</v>
          </cell>
          <cell r="X537">
            <v>1361657.7203961443</v>
          </cell>
          <cell r="Y537">
            <v>1382479.4040793225</v>
          </cell>
          <cell r="Z537">
            <v>1428999.0642866145</v>
          </cell>
          <cell r="AA537">
            <v>1395888.3341557893</v>
          </cell>
          <cell r="AB537">
            <v>1355573.2331987978</v>
          </cell>
          <cell r="AC537">
            <v>1358863.055889769</v>
          </cell>
          <cell r="AD537">
            <v>1235884.4588689299</v>
          </cell>
          <cell r="AE537">
            <v>1216015.4757862568</v>
          </cell>
          <cell r="AF537">
            <v>1227390.032769847</v>
          </cell>
          <cell r="AI537">
            <v>15706973.600889469</v>
          </cell>
        </row>
        <row r="548">
          <cell r="L548">
            <v>9</v>
          </cell>
          <cell r="M548">
            <v>10</v>
          </cell>
          <cell r="N548">
            <v>11</v>
          </cell>
          <cell r="O548">
            <v>12</v>
          </cell>
          <cell r="P548">
            <v>13</v>
          </cell>
          <cell r="Q548">
            <v>14</v>
          </cell>
          <cell r="U548">
            <v>18</v>
          </cell>
          <cell r="V548">
            <v>19</v>
          </cell>
          <cell r="W548">
            <v>20</v>
          </cell>
          <cell r="X548">
            <v>21</v>
          </cell>
          <cell r="Y548">
            <v>22</v>
          </cell>
          <cell r="Z548">
            <v>23</v>
          </cell>
          <cell r="AA548">
            <v>24</v>
          </cell>
          <cell r="AB548">
            <v>25</v>
          </cell>
          <cell r="AC548">
            <v>26</v>
          </cell>
          <cell r="AD548">
            <v>27</v>
          </cell>
          <cell r="AE548">
            <v>28</v>
          </cell>
          <cell r="AF548">
            <v>29</v>
          </cell>
        </row>
        <row r="549">
          <cell r="D549">
            <v>7560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</row>
        <row r="550">
          <cell r="D550">
            <v>7590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</row>
        <row r="551">
          <cell r="D551">
            <v>8140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294.57</v>
          </cell>
          <cell r="K551">
            <v>0</v>
          </cell>
          <cell r="L551">
            <v>50.548171223843973</v>
          </cell>
          <cell r="M551">
            <v>43.272618483439217</v>
          </cell>
          <cell r="N551">
            <v>56.937706724150104</v>
          </cell>
          <cell r="O551">
            <v>58.052935086613921</v>
          </cell>
          <cell r="P551">
            <v>53.695480691846605</v>
          </cell>
          <cell r="Q551">
            <v>95.722306888415446</v>
          </cell>
          <cell r="R551">
            <v>51.928976133221646</v>
          </cell>
          <cell r="S551">
            <v>31.504689515517015</v>
          </cell>
          <cell r="T551">
            <v>40.949259076096737</v>
          </cell>
          <cell r="U551">
            <v>52.931881058853229</v>
          </cell>
          <cell r="V551">
            <v>45.225143000865316</v>
          </cell>
          <cell r="W551">
            <v>72.030051215446093</v>
          </cell>
          <cell r="X551">
            <v>50.548171223843973</v>
          </cell>
          <cell r="Y551">
            <v>43.272618483439217</v>
          </cell>
          <cell r="Z551">
            <v>56.937706724150104</v>
          </cell>
          <cell r="AA551">
            <v>58.052935086613921</v>
          </cell>
          <cell r="AB551">
            <v>53.695480691846605</v>
          </cell>
          <cell r="AC551">
            <v>95.722306888415446</v>
          </cell>
          <cell r="AD551">
            <v>51.928976133221646</v>
          </cell>
          <cell r="AE551">
            <v>31.504689515517015</v>
          </cell>
          <cell r="AF551">
            <v>40.949259076096737</v>
          </cell>
        </row>
        <row r="552">
          <cell r="D552">
            <v>8150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</row>
        <row r="553">
          <cell r="D553">
            <v>8160</v>
          </cell>
          <cell r="F553">
            <v>75219.290000000008</v>
          </cell>
          <cell r="G553">
            <v>74044.2</v>
          </cell>
          <cell r="H553">
            <v>2632.27</v>
          </cell>
          <cell r="I553">
            <v>19712.86</v>
          </cell>
          <cell r="J553">
            <v>5503.9400000000005</v>
          </cell>
          <cell r="K553">
            <v>3089.8199999999997</v>
          </cell>
          <cell r="L553">
            <v>30857.45620541861</v>
          </cell>
          <cell r="M553">
            <v>32428.068437239643</v>
          </cell>
          <cell r="N553">
            <v>36054.481223668954</v>
          </cell>
          <cell r="O553">
            <v>33716.964214695639</v>
          </cell>
          <cell r="P553">
            <v>30291.411517414228</v>
          </cell>
          <cell r="Q553">
            <v>25838.262097844443</v>
          </cell>
          <cell r="R553">
            <v>32765.76359991193</v>
          </cell>
          <cell r="S553">
            <v>29823.053535341598</v>
          </cell>
          <cell r="T553">
            <v>24034.335639805991</v>
          </cell>
          <cell r="U553">
            <v>25866.054806498869</v>
          </cell>
          <cell r="V553">
            <v>29890.542173700611</v>
          </cell>
          <cell r="W553">
            <v>38169.038144740982</v>
          </cell>
          <cell r="X553">
            <v>30925.500206603254</v>
          </cell>
          <cell r="Y553">
            <v>32494.571129577438</v>
          </cell>
          <cell r="Z553">
            <v>36121.170141632814</v>
          </cell>
          <cell r="AA553">
            <v>33782.894265837029</v>
          </cell>
          <cell r="AB553">
            <v>30358.728157589048</v>
          </cell>
          <cell r="AC553">
            <v>25902.137304280353</v>
          </cell>
          <cell r="AD553">
            <v>32824.525057099607</v>
          </cell>
          <cell r="AE553">
            <v>29880.143161674554</v>
          </cell>
          <cell r="AF553">
            <v>24099.882312602367</v>
          </cell>
        </row>
        <row r="554">
          <cell r="D554">
            <v>8170</v>
          </cell>
          <cell r="F554">
            <v>4536.46</v>
          </cell>
          <cell r="G554">
            <v>-780.13</v>
          </cell>
          <cell r="H554">
            <v>2783.54</v>
          </cell>
          <cell r="I554">
            <v>4960.2999999999993</v>
          </cell>
          <cell r="J554">
            <v>4127.76</v>
          </cell>
          <cell r="K554">
            <v>3065.19</v>
          </cell>
          <cell r="L554">
            <v>3499.1254475903152</v>
          </cell>
          <cell r="M554">
            <v>3319.1025989169207</v>
          </cell>
          <cell r="N554">
            <v>3553.4655548664045</v>
          </cell>
          <cell r="O554">
            <v>3554.2867197180321</v>
          </cell>
          <cell r="P554">
            <v>3517.2057243997292</v>
          </cell>
          <cell r="Q554">
            <v>4128.1070713204845</v>
          </cell>
          <cell r="R554">
            <v>3201.0581402978532</v>
          </cell>
          <cell r="S554">
            <v>2774.7623202779987</v>
          </cell>
          <cell r="T554">
            <v>3252.4585221291027</v>
          </cell>
          <cell r="U554">
            <v>3130.1231793384859</v>
          </cell>
          <cell r="V554">
            <v>3053.1480803341269</v>
          </cell>
          <cell r="W554">
            <v>3655.659257622433</v>
          </cell>
          <cell r="X554">
            <v>3572.6068733348284</v>
          </cell>
          <cell r="Y554">
            <v>3390.9195491807559</v>
          </cell>
          <cell r="Z554">
            <v>3625.4836121238727</v>
          </cell>
          <cell r="AA554">
            <v>3625.4852687882394</v>
          </cell>
          <cell r="AB554">
            <v>3589.9016654122702</v>
          </cell>
          <cell r="AC554">
            <v>4197.0865721863902</v>
          </cell>
          <cell r="AD554">
            <v>3264.5152500768436</v>
          </cell>
          <cell r="AE554">
            <v>2836.4140025002653</v>
          </cell>
          <cell r="AF554">
            <v>3323.243056930587</v>
          </cell>
        </row>
        <row r="555">
          <cell r="D555">
            <v>8180</v>
          </cell>
          <cell r="F555">
            <v>2179.63</v>
          </cell>
          <cell r="G555">
            <v>4703.22</v>
          </cell>
          <cell r="H555">
            <v>4200.4800000000005</v>
          </cell>
          <cell r="I555">
            <v>5245.32</v>
          </cell>
          <cell r="J555">
            <v>3235.31</v>
          </cell>
          <cell r="K555">
            <v>3882.44</v>
          </cell>
          <cell r="L555">
            <v>4446.6597302715663</v>
          </cell>
          <cell r="M555">
            <v>4215.4341643961106</v>
          </cell>
          <cell r="N555">
            <v>4515.697189841595</v>
          </cell>
          <cell r="O555">
            <v>4502.5861572656477</v>
          </cell>
          <cell r="P555">
            <v>4477.3161832672222</v>
          </cell>
          <cell r="Q555">
            <v>5204.7983038153452</v>
          </cell>
          <cell r="R555">
            <v>4018.8454130896789</v>
          </cell>
          <cell r="S555">
            <v>3499.7429978997238</v>
          </cell>
          <cell r="T555">
            <v>4119.1651008499284</v>
          </cell>
          <cell r="U555">
            <v>3932.8258425825879</v>
          </cell>
          <cell r="V555">
            <v>3817.1758106839761</v>
          </cell>
          <cell r="W555">
            <v>4571.4153348941063</v>
          </cell>
          <cell r="X555">
            <v>4547.3819034940898</v>
          </cell>
          <cell r="Y555">
            <v>4313.8748142813965</v>
          </cell>
          <cell r="Z555">
            <v>4614.4135003206129</v>
          </cell>
          <cell r="AA555">
            <v>4600.1791546793802</v>
          </cell>
          <cell r="AB555">
            <v>4576.9616799223577</v>
          </cell>
          <cell r="AC555">
            <v>5299.349616131678</v>
          </cell>
          <cell r="AD555">
            <v>4105.8270950399274</v>
          </cell>
          <cell r="AE555">
            <v>3584.2499512329573</v>
          </cell>
          <cell r="AF555">
            <v>4216.1906022404355</v>
          </cell>
        </row>
        <row r="556">
          <cell r="D556">
            <v>8190</v>
          </cell>
          <cell r="F556">
            <v>138.54</v>
          </cell>
          <cell r="G556">
            <v>90.61</v>
          </cell>
          <cell r="H556">
            <v>91.34</v>
          </cell>
          <cell r="I556">
            <v>0</v>
          </cell>
          <cell r="J556">
            <v>0</v>
          </cell>
          <cell r="K556">
            <v>200.36</v>
          </cell>
          <cell r="L556">
            <v>80.541856816184506</v>
          </cell>
          <cell r="M556">
            <v>81.838851588369849</v>
          </cell>
          <cell r="N556">
            <v>76.366522468679591</v>
          </cell>
          <cell r="O556">
            <v>80.559960603866827</v>
          </cell>
          <cell r="P556">
            <v>75.315048356187972</v>
          </cell>
          <cell r="Q556">
            <v>75.290208275414571</v>
          </cell>
          <cell r="R556">
            <v>86.33475311078648</v>
          </cell>
          <cell r="S556">
            <v>81.966410570184337</v>
          </cell>
          <cell r="T556">
            <v>85.913332911471201</v>
          </cell>
          <cell r="U556">
            <v>81.208692420613957</v>
          </cell>
          <cell r="V556">
            <v>92.435356384398887</v>
          </cell>
          <cell r="W556">
            <v>92.991454602545346</v>
          </cell>
          <cell r="X556">
            <v>80.541856816184506</v>
          </cell>
          <cell r="Y556">
            <v>81.838851588369849</v>
          </cell>
          <cell r="Z556">
            <v>76.366522468679591</v>
          </cell>
          <cell r="AA556">
            <v>80.559960603866827</v>
          </cell>
          <cell r="AB556">
            <v>75.315048356187972</v>
          </cell>
          <cell r="AC556">
            <v>75.290208275414571</v>
          </cell>
          <cell r="AD556">
            <v>86.33475311078648</v>
          </cell>
          <cell r="AE556">
            <v>81.966410570184337</v>
          </cell>
          <cell r="AF556">
            <v>85.913332911471201</v>
          </cell>
        </row>
        <row r="557">
          <cell r="D557">
            <v>8200</v>
          </cell>
          <cell r="F557">
            <v>89.52</v>
          </cell>
          <cell r="G557">
            <v>563.66</v>
          </cell>
          <cell r="H557">
            <v>249.87</v>
          </cell>
          <cell r="I557">
            <v>500.94</v>
          </cell>
          <cell r="J557">
            <v>1464.47</v>
          </cell>
          <cell r="K557">
            <v>853.78</v>
          </cell>
          <cell r="L557">
            <v>652.48932383226065</v>
          </cell>
          <cell r="M557">
            <v>609.42909791965735</v>
          </cell>
          <cell r="N557">
            <v>675.7188030606294</v>
          </cell>
          <cell r="O557">
            <v>686.66673798281647</v>
          </cell>
          <cell r="P557">
            <v>658.14047745987784</v>
          </cell>
          <cell r="Q557">
            <v>877.94286834884531</v>
          </cell>
          <cell r="R557">
            <v>638.65593889540628</v>
          </cell>
          <cell r="S557">
            <v>512.71295897931088</v>
          </cell>
          <cell r="T557">
            <v>600.54749153986836</v>
          </cell>
          <cell r="U557">
            <v>627.7684916814394</v>
          </cell>
          <cell r="V557">
            <v>608.36920797573907</v>
          </cell>
          <cell r="W557">
            <v>769.62071092823635</v>
          </cell>
          <cell r="X557">
            <v>659.44968926612523</v>
          </cell>
          <cell r="Y557">
            <v>616.23179959722097</v>
          </cell>
          <cell r="Z557">
            <v>682.5405541531004</v>
          </cell>
          <cell r="AA557">
            <v>693.41086297588095</v>
          </cell>
          <cell r="AB557">
            <v>665.02643959084162</v>
          </cell>
          <cell r="AC557">
            <v>884.47679891167365</v>
          </cell>
          <cell r="AD557">
            <v>644.6667731839832</v>
          </cell>
          <cell r="AE557">
            <v>518.55277813812063</v>
          </cell>
          <cell r="AF557">
            <v>607.25239994757192</v>
          </cell>
        </row>
        <row r="558">
          <cell r="D558">
            <v>8210</v>
          </cell>
          <cell r="F558">
            <v>132.68</v>
          </cell>
          <cell r="G558">
            <v>582.48</v>
          </cell>
          <cell r="H558">
            <v>4444.4000000000005</v>
          </cell>
          <cell r="I558">
            <v>1712.9199999999998</v>
          </cell>
          <cell r="J558">
            <v>11513.23</v>
          </cell>
          <cell r="K558">
            <v>-348.74999999999983</v>
          </cell>
          <cell r="L558">
            <v>3486.3081118680543</v>
          </cell>
          <cell r="M558">
            <v>3413.7588544046635</v>
          </cell>
          <cell r="N558">
            <v>3412.1450988231495</v>
          </cell>
          <cell r="O558">
            <v>3386.5062572191127</v>
          </cell>
          <cell r="P558">
            <v>3438.9013380113729</v>
          </cell>
          <cell r="Q558">
            <v>3283.3550404790562</v>
          </cell>
          <cell r="R558">
            <v>3054.9996867722066</v>
          </cell>
          <cell r="S558">
            <v>2958.7678523669124</v>
          </cell>
          <cell r="T558">
            <v>3377.5270918218257</v>
          </cell>
          <cell r="U558">
            <v>2938.2559368447892</v>
          </cell>
          <cell r="V558">
            <v>3011.0248534184243</v>
          </cell>
          <cell r="W558">
            <v>3195.9811787758417</v>
          </cell>
          <cell r="X558">
            <v>3584.4425702399449</v>
          </cell>
          <cell r="Y558">
            <v>3509.6704054484139</v>
          </cell>
          <cell r="Z558">
            <v>3508.325228296007</v>
          </cell>
          <cell r="AA558">
            <v>3481.5919333485108</v>
          </cell>
          <cell r="AB558">
            <v>3535.9867813709584</v>
          </cell>
          <cell r="AC558">
            <v>3375.4771773000675</v>
          </cell>
          <cell r="AD558">
            <v>3139.7466692226903</v>
          </cell>
          <cell r="AE558">
            <v>3041.1036859642859</v>
          </cell>
          <cell r="AF558">
            <v>3472.0598518148299</v>
          </cell>
        </row>
        <row r="559">
          <cell r="D559">
            <v>8240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</row>
        <row r="560">
          <cell r="D560">
            <v>8250</v>
          </cell>
          <cell r="F560">
            <v>192.66</v>
          </cell>
          <cell r="G560">
            <v>234.14999999999998</v>
          </cell>
          <cell r="H560">
            <v>468.11</v>
          </cell>
          <cell r="I560">
            <v>1229.3</v>
          </cell>
          <cell r="J560">
            <v>1387.8999999999999</v>
          </cell>
          <cell r="K560">
            <v>1329.28</v>
          </cell>
          <cell r="L560">
            <v>748.65190667154775</v>
          </cell>
          <cell r="M560">
            <v>760.70772022642552</v>
          </cell>
          <cell r="N560">
            <v>709.84137828523637</v>
          </cell>
          <cell r="O560">
            <v>748.82018482780234</v>
          </cell>
          <cell r="P560">
            <v>700.06772604713149</v>
          </cell>
          <cell r="Q560">
            <v>699.83683276296836</v>
          </cell>
          <cell r="R560">
            <v>802.49798158886756</v>
          </cell>
          <cell r="S560">
            <v>761.89340526925298</v>
          </cell>
          <cell r="T560">
            <v>798.58080053296851</v>
          </cell>
          <cell r="U560">
            <v>754.85027068284614</v>
          </cell>
          <cell r="V560">
            <v>859.20425151085487</v>
          </cell>
          <cell r="W560">
            <v>864.37329041521161</v>
          </cell>
          <cell r="X560">
            <v>748.65190667154775</v>
          </cell>
          <cell r="Y560">
            <v>760.70772022642552</v>
          </cell>
          <cell r="Z560">
            <v>709.84137828523637</v>
          </cell>
          <cell r="AA560">
            <v>748.82018482780234</v>
          </cell>
          <cell r="AB560">
            <v>700.06772604713149</v>
          </cell>
          <cell r="AC560">
            <v>699.83683276296836</v>
          </cell>
          <cell r="AD560">
            <v>802.49798158886756</v>
          </cell>
          <cell r="AE560">
            <v>761.89340526925298</v>
          </cell>
          <cell r="AF560">
            <v>798.58080053296851</v>
          </cell>
        </row>
        <row r="561">
          <cell r="D561">
            <v>8310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250.08</v>
          </cell>
          <cell r="L561">
            <v>42.91369338241811</v>
          </cell>
          <cell r="M561">
            <v>36.736994365816201</v>
          </cell>
          <cell r="N561">
            <v>48.338193629953693</v>
          </cell>
          <cell r="O561">
            <v>49.284984915165865</v>
          </cell>
          <cell r="P561">
            <v>45.585653024466168</v>
          </cell>
          <cell r="Q561">
            <v>81.265011734578991</v>
          </cell>
          <cell r="R561">
            <v>44.085950203333908</v>
          </cell>
          <cell r="S561">
            <v>26.746419370745478</v>
          </cell>
          <cell r="T561">
            <v>34.764540549785359</v>
          </cell>
          <cell r="U561">
            <v>44.937382677115849</v>
          </cell>
          <cell r="V561">
            <v>38.394621861209217</v>
          </cell>
          <cell r="W561">
            <v>61.151085337810237</v>
          </cell>
          <cell r="X561">
            <v>42.91369338241811</v>
          </cell>
          <cell r="Y561">
            <v>36.736994365816201</v>
          </cell>
          <cell r="Z561">
            <v>48.338193629953693</v>
          </cell>
          <cell r="AA561">
            <v>49.284984915165865</v>
          </cell>
          <cell r="AB561">
            <v>45.585653024466168</v>
          </cell>
          <cell r="AC561">
            <v>81.265011734578991</v>
          </cell>
          <cell r="AD561">
            <v>44.085950203333908</v>
          </cell>
          <cell r="AE561">
            <v>26.746419370745478</v>
          </cell>
          <cell r="AF561">
            <v>34.764540549785359</v>
          </cell>
        </row>
        <row r="562">
          <cell r="D562">
            <v>8320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</row>
        <row r="563">
          <cell r="D563">
            <v>8340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</row>
        <row r="564">
          <cell r="D564">
            <v>8350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</row>
        <row r="565">
          <cell r="D565">
            <v>8360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</row>
        <row r="566">
          <cell r="D566">
            <v>8370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</row>
        <row r="567">
          <cell r="D567">
            <v>8400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</row>
        <row r="568">
          <cell r="D568">
            <v>8410</v>
          </cell>
          <cell r="F568">
            <v>17322.14</v>
          </cell>
          <cell r="G568">
            <v>15589.689999999999</v>
          </cell>
          <cell r="H568">
            <v>30579.299999999996</v>
          </cell>
          <cell r="I568">
            <v>13059.27</v>
          </cell>
          <cell r="J568">
            <v>9380.32</v>
          </cell>
          <cell r="K568">
            <v>14961.36</v>
          </cell>
          <cell r="L568">
            <v>21070.727637754775</v>
          </cell>
          <cell r="M568">
            <v>20627.493600352311</v>
          </cell>
          <cell r="N568">
            <v>20541.91373933569</v>
          </cell>
          <cell r="O568">
            <v>20280.83239611832</v>
          </cell>
          <cell r="P568">
            <v>20943.648303388953</v>
          </cell>
          <cell r="Q568">
            <v>20317.864800458017</v>
          </cell>
          <cell r="R568">
            <v>17105.734831705184</v>
          </cell>
          <cell r="S568">
            <v>16689.456144140811</v>
          </cell>
          <cell r="T568">
            <v>19070.428935724271</v>
          </cell>
          <cell r="U568">
            <v>16447.114532073039</v>
          </cell>
          <cell r="V568">
            <v>16738.357264831247</v>
          </cell>
          <cell r="W568">
            <v>17850.108591525455</v>
          </cell>
          <cell r="X568">
            <v>21661.801297616272</v>
          </cell>
          <cell r="Y568">
            <v>21205.178467003199</v>
          </cell>
          <cell r="Z568">
            <v>21121.2162807329</v>
          </cell>
          <cell r="AA568">
            <v>20853.542935541926</v>
          </cell>
          <cell r="AB568">
            <v>21528.403640890909</v>
          </cell>
          <cell r="AC568">
            <v>20872.725646163293</v>
          </cell>
          <cell r="AD568">
            <v>17616.174384847647</v>
          </cell>
          <cell r="AE568">
            <v>17185.373106536626</v>
          </cell>
          <cell r="AF568">
            <v>19639.80920594624</v>
          </cell>
        </row>
        <row r="569">
          <cell r="D569">
            <v>8470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</row>
        <row r="570">
          <cell r="D570">
            <v>8500</v>
          </cell>
          <cell r="F570">
            <v>0</v>
          </cell>
          <cell r="G570">
            <v>0</v>
          </cell>
          <cell r="H570">
            <v>3849.61</v>
          </cell>
          <cell r="I570">
            <v>4206.46</v>
          </cell>
          <cell r="J570">
            <v>0</v>
          </cell>
          <cell r="K570">
            <v>0</v>
          </cell>
          <cell r="L570">
            <v>946.58671748546442</v>
          </cell>
          <cell r="M570">
            <v>1055.2888041657197</v>
          </cell>
          <cell r="N570">
            <v>1185.4629079680008</v>
          </cell>
          <cell r="O570">
            <v>1074.5241528375345</v>
          </cell>
          <cell r="P570">
            <v>951.86525502796235</v>
          </cell>
          <cell r="Q570">
            <v>1132.24451353106</v>
          </cell>
          <cell r="R570">
            <v>650.5385974133942</v>
          </cell>
          <cell r="S570">
            <v>696.69448755194867</v>
          </cell>
          <cell r="T570">
            <v>1116.4983676415745</v>
          </cell>
          <cell r="U570">
            <v>1345.6897837346971</v>
          </cell>
          <cell r="V570">
            <v>2332.5669520148826</v>
          </cell>
          <cell r="W570">
            <v>1914.0818116435009</v>
          </cell>
          <cell r="X570">
            <v>946.58671748546442</v>
          </cell>
          <cell r="Y570">
            <v>1055.2888041657197</v>
          </cell>
          <cell r="Z570">
            <v>1185.4629079680008</v>
          </cell>
          <cell r="AA570">
            <v>1074.5241528375345</v>
          </cell>
          <cell r="AB570">
            <v>951.86525502796235</v>
          </cell>
          <cell r="AC570">
            <v>1132.24451353106</v>
          </cell>
          <cell r="AD570">
            <v>650.5385974133942</v>
          </cell>
          <cell r="AE570">
            <v>696.69448755194867</v>
          </cell>
          <cell r="AF570">
            <v>1116.4983676415745</v>
          </cell>
        </row>
        <row r="571">
          <cell r="D571">
            <v>8520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</row>
        <row r="572">
          <cell r="D572">
            <v>8550</v>
          </cell>
          <cell r="F572">
            <v>2.52</v>
          </cell>
          <cell r="G572">
            <v>35.93</v>
          </cell>
          <cell r="H572">
            <v>37.39</v>
          </cell>
          <cell r="I572">
            <v>0</v>
          </cell>
          <cell r="J572">
            <v>0</v>
          </cell>
          <cell r="K572">
            <v>32.46</v>
          </cell>
          <cell r="L572">
            <v>16.74701563442984</v>
          </cell>
          <cell r="M572">
            <v>17.016698909514169</v>
          </cell>
          <cell r="N572">
            <v>15.878841093132381</v>
          </cell>
          <cell r="O572">
            <v>16.750779943167473</v>
          </cell>
          <cell r="P572">
            <v>15.660208768311715</v>
          </cell>
          <cell r="Q572">
            <v>15.655043786555433</v>
          </cell>
          <cell r="R572">
            <v>17.95152877392373</v>
          </cell>
          <cell r="S572">
            <v>17.043222165212562</v>
          </cell>
          <cell r="T572">
            <v>17.863903147378959</v>
          </cell>
          <cell r="U572">
            <v>16.885670325722362</v>
          </cell>
          <cell r="V572">
            <v>19.220023224403189</v>
          </cell>
          <cell r="W572">
            <v>19.335652363359241</v>
          </cell>
          <cell r="X572">
            <v>16.74701563442984</v>
          </cell>
          <cell r="Y572">
            <v>17.016698909514169</v>
          </cell>
          <cell r="Z572">
            <v>15.878841093132381</v>
          </cell>
          <cell r="AA572">
            <v>16.750779943167473</v>
          </cell>
          <cell r="AB572">
            <v>15.660208768311715</v>
          </cell>
          <cell r="AC572">
            <v>15.655043786555433</v>
          </cell>
          <cell r="AD572">
            <v>17.95152877392373</v>
          </cell>
          <cell r="AE572">
            <v>17.043222165212562</v>
          </cell>
          <cell r="AF572">
            <v>17.863903147378959</v>
          </cell>
        </row>
        <row r="573">
          <cell r="D573">
            <v>8560</v>
          </cell>
          <cell r="F573">
            <v>17870.97</v>
          </cell>
          <cell r="G573">
            <v>13841.660000000003</v>
          </cell>
          <cell r="H573">
            <v>7657.8900000000021</v>
          </cell>
          <cell r="I573">
            <v>12373.059999999998</v>
          </cell>
          <cell r="J573">
            <v>9541.5300000000007</v>
          </cell>
          <cell r="K573">
            <v>18556.419999999998</v>
          </cell>
          <cell r="L573">
            <v>14993.185325060298</v>
          </cell>
          <cell r="M573">
            <v>14698.010599695928</v>
          </cell>
          <cell r="N573">
            <v>14949.387819578929</v>
          </cell>
          <cell r="O573">
            <v>14897.128169951382</v>
          </cell>
          <cell r="P573">
            <v>14928.669043800981</v>
          </cell>
          <cell r="Q573">
            <v>16449.337875170218</v>
          </cell>
          <cell r="R573">
            <v>13521.67665987512</v>
          </cell>
          <cell r="S573">
            <v>13549.374935938831</v>
          </cell>
          <cell r="T573">
            <v>14429.261126856905</v>
          </cell>
          <cell r="U573">
            <v>12818.35848938864</v>
          </cell>
          <cell r="V573">
            <v>13029.947465601006</v>
          </cell>
          <cell r="W573">
            <v>14326.451022339517</v>
          </cell>
          <cell r="X573">
            <v>15353.342750797099</v>
          </cell>
          <cell r="Y573">
            <v>15050.009865758377</v>
          </cell>
          <cell r="Z573">
            <v>15302.372779323701</v>
          </cell>
          <cell r="AA573">
            <v>15246.096441722235</v>
          </cell>
          <cell r="AB573">
            <v>15284.976542074395</v>
          </cell>
          <cell r="AC573">
            <v>16787.429837986128</v>
          </cell>
          <cell r="AD573">
            <v>13832.70150827914</v>
          </cell>
          <cell r="AE573">
            <v>13851.550770669048</v>
          </cell>
          <cell r="AF573">
            <v>14776.200174075691</v>
          </cell>
        </row>
        <row r="574">
          <cell r="D574">
            <v>8570</v>
          </cell>
          <cell r="F574">
            <v>627.84999999999991</v>
          </cell>
          <cell r="G574">
            <v>2497.84</v>
          </cell>
          <cell r="H574">
            <v>618.28999999999985</v>
          </cell>
          <cell r="I574">
            <v>665.65000000000009</v>
          </cell>
          <cell r="J574">
            <v>680.32999999999993</v>
          </cell>
          <cell r="K574">
            <v>890.4799999999999</v>
          </cell>
          <cell r="L574">
            <v>971.53543568211921</v>
          </cell>
          <cell r="M574">
            <v>951.78203875304803</v>
          </cell>
          <cell r="N574">
            <v>959.11559675274941</v>
          </cell>
          <cell r="O574">
            <v>995.68982684294906</v>
          </cell>
          <cell r="P574">
            <v>939.69844708530945</v>
          </cell>
          <cell r="Q574">
            <v>1090.2046358989051</v>
          </cell>
          <cell r="R574">
            <v>1005.5155786708877</v>
          </cell>
          <cell r="S574">
            <v>890.51803417469409</v>
          </cell>
          <cell r="T574">
            <v>974.13779704739659</v>
          </cell>
          <cell r="U574">
            <v>963.67963287460543</v>
          </cell>
          <cell r="V574">
            <v>1027.3562036469796</v>
          </cell>
          <cell r="W574">
            <v>1139.3576535854379</v>
          </cell>
          <cell r="X574">
            <v>975.48851735098663</v>
          </cell>
          <cell r="Y574">
            <v>955.64557660258583</v>
          </cell>
          <cell r="Z574">
            <v>962.98995355907743</v>
          </cell>
          <cell r="AA574">
            <v>999.52009655162306</v>
          </cell>
          <cell r="AB574">
            <v>943.60927201699906</v>
          </cell>
          <cell r="AC574">
            <v>1093.9155274288096</v>
          </cell>
          <cell r="AD574">
            <v>1008.9293820216667</v>
          </cell>
          <cell r="AE574">
            <v>893.83471090460739</v>
          </cell>
          <cell r="AF574">
            <v>977.94579402252259</v>
          </cell>
        </row>
        <row r="575">
          <cell r="D575">
            <v>8580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</row>
        <row r="576">
          <cell r="D576">
            <v>8590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</row>
        <row r="577">
          <cell r="D577">
            <v>8600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</row>
        <row r="578">
          <cell r="D578">
            <v>8620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</row>
        <row r="579">
          <cell r="D579">
            <v>8630</v>
          </cell>
          <cell r="F579">
            <v>1083.33</v>
          </cell>
          <cell r="G579">
            <v>1397.21</v>
          </cell>
          <cell r="H579">
            <v>-623.91999999999996</v>
          </cell>
          <cell r="I579">
            <v>0</v>
          </cell>
          <cell r="J579">
            <v>0</v>
          </cell>
          <cell r="K579">
            <v>0</v>
          </cell>
          <cell r="L579">
            <v>364.69102892697555</v>
          </cell>
          <cell r="M579">
            <v>356.43017566342161</v>
          </cell>
          <cell r="N579">
            <v>357.42827709775554</v>
          </cell>
          <cell r="O579">
            <v>353.36102770788108</v>
          </cell>
          <cell r="P579">
            <v>360.79263920185775</v>
          </cell>
          <cell r="Q579">
            <v>342.347809541988</v>
          </cell>
          <cell r="R579">
            <v>314.93997868923964</v>
          </cell>
          <cell r="S579">
            <v>305.97957506827601</v>
          </cell>
          <cell r="T579">
            <v>351.30625960667476</v>
          </cell>
          <cell r="U579">
            <v>303.33973040789363</v>
          </cell>
          <cell r="V579">
            <v>308.49871141546691</v>
          </cell>
          <cell r="W579">
            <v>328.2543448124494</v>
          </cell>
          <cell r="X579">
            <v>375.63175979478484</v>
          </cell>
          <cell r="Y579">
            <v>367.12308093332422</v>
          </cell>
          <cell r="Z579">
            <v>368.15112541068828</v>
          </cell>
          <cell r="AA579">
            <v>363.96185853911754</v>
          </cell>
          <cell r="AB579">
            <v>371.61641837791348</v>
          </cell>
          <cell r="AC579">
            <v>352.61824382824767</v>
          </cell>
          <cell r="AD579">
            <v>324.38817804991686</v>
          </cell>
          <cell r="AE579">
            <v>315.15896232032435</v>
          </cell>
          <cell r="AF579">
            <v>361.84544739487501</v>
          </cell>
        </row>
        <row r="580">
          <cell r="D580">
            <v>8640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</row>
        <row r="581">
          <cell r="D581">
            <v>8650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</row>
        <row r="582">
          <cell r="D582">
            <v>8670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</row>
        <row r="583">
          <cell r="D583">
            <v>8700</v>
          </cell>
          <cell r="F583">
            <v>71287.709999999788</v>
          </cell>
          <cell r="G583">
            <v>66361.860000000044</v>
          </cell>
          <cell r="H583">
            <v>95387.119999999763</v>
          </cell>
          <cell r="I583">
            <v>79707.709999999977</v>
          </cell>
          <cell r="J583">
            <v>56124.130000000012</v>
          </cell>
          <cell r="K583">
            <v>82260.830000000118</v>
          </cell>
          <cell r="L583">
            <v>93122.236122692775</v>
          </cell>
          <cell r="M583">
            <v>98201.902429322727</v>
          </cell>
          <cell r="N583">
            <v>95512.323112187267</v>
          </cell>
          <cell r="O583">
            <v>96985.766161375301</v>
          </cell>
          <cell r="P583">
            <v>97459.588276690425</v>
          </cell>
          <cell r="Q583">
            <v>115322.44606902936</v>
          </cell>
          <cell r="R583">
            <v>71475.097915347404</v>
          </cell>
          <cell r="S583">
            <v>72177.375734509085</v>
          </cell>
          <cell r="T583">
            <v>74642.009368473693</v>
          </cell>
          <cell r="U583">
            <v>87253.98094407162</v>
          </cell>
          <cell r="V583">
            <v>69811.326992280563</v>
          </cell>
          <cell r="W583">
            <v>82668.754845316682</v>
          </cell>
          <cell r="X583">
            <v>94477.425212630696</v>
          </cell>
          <cell r="Y583">
            <v>99526.394251358943</v>
          </cell>
          <cell r="Z583">
            <v>96840.52387156256</v>
          </cell>
          <cell r="AA583">
            <v>98298.853052950144</v>
          </cell>
          <cell r="AB583">
            <v>98800.290980057762</v>
          </cell>
          <cell r="AC583">
            <v>116594.6079256575</v>
          </cell>
          <cell r="AD583">
            <v>72645.412480969419</v>
          </cell>
          <cell r="AE583">
            <v>73314.393508421548</v>
          </cell>
          <cell r="AF583">
            <v>75947.460757411347</v>
          </cell>
        </row>
        <row r="584">
          <cell r="D584">
            <v>8710</v>
          </cell>
          <cell r="F584">
            <v>23.54</v>
          </cell>
          <cell r="G584">
            <v>22.74</v>
          </cell>
          <cell r="H584">
            <v>20.54</v>
          </cell>
          <cell r="I584">
            <v>20.059999999999999</v>
          </cell>
          <cell r="J584">
            <v>0</v>
          </cell>
          <cell r="K584">
            <v>122.51</v>
          </cell>
          <cell r="L584">
            <v>32.379109914065225</v>
          </cell>
          <cell r="M584">
            <v>32.900522480731034</v>
          </cell>
          <cell r="N584">
            <v>30.70055897036924</v>
          </cell>
          <cell r="O584">
            <v>32.38638792520625</v>
          </cell>
          <cell r="P584">
            <v>30.277849621392331</v>
          </cell>
          <cell r="Q584">
            <v>30.267863513082567</v>
          </cell>
          <cell r="R584">
            <v>34.707946537136564</v>
          </cell>
          <cell r="S584">
            <v>32.951803224135347</v>
          </cell>
          <cell r="T584">
            <v>34.538528901474422</v>
          </cell>
          <cell r="U584">
            <v>32.647188453398016</v>
          </cell>
          <cell r="V584">
            <v>37.160486269231605</v>
          </cell>
          <cell r="W584">
            <v>37.384046614624111</v>
          </cell>
          <cell r="X584">
            <v>32.379109914065225</v>
          </cell>
          <cell r="Y584">
            <v>32.900522480731034</v>
          </cell>
          <cell r="Z584">
            <v>30.70055897036924</v>
          </cell>
          <cell r="AA584">
            <v>32.38638792520625</v>
          </cell>
          <cell r="AB584">
            <v>30.277849621392331</v>
          </cell>
          <cell r="AC584">
            <v>30.267863513082567</v>
          </cell>
          <cell r="AD584">
            <v>34.707946537136564</v>
          </cell>
          <cell r="AE584">
            <v>32.951803224135347</v>
          </cell>
          <cell r="AF584">
            <v>34.538528901474422</v>
          </cell>
        </row>
        <row r="585">
          <cell r="D585">
            <v>8711</v>
          </cell>
          <cell r="F585">
            <v>9981.4599999999991</v>
          </cell>
          <cell r="G585">
            <v>0</v>
          </cell>
          <cell r="H585">
            <v>3591.52</v>
          </cell>
          <cell r="I585">
            <v>5219.08</v>
          </cell>
          <cell r="J585">
            <v>3673.96</v>
          </cell>
          <cell r="K585">
            <v>26350.930000000004</v>
          </cell>
          <cell r="L585">
            <v>8376.3304357184188</v>
          </cell>
          <cell r="M585">
            <v>7180.9870015487395</v>
          </cell>
          <cell r="N585">
            <v>9438.0623159543757</v>
          </cell>
          <cell r="O585">
            <v>9617.5342908122111</v>
          </cell>
          <cell r="P585">
            <v>8893.7159447132144</v>
          </cell>
          <cell r="Q585">
            <v>15806.480344670883</v>
          </cell>
          <cell r="R585">
            <v>8607.7550847578768</v>
          </cell>
          <cell r="S585">
            <v>5238.7210998959226</v>
          </cell>
          <cell r="T585">
            <v>6783.3401723357092</v>
          </cell>
          <cell r="U585">
            <v>8760.6684198618314</v>
          </cell>
          <cell r="V585">
            <v>7498.59443946996</v>
          </cell>
          <cell r="W585">
            <v>11927.870783678705</v>
          </cell>
          <cell r="X585">
            <v>8376.3304357184188</v>
          </cell>
          <cell r="Y585">
            <v>7180.9870015487395</v>
          </cell>
          <cell r="Z585">
            <v>9438.0623159543757</v>
          </cell>
          <cell r="AA585">
            <v>9617.5342908122111</v>
          </cell>
          <cell r="AB585">
            <v>8893.7159447132144</v>
          </cell>
          <cell r="AC585">
            <v>15806.480344670883</v>
          </cell>
          <cell r="AD585">
            <v>8607.7550847578768</v>
          </cell>
          <cell r="AE585">
            <v>5238.7210998959226</v>
          </cell>
          <cell r="AF585">
            <v>6783.3401723357092</v>
          </cell>
        </row>
        <row r="586">
          <cell r="D586">
            <v>8720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</row>
        <row r="587">
          <cell r="D587">
            <v>8740</v>
          </cell>
          <cell r="F587">
            <v>432009.11999999988</v>
          </cell>
          <cell r="G587">
            <v>431860.21</v>
          </cell>
          <cell r="H587">
            <v>432337.6999999999</v>
          </cell>
          <cell r="I587">
            <v>430923.01</v>
          </cell>
          <cell r="J587">
            <v>490518.83000000007</v>
          </cell>
          <cell r="K587">
            <v>491740.31999999995</v>
          </cell>
          <cell r="L587">
            <v>521671.42298099218</v>
          </cell>
          <cell r="M587">
            <v>532162.46733663278</v>
          </cell>
          <cell r="N587">
            <v>560329.13107562414</v>
          </cell>
          <cell r="O587">
            <v>549227.18836872245</v>
          </cell>
          <cell r="P587">
            <v>525467.83047399053</v>
          </cell>
          <cell r="Q587">
            <v>485333.60735333659</v>
          </cell>
          <cell r="R587">
            <v>439278.73763414903</v>
          </cell>
          <cell r="S587">
            <v>459631.11462086439</v>
          </cell>
          <cell r="T587">
            <v>433810.63886657904</v>
          </cell>
          <cell r="U587">
            <v>419485.90128369501</v>
          </cell>
          <cell r="V587">
            <v>454086.21571165969</v>
          </cell>
          <cell r="W587">
            <v>529567.10468305321</v>
          </cell>
          <cell r="X587">
            <v>526870.95880209026</v>
          </cell>
          <cell r="Y587">
            <v>537244.22509616707</v>
          </cell>
          <cell r="Z587">
            <v>565425.11913903011</v>
          </cell>
          <cell r="AA587">
            <v>554265.18814281339</v>
          </cell>
          <cell r="AB587">
            <v>530611.7855009021</v>
          </cell>
          <cell r="AC587">
            <v>490214.58757438947</v>
          </cell>
          <cell r="AD587">
            <v>443768.95420325035</v>
          </cell>
          <cell r="AE587">
            <v>463993.57937842328</v>
          </cell>
          <cell r="AF587">
            <v>438819.34304659499</v>
          </cell>
        </row>
        <row r="588">
          <cell r="D588">
            <v>8750</v>
          </cell>
          <cell r="F588">
            <v>21441.86</v>
          </cell>
          <cell r="G588">
            <v>41165.280000000013</v>
          </cell>
          <cell r="H588">
            <v>43475.799999999996</v>
          </cell>
          <cell r="I588">
            <v>39742.289999999994</v>
          </cell>
          <cell r="J588">
            <v>48221.07</v>
          </cell>
          <cell r="K588">
            <v>32227.4</v>
          </cell>
          <cell r="L588">
            <v>43114.740118733498</v>
          </cell>
          <cell r="M588">
            <v>41937.696367369768</v>
          </cell>
          <cell r="N588">
            <v>44200.348201573179</v>
          </cell>
          <cell r="O588">
            <v>43772.570403527316</v>
          </cell>
          <cell r="P588">
            <v>43185.305636721838</v>
          </cell>
          <cell r="Q588">
            <v>46823.618245086742</v>
          </cell>
          <cell r="R588">
            <v>38456.883719105892</v>
          </cell>
          <cell r="S588">
            <v>35486.686928200819</v>
          </cell>
          <cell r="T588">
            <v>39083.708726805351</v>
          </cell>
          <cell r="U588">
            <v>36901.176740244387</v>
          </cell>
          <cell r="V588">
            <v>37202.688095394202</v>
          </cell>
          <cell r="W588">
            <v>43560.669890249374</v>
          </cell>
          <cell r="X588">
            <v>43982.578759406213</v>
          </cell>
          <cell r="Y588">
            <v>42785.877031568169</v>
          </cell>
          <cell r="Z588">
            <v>45050.904002320945</v>
          </cell>
          <cell r="AA588">
            <v>44613.447556044623</v>
          </cell>
          <cell r="AB588">
            <v>44043.867456821768</v>
          </cell>
          <cell r="AC588">
            <v>47638.287743660265</v>
          </cell>
          <cell r="AD588">
            <v>39206.332050213299</v>
          </cell>
          <cell r="AE588">
            <v>36214.812594692165</v>
          </cell>
          <cell r="AF588">
            <v>39919.696241205987</v>
          </cell>
        </row>
        <row r="589">
          <cell r="D589">
            <v>8760</v>
          </cell>
          <cell r="F589">
            <v>2416.0100000000002</v>
          </cell>
          <cell r="G589">
            <v>1483.0500000000002</v>
          </cell>
          <cell r="H589">
            <v>49.21</v>
          </cell>
          <cell r="I589">
            <v>-93.13</v>
          </cell>
          <cell r="J589">
            <v>4198.7299999999996</v>
          </cell>
          <cell r="K589">
            <v>4164.2199999999993</v>
          </cell>
          <cell r="L589">
            <v>2381.4100909874433</v>
          </cell>
          <cell r="M589">
            <v>2311.1585684840911</v>
          </cell>
          <cell r="N589">
            <v>2354.0666800393965</v>
          </cell>
          <cell r="O589">
            <v>2332.4211296451299</v>
          </cell>
          <cell r="P589">
            <v>2366.3778721837839</v>
          </cell>
          <cell r="Q589">
            <v>2366.2260961240472</v>
          </cell>
          <cell r="R589">
            <v>2076.1940118531293</v>
          </cell>
          <cell r="S589">
            <v>1968.2526122435008</v>
          </cell>
          <cell r="T589">
            <v>2272.0947163132832</v>
          </cell>
          <cell r="U589">
            <v>2009.3558081342946</v>
          </cell>
          <cell r="V589">
            <v>2020.3668258913051</v>
          </cell>
          <cell r="W589">
            <v>2213.9403255644875</v>
          </cell>
          <cell r="X589">
            <v>2448.6107115116388</v>
          </cell>
          <cell r="Y589">
            <v>2376.8369841243234</v>
          </cell>
          <cell r="Z589">
            <v>2419.9290131067473</v>
          </cell>
          <cell r="AA589">
            <v>2397.5340017684307</v>
          </cell>
          <cell r="AB589">
            <v>2432.8601470734739</v>
          </cell>
          <cell r="AC589">
            <v>2429.3095925950488</v>
          </cell>
          <cell r="AD589">
            <v>2134.2271421389628</v>
          </cell>
          <cell r="AE589">
            <v>2024.6346334103423</v>
          </cell>
          <cell r="AF589">
            <v>2336.8289619267939</v>
          </cell>
        </row>
        <row r="590">
          <cell r="D590">
            <v>8770</v>
          </cell>
          <cell r="F590">
            <v>197</v>
          </cell>
          <cell r="G590">
            <v>211.44</v>
          </cell>
          <cell r="H590">
            <v>271.94</v>
          </cell>
          <cell r="I590">
            <v>352.28000000000003</v>
          </cell>
          <cell r="J590">
            <v>394.80999999999995</v>
          </cell>
          <cell r="K590">
            <v>427.56999999999994</v>
          </cell>
          <cell r="L590">
            <v>286.85488349485433</v>
          </cell>
          <cell r="M590">
            <v>291.47421186616026</v>
          </cell>
          <cell r="N590">
            <v>271.98416788000264</v>
          </cell>
          <cell r="O590">
            <v>286.91936127214575</v>
          </cell>
          <cell r="P590">
            <v>268.23927676425632</v>
          </cell>
          <cell r="Q590">
            <v>268.15080725587984</v>
          </cell>
          <cell r="R590">
            <v>307.48664761569228</v>
          </cell>
          <cell r="S590">
            <v>291.92852119442205</v>
          </cell>
          <cell r="T590">
            <v>305.98573309800423</v>
          </cell>
          <cell r="U590">
            <v>289.22986039730381</v>
          </cell>
          <cell r="V590">
            <v>329.21432947550215</v>
          </cell>
          <cell r="W590">
            <v>331.1949082190759</v>
          </cell>
          <cell r="X590">
            <v>286.85488349485433</v>
          </cell>
          <cell r="Y590">
            <v>291.47421186616026</v>
          </cell>
          <cell r="Z590">
            <v>271.98416788000264</v>
          </cell>
          <cell r="AA590">
            <v>286.91936127214575</v>
          </cell>
          <cell r="AB590">
            <v>268.23927676425632</v>
          </cell>
          <cell r="AC590">
            <v>268.15080725587984</v>
          </cell>
          <cell r="AD590">
            <v>307.48664761569228</v>
          </cell>
          <cell r="AE590">
            <v>291.92852119442205</v>
          </cell>
          <cell r="AF590">
            <v>305.98573309800423</v>
          </cell>
        </row>
        <row r="591">
          <cell r="D591">
            <v>8780</v>
          </cell>
          <cell r="F591">
            <v>84884.889999999985</v>
          </cell>
          <cell r="G591">
            <v>94390.590000000011</v>
          </cell>
          <cell r="H591">
            <v>95348.830000000031</v>
          </cell>
          <cell r="I591">
            <v>79105.66</v>
          </cell>
          <cell r="J591">
            <v>75250.130000000019</v>
          </cell>
          <cell r="K591">
            <v>54351.92</v>
          </cell>
          <cell r="L591">
            <v>96001.383938557163</v>
          </cell>
          <cell r="M591">
            <v>93785.614255938926</v>
          </cell>
          <cell r="N591">
            <v>94112.153148435988</v>
          </cell>
          <cell r="O591">
            <v>93164.82405371053</v>
          </cell>
          <cell r="P591">
            <v>95188.153104340512</v>
          </cell>
          <cell r="Q591">
            <v>92619.980675173952</v>
          </cell>
          <cell r="R591">
            <v>81969.992178754677</v>
          </cell>
          <cell r="S591">
            <v>79394.194808607266</v>
          </cell>
          <cell r="T591">
            <v>90710.047510776058</v>
          </cell>
          <cell r="U591">
            <v>78917.662080823982</v>
          </cell>
          <cell r="V591">
            <v>80111.054160627085</v>
          </cell>
          <cell r="W591">
            <v>86083.975860410908</v>
          </cell>
          <cell r="X591">
            <v>98722.867141173294</v>
          </cell>
          <cell r="Y591">
            <v>96445.451375671721</v>
          </cell>
          <cell r="Z591">
            <v>96779.438535530979</v>
          </cell>
          <cell r="AA591">
            <v>95801.75785544308</v>
          </cell>
          <cell r="AB591">
            <v>97880.544825914782</v>
          </cell>
          <cell r="AC591">
            <v>95174.729049057059</v>
          </cell>
          <cell r="AD591">
            <v>84320.211388579759</v>
          </cell>
          <cell r="AE591">
            <v>81677.547586277797</v>
          </cell>
          <cell r="AF591">
            <v>93331.647738526386</v>
          </cell>
        </row>
        <row r="592">
          <cell r="D592">
            <v>8790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</row>
        <row r="593">
          <cell r="D593">
            <v>8800</v>
          </cell>
          <cell r="F593">
            <v>586.12000000000012</v>
          </cell>
          <cell r="G593">
            <v>14</v>
          </cell>
          <cell r="H593">
            <v>157.13</v>
          </cell>
          <cell r="I593">
            <v>228.38</v>
          </cell>
          <cell r="J593">
            <v>0</v>
          </cell>
          <cell r="K593">
            <v>33.019999999999996</v>
          </cell>
          <cell r="L593">
            <v>117.80498651480819</v>
          </cell>
          <cell r="M593">
            <v>113.47537053521938</v>
          </cell>
          <cell r="N593">
            <v>118.90895765227725</v>
          </cell>
          <cell r="O593">
            <v>123.80517292802701</v>
          </cell>
          <cell r="P593">
            <v>119.0382073254508</v>
          </cell>
          <cell r="Q593">
            <v>151.49020811283282</v>
          </cell>
          <cell r="R593">
            <v>172.0481522876035</v>
          </cell>
          <cell r="S593">
            <v>177.96551048589893</v>
          </cell>
          <cell r="T593">
            <v>160.50335932531118</v>
          </cell>
          <cell r="U593">
            <v>162.4039699702202</v>
          </cell>
          <cell r="V593">
            <v>161.59099207109858</v>
          </cell>
          <cell r="W593">
            <v>184.13801585986772</v>
          </cell>
          <cell r="X593">
            <v>117.80498651480819</v>
          </cell>
          <cell r="Y593">
            <v>113.47537053521938</v>
          </cell>
          <cell r="Z593">
            <v>118.90895765227725</v>
          </cell>
          <cell r="AA593">
            <v>123.80517292802701</v>
          </cell>
          <cell r="AB593">
            <v>119.0382073254508</v>
          </cell>
          <cell r="AC593">
            <v>151.49020811283282</v>
          </cell>
          <cell r="AD593">
            <v>172.0481522876035</v>
          </cell>
          <cell r="AE593">
            <v>177.96551048589893</v>
          </cell>
          <cell r="AF593">
            <v>160.50335932531118</v>
          </cell>
        </row>
        <row r="594">
          <cell r="D594">
            <v>8810</v>
          </cell>
          <cell r="F594">
            <v>35928.69999999999</v>
          </cell>
          <cell r="G594">
            <v>32990.76999999999</v>
          </cell>
          <cell r="H594">
            <v>34106.490000000005</v>
          </cell>
          <cell r="I594">
            <v>37628.400000000009</v>
          </cell>
          <cell r="J594">
            <v>40035.22</v>
          </cell>
          <cell r="K594">
            <v>43174.249999999993</v>
          </cell>
          <cell r="L594">
            <v>24983.550526013558</v>
          </cell>
          <cell r="M594">
            <v>25109.639620637874</v>
          </cell>
          <cell r="N594">
            <v>22395.986080873747</v>
          </cell>
          <cell r="O594">
            <v>23354.210256546106</v>
          </cell>
          <cell r="P594">
            <v>19802.794648471794</v>
          </cell>
          <cell r="Q594">
            <v>21482.139115648471</v>
          </cell>
          <cell r="R594">
            <v>44862.580843232579</v>
          </cell>
          <cell r="S594">
            <v>31264.557825005144</v>
          </cell>
          <cell r="T594">
            <v>33993.546717994133</v>
          </cell>
          <cell r="U594">
            <v>33454.476671779033</v>
          </cell>
          <cell r="V594">
            <v>39600.737967937108</v>
          </cell>
          <cell r="W594">
            <v>40687.929974051956</v>
          </cell>
          <cell r="X594">
            <v>24983.550526013558</v>
          </cell>
          <cell r="Y594">
            <v>25109.639620637874</v>
          </cell>
          <cell r="Z594">
            <v>22395.986080873747</v>
          </cell>
          <cell r="AA594">
            <v>23354.210256546106</v>
          </cell>
          <cell r="AB594">
            <v>19802.794648471794</v>
          </cell>
          <cell r="AC594">
            <v>21482.139115648471</v>
          </cell>
          <cell r="AD594">
            <v>44862.580843232579</v>
          </cell>
          <cell r="AE594">
            <v>31264.557825005144</v>
          </cell>
          <cell r="AF594">
            <v>33993.546717994133</v>
          </cell>
        </row>
        <row r="595">
          <cell r="D595">
            <v>8850</v>
          </cell>
          <cell r="F595">
            <v>0</v>
          </cell>
          <cell r="G595">
            <v>0</v>
          </cell>
          <cell r="H595">
            <v>36.979999999999997</v>
          </cell>
          <cell r="I595">
            <v>53.53</v>
          </cell>
          <cell r="J595">
            <v>0</v>
          </cell>
          <cell r="K595">
            <v>0</v>
          </cell>
          <cell r="L595">
            <v>14.124793219220276</v>
          </cell>
          <cell r="M595">
            <v>14.728684414327203</v>
          </cell>
          <cell r="N595">
            <v>14.539268960661797</v>
          </cell>
          <cell r="O595">
            <v>14.76978549678782</v>
          </cell>
          <cell r="P595">
            <v>16.657926212267888</v>
          </cell>
          <cell r="Q595">
            <v>14.480962773915339</v>
          </cell>
          <cell r="R595">
            <v>13.865840469066267</v>
          </cell>
          <cell r="S595">
            <v>16.350106186746455</v>
          </cell>
          <cell r="T595">
            <v>15.78922775235413</v>
          </cell>
          <cell r="U595">
            <v>13.524446594209275</v>
          </cell>
          <cell r="V595">
            <v>2.2896329754466245</v>
          </cell>
          <cell r="W595">
            <v>28.69074602217724</v>
          </cell>
          <cell r="X595">
            <v>14.124793219220276</v>
          </cell>
          <cell r="Y595">
            <v>14.728684414327203</v>
          </cell>
          <cell r="Z595">
            <v>14.539268960661797</v>
          </cell>
          <cell r="AA595">
            <v>14.76978549678782</v>
          </cell>
          <cell r="AB595">
            <v>16.657926212267888</v>
          </cell>
          <cell r="AC595">
            <v>14.480962773915339</v>
          </cell>
          <cell r="AD595">
            <v>13.865840469066267</v>
          </cell>
          <cell r="AE595">
            <v>16.350106186746455</v>
          </cell>
          <cell r="AF595">
            <v>15.78922775235413</v>
          </cell>
        </row>
        <row r="596">
          <cell r="D596">
            <v>8860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</row>
        <row r="597">
          <cell r="D597">
            <v>8870</v>
          </cell>
          <cell r="F597">
            <v>-814.19</v>
          </cell>
          <cell r="G597">
            <v>252.19</v>
          </cell>
          <cell r="H597">
            <v>62.52000000000001</v>
          </cell>
          <cell r="I597">
            <v>6237.0700000000006</v>
          </cell>
          <cell r="J597">
            <v>2539.86</v>
          </cell>
          <cell r="K597">
            <v>291.18000000000006</v>
          </cell>
          <cell r="L597">
            <v>1522.9165062399481</v>
          </cell>
          <cell r="M597">
            <v>1553.2046809065062</v>
          </cell>
          <cell r="N597">
            <v>1694.1606740737716</v>
          </cell>
          <cell r="O597">
            <v>1613.5544156016083</v>
          </cell>
          <cell r="P597">
            <v>1504.7616797221572</v>
          </cell>
          <cell r="Q597">
            <v>1381.985227436403</v>
          </cell>
          <cell r="R597">
            <v>1528.7034328460177</v>
          </cell>
          <cell r="S597">
            <v>1389.0296804835193</v>
          </cell>
          <cell r="T597">
            <v>1268.8274523537625</v>
          </cell>
          <cell r="U597">
            <v>1290.3704435117647</v>
          </cell>
          <cell r="V597">
            <v>1416.896921223401</v>
          </cell>
          <cell r="W597">
            <v>1752.6484695815352</v>
          </cell>
          <cell r="X597">
            <v>1538.2076717526868</v>
          </cell>
          <cell r="Y597">
            <v>1568.1494763017754</v>
          </cell>
          <cell r="Z597">
            <v>1709.1473189608582</v>
          </cell>
          <cell r="AA597">
            <v>1628.3705243946617</v>
          </cell>
          <cell r="AB597">
            <v>1519.8893892741191</v>
          </cell>
          <cell r="AC597">
            <v>1396.3395619371245</v>
          </cell>
          <cell r="AD597">
            <v>1541.9085817494195</v>
          </cell>
          <cell r="AE597">
            <v>1401.8591277546871</v>
          </cell>
          <cell r="AF597">
            <v>1283.5574065758678</v>
          </cell>
        </row>
        <row r="598">
          <cell r="D598">
            <v>8890</v>
          </cell>
          <cell r="F598">
            <v>7538.23</v>
          </cell>
          <cell r="G598">
            <v>1569.38</v>
          </cell>
          <cell r="H598">
            <v>2676.37</v>
          </cell>
          <cell r="I598">
            <v>1239.4900000000002</v>
          </cell>
          <cell r="J598">
            <v>3167.36</v>
          </cell>
          <cell r="K598">
            <v>12320.66</v>
          </cell>
          <cell r="L598">
            <v>4853.9923769279358</v>
          </cell>
          <cell r="M598">
            <v>4753.0621437031577</v>
          </cell>
          <cell r="N598">
            <v>5636.1421208271677</v>
          </cell>
          <cell r="O598">
            <v>5434.1657090158751</v>
          </cell>
          <cell r="P598">
            <v>4916.4143004307152</v>
          </cell>
          <cell r="Q598">
            <v>5959.7283589779036</v>
          </cell>
          <cell r="R598">
            <v>5137.5602220660039</v>
          </cell>
          <cell r="S598">
            <v>4077.6902561885609</v>
          </cell>
          <cell r="T598">
            <v>3798.2558026389388</v>
          </cell>
          <cell r="U598">
            <v>4464.0213651576287</v>
          </cell>
          <cell r="V598">
            <v>4588.4204240283798</v>
          </cell>
          <cell r="W598">
            <v>6445.5419299204896</v>
          </cell>
          <cell r="X598">
            <v>4853.9923769279358</v>
          </cell>
          <cell r="Y598">
            <v>4753.0621437031577</v>
          </cell>
          <cell r="Z598">
            <v>5636.1421208271677</v>
          </cell>
          <cell r="AA598">
            <v>5434.1657090158751</v>
          </cell>
          <cell r="AB598">
            <v>4916.4143004307152</v>
          </cell>
          <cell r="AC598">
            <v>5959.7283589779036</v>
          </cell>
          <cell r="AD598">
            <v>5137.5602220660039</v>
          </cell>
          <cell r="AE598">
            <v>4077.6902561885609</v>
          </cell>
          <cell r="AF598">
            <v>3798.2558026389388</v>
          </cell>
        </row>
        <row r="599">
          <cell r="D599">
            <v>8900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</row>
        <row r="600">
          <cell r="D600">
            <v>8910</v>
          </cell>
          <cell r="F600">
            <v>-117.09</v>
          </cell>
          <cell r="G600">
            <v>0</v>
          </cell>
          <cell r="H600">
            <v>0</v>
          </cell>
          <cell r="I600">
            <v>0</v>
          </cell>
          <cell r="J600">
            <v>906.68000000000006</v>
          </cell>
          <cell r="K600">
            <v>180.95</v>
          </cell>
          <cell r="L600">
            <v>190.64064332754509</v>
          </cell>
          <cell r="M600">
            <v>186.32231834644523</v>
          </cell>
          <cell r="N600">
            <v>186.8440715140716</v>
          </cell>
          <cell r="O600">
            <v>184.7179346509285</v>
          </cell>
          <cell r="P600">
            <v>188.60277711700346</v>
          </cell>
          <cell r="Q600">
            <v>178.96082293246923</v>
          </cell>
          <cell r="R600">
            <v>164.6334990019792</v>
          </cell>
          <cell r="S600">
            <v>159.94948712540238</v>
          </cell>
          <cell r="T600">
            <v>183.64381359603047</v>
          </cell>
          <cell r="U600">
            <v>158.56951985332327</v>
          </cell>
          <cell r="V600">
            <v>161.26635465370791</v>
          </cell>
          <cell r="W600">
            <v>171.59352576955683</v>
          </cell>
          <cell r="X600">
            <v>196.35986262737146</v>
          </cell>
          <cell r="Y600">
            <v>191.91198789683858</v>
          </cell>
          <cell r="Z600">
            <v>192.44939365949378</v>
          </cell>
          <cell r="AA600">
            <v>190.25947269045636</v>
          </cell>
          <cell r="AB600">
            <v>194.26086043051359</v>
          </cell>
          <cell r="AC600">
            <v>184.3296476204433</v>
          </cell>
          <cell r="AD600">
            <v>169.57250397203859</v>
          </cell>
          <cell r="AE600">
            <v>164.74797173916446</v>
          </cell>
          <cell r="AF600">
            <v>189.15312800391135</v>
          </cell>
        </row>
        <row r="601">
          <cell r="D601">
            <v>8920</v>
          </cell>
          <cell r="F601">
            <v>0</v>
          </cell>
          <cell r="G601">
            <v>77.08</v>
          </cell>
          <cell r="H601">
            <v>222.45</v>
          </cell>
          <cell r="I601">
            <v>215.4</v>
          </cell>
          <cell r="J601">
            <v>-43.76</v>
          </cell>
          <cell r="K601">
            <v>105.92</v>
          </cell>
          <cell r="L601">
            <v>112.71101743716443</v>
          </cell>
          <cell r="M601">
            <v>109.61702643858979</v>
          </cell>
          <cell r="N601">
            <v>111.1189674702437</v>
          </cell>
          <cell r="O601">
            <v>110.01008389615963</v>
          </cell>
          <cell r="P601">
            <v>111.83154755978249</v>
          </cell>
          <cell r="Q601">
            <v>110.06461344304761</v>
          </cell>
          <cell r="R601">
            <v>98.065255818488453</v>
          </cell>
          <cell r="S601">
            <v>93.603500722991186</v>
          </cell>
          <cell r="T601">
            <v>107.89110515397316</v>
          </cell>
          <cell r="U601">
            <v>94.710443940642307</v>
          </cell>
          <cell r="V601">
            <v>95.561815018486001</v>
          </cell>
          <cell r="W601">
            <v>103.79087934541884</v>
          </cell>
          <cell r="X601">
            <v>115.95855154821014</v>
          </cell>
          <cell r="Y601">
            <v>112.79099854609878</v>
          </cell>
          <cell r="Z601">
            <v>114.30182756291599</v>
          </cell>
          <cell r="AA601">
            <v>113.15672557355964</v>
          </cell>
          <cell r="AB601">
            <v>115.04436693258053</v>
          </cell>
          <cell r="AC601">
            <v>113.11318360557829</v>
          </cell>
          <cell r="AD601">
            <v>100.86976221595762</v>
          </cell>
          <cell r="AE601">
            <v>96.328215696762769</v>
          </cell>
          <cell r="AF601">
            <v>111.01944934399435</v>
          </cell>
        </row>
        <row r="602">
          <cell r="D602">
            <v>8930</v>
          </cell>
          <cell r="F602">
            <v>4000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676.95094756594835</v>
          </cell>
          <cell r="M602">
            <v>728.72702475333051</v>
          </cell>
          <cell r="N602">
            <v>804.91463643210193</v>
          </cell>
          <cell r="O602">
            <v>742.50772970814705</v>
          </cell>
          <cell r="P602">
            <v>658.83916391104663</v>
          </cell>
          <cell r="Q602">
            <v>474.76894913250931</v>
          </cell>
          <cell r="R602">
            <v>733.32328359018902</v>
          </cell>
          <cell r="S602">
            <v>684.20389007743904</v>
          </cell>
          <cell r="T602">
            <v>514.23025369800416</v>
          </cell>
          <cell r="U602">
            <v>554.167524125917</v>
          </cell>
          <cell r="V602">
            <v>668.64559230377927</v>
          </cell>
          <cell r="W602">
            <v>845.42945620467106</v>
          </cell>
          <cell r="X602">
            <v>676.95094756594835</v>
          </cell>
          <cell r="Y602">
            <v>728.72702475333051</v>
          </cell>
          <cell r="Z602">
            <v>804.91463643210193</v>
          </cell>
          <cell r="AA602">
            <v>742.50772970814705</v>
          </cell>
          <cell r="AB602">
            <v>658.83916391104663</v>
          </cell>
          <cell r="AC602">
            <v>474.76894913250931</v>
          </cell>
          <cell r="AD602">
            <v>733.32328359018902</v>
          </cell>
          <cell r="AE602">
            <v>684.20389007743904</v>
          </cell>
          <cell r="AF602">
            <v>514.23025369800416</v>
          </cell>
        </row>
        <row r="603">
          <cell r="D603">
            <v>8940</v>
          </cell>
          <cell r="F603">
            <v>178.42</v>
          </cell>
          <cell r="G603">
            <v>0</v>
          </cell>
          <cell r="H603">
            <v>12.75</v>
          </cell>
          <cell r="I603">
            <v>199.63</v>
          </cell>
          <cell r="J603">
            <v>0</v>
          </cell>
          <cell r="K603">
            <v>21.19</v>
          </cell>
          <cell r="L603">
            <v>70.697426969859379</v>
          </cell>
          <cell r="M603">
            <v>60.521730281400416</v>
          </cell>
          <cell r="N603">
            <v>79.633926717868761</v>
          </cell>
          <cell r="O603">
            <v>81.193701756234745</v>
          </cell>
          <cell r="P603">
            <v>75.099300981885051</v>
          </cell>
          <cell r="Q603">
            <v>133.87864757089409</v>
          </cell>
          <cell r="R603">
            <v>72.628641331859953</v>
          </cell>
          <cell r="S603">
            <v>44.06292912889247</v>
          </cell>
          <cell r="T603">
            <v>57.272245125983957</v>
          </cell>
          <cell r="U603">
            <v>74.031319134456808</v>
          </cell>
          <cell r="V603">
            <v>63.252560223126935</v>
          </cell>
          <cell r="W603">
            <v>100.74230505567992</v>
          </cell>
          <cell r="X603">
            <v>70.697426969859379</v>
          </cell>
          <cell r="Y603">
            <v>60.521730281400416</v>
          </cell>
          <cell r="Z603">
            <v>79.633926717868761</v>
          </cell>
          <cell r="AA603">
            <v>81.193701756234745</v>
          </cell>
          <cell r="AB603">
            <v>75.099300981885051</v>
          </cell>
          <cell r="AC603">
            <v>133.87864757089409</v>
          </cell>
          <cell r="AD603">
            <v>72.628641331859953</v>
          </cell>
          <cell r="AE603">
            <v>44.06292912889247</v>
          </cell>
          <cell r="AF603">
            <v>57.272245125983957</v>
          </cell>
        </row>
        <row r="604">
          <cell r="D604">
            <v>8950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</row>
        <row r="605">
          <cell r="D605">
            <v>9010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</row>
        <row r="606">
          <cell r="D606">
            <v>9020</v>
          </cell>
          <cell r="F606">
            <v>75565.180000000008</v>
          </cell>
          <cell r="G606">
            <v>69528.97</v>
          </cell>
          <cell r="H606">
            <v>68815.700000000012</v>
          </cell>
          <cell r="I606">
            <v>62636.80000000001</v>
          </cell>
          <cell r="J606">
            <v>77734.880000000005</v>
          </cell>
          <cell r="K606">
            <v>77631.86</v>
          </cell>
          <cell r="L606">
            <v>81941.745689999298</v>
          </cell>
          <cell r="M606">
            <v>80474.349102523804</v>
          </cell>
          <cell r="N606">
            <v>78329.112227770165</v>
          </cell>
          <cell r="O606">
            <v>79414.08940109807</v>
          </cell>
          <cell r="P606">
            <v>77057.897647127305</v>
          </cell>
          <cell r="Q606">
            <v>76318.858945503714</v>
          </cell>
          <cell r="R606">
            <v>72282.337682224548</v>
          </cell>
          <cell r="S606">
            <v>69623.012643124457</v>
          </cell>
          <cell r="T606">
            <v>77613.512282131793</v>
          </cell>
          <cell r="U606">
            <v>69178.451489313229</v>
          </cell>
          <cell r="V606">
            <v>75527.776690507919</v>
          </cell>
          <cell r="W606">
            <v>76161.939612698159</v>
          </cell>
          <cell r="X606">
            <v>83606.200794561999</v>
          </cell>
          <cell r="Y606">
            <v>82101.101553903558</v>
          </cell>
          <cell r="Z606">
            <v>79960.420028460634</v>
          </cell>
          <cell r="AA606">
            <v>81026.83421703834</v>
          </cell>
          <cell r="AB606">
            <v>78704.560444879928</v>
          </cell>
          <cell r="AC606">
            <v>77881.339275235427</v>
          </cell>
          <cell r="AD606">
            <v>73719.728277497838</v>
          </cell>
          <cell r="AE606">
            <v>71019.507827315814</v>
          </cell>
          <cell r="AF606">
            <v>79216.879106886452</v>
          </cell>
        </row>
        <row r="607">
          <cell r="D607">
            <v>9030</v>
          </cell>
          <cell r="F607">
            <v>81339.360000000001</v>
          </cell>
          <cell r="G607">
            <v>80263.5</v>
          </cell>
          <cell r="H607">
            <v>77058.38</v>
          </cell>
          <cell r="I607">
            <v>81686.200000000012</v>
          </cell>
          <cell r="J607">
            <v>80211.53</v>
          </cell>
          <cell r="K607">
            <v>120095.81000000001</v>
          </cell>
          <cell r="L607">
            <v>96410.992736261309</v>
          </cell>
          <cell r="M607">
            <v>101948.7099766678</v>
          </cell>
          <cell r="N607">
            <v>109946.17175729072</v>
          </cell>
          <cell r="O607">
            <v>102650.22020713714</v>
          </cell>
          <cell r="P607">
            <v>94724.949366239292</v>
          </cell>
          <cell r="Q607">
            <v>76869.430936390709</v>
          </cell>
          <cell r="R607">
            <v>94395.028285199951</v>
          </cell>
          <cell r="S607">
            <v>89007.460768614677</v>
          </cell>
          <cell r="T607">
            <v>70822.570604792636</v>
          </cell>
          <cell r="U607">
            <v>73652.947532830352</v>
          </cell>
          <cell r="V607">
            <v>86732.443691817767</v>
          </cell>
          <cell r="W607">
            <v>107819.03881674456</v>
          </cell>
          <cell r="X607">
            <v>96759.594338387586</v>
          </cell>
          <cell r="Y607">
            <v>102289.41517758268</v>
          </cell>
          <cell r="Z607">
            <v>110287.83102543374</v>
          </cell>
          <cell r="AA607">
            <v>102987.99166466488</v>
          </cell>
          <cell r="AB607">
            <v>95069.824567669915</v>
          </cell>
          <cell r="AC607">
            <v>77196.675056548789</v>
          </cell>
          <cell r="AD607">
            <v>94696.073752283992</v>
          </cell>
          <cell r="AE607">
            <v>89299.941146869533</v>
          </cell>
          <cell r="AF607">
            <v>71158.377946410561</v>
          </cell>
        </row>
        <row r="608">
          <cell r="D608">
            <v>9040</v>
          </cell>
          <cell r="F608">
            <v>65873</v>
          </cell>
          <cell r="G608">
            <v>83619</v>
          </cell>
          <cell r="H608">
            <v>111162</v>
          </cell>
          <cell r="I608">
            <v>113424</v>
          </cell>
          <cell r="J608">
            <v>126691</v>
          </cell>
          <cell r="K608">
            <v>196530</v>
          </cell>
          <cell r="L608">
            <v>34864.42</v>
          </cell>
          <cell r="M608">
            <v>30603.5</v>
          </cell>
          <cell r="N608">
            <v>29190.37</v>
          </cell>
          <cell r="O608">
            <v>29221.34</v>
          </cell>
          <cell r="P608">
            <v>29051.22</v>
          </cell>
          <cell r="Q608">
            <v>29806.61</v>
          </cell>
          <cell r="R608">
            <v>65873</v>
          </cell>
          <cell r="S608">
            <v>83619</v>
          </cell>
          <cell r="T608">
            <v>111162</v>
          </cell>
          <cell r="U608">
            <v>41107.817545294769</v>
          </cell>
          <cell r="V608">
            <v>40000.662845096675</v>
          </cell>
          <cell r="W608">
            <v>20551.671420996903</v>
          </cell>
          <cell r="X608">
            <v>24203.898315526527</v>
          </cell>
          <cell r="Y608">
            <v>14923.04904227185</v>
          </cell>
          <cell r="Z608">
            <v>23241.875915875236</v>
          </cell>
          <cell r="AA608">
            <v>24428.463923156731</v>
          </cell>
          <cell r="AB608">
            <v>25781.872778714853</v>
          </cell>
          <cell r="AC608">
            <v>23856.596280470407</v>
          </cell>
          <cell r="AD608">
            <v>31795.068249348788</v>
          </cell>
          <cell r="AE608">
            <v>41736.503270258632</v>
          </cell>
          <cell r="AF608">
            <v>51830.402322597605</v>
          </cell>
        </row>
        <row r="609">
          <cell r="D609">
            <v>9070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</row>
        <row r="610">
          <cell r="D610">
            <v>9080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</row>
        <row r="611">
          <cell r="D611">
            <v>9090</v>
          </cell>
          <cell r="F611">
            <v>12568.97</v>
          </cell>
          <cell r="G611">
            <v>11826.5</v>
          </cell>
          <cell r="H611">
            <v>10158.36</v>
          </cell>
          <cell r="I611">
            <v>9275.01</v>
          </cell>
          <cell r="J611">
            <v>10183.81</v>
          </cell>
          <cell r="K611">
            <v>29137.96</v>
          </cell>
          <cell r="L611">
            <v>14403.865691489542</v>
          </cell>
          <cell r="M611">
            <v>14434.449146268746</v>
          </cell>
          <cell r="N611">
            <v>14942.425137315977</v>
          </cell>
          <cell r="O611">
            <v>14628.066691352842</v>
          </cell>
          <cell r="P611">
            <v>14320.235778434973</v>
          </cell>
          <cell r="Q611">
            <v>14530.137656253828</v>
          </cell>
          <cell r="R611">
            <v>11967.227092143967</v>
          </cell>
          <cell r="S611">
            <v>11748.564545878406</v>
          </cell>
          <cell r="T611">
            <v>14410.988535311106</v>
          </cell>
          <cell r="U611">
            <v>13744.811555106466</v>
          </cell>
          <cell r="V611">
            <v>16716.159675325966</v>
          </cell>
          <cell r="W611">
            <v>16285.361396234084</v>
          </cell>
          <cell r="X611">
            <v>14742.212428280913</v>
          </cell>
          <cell r="Y611">
            <v>14765.131771461156</v>
          </cell>
          <cell r="Z611">
            <v>15274.033763798541</v>
          </cell>
          <cell r="AA611">
            <v>14955.901875524996</v>
          </cell>
          <cell r="AB611">
            <v>14654.965734615875</v>
          </cell>
          <cell r="AC611">
            <v>14847.755187310235</v>
          </cell>
          <cell r="AD611">
            <v>12259.416659812179</v>
          </cell>
          <cell r="AE611">
            <v>12032.440985213281</v>
          </cell>
          <cell r="AF611">
            <v>14736.917382264184</v>
          </cell>
        </row>
        <row r="612">
          <cell r="D612">
            <v>9100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65</v>
          </cell>
          <cell r="L612">
            <v>7.6374878366939694</v>
          </cell>
          <cell r="M612">
            <v>8.5145452150703491</v>
          </cell>
          <cell r="N612">
            <v>9.5648484953482349</v>
          </cell>
          <cell r="O612">
            <v>8.6697446688571151</v>
          </cell>
          <cell r="P612">
            <v>7.6800774542447563</v>
          </cell>
          <cell r="Q612">
            <v>9.1354585274853495</v>
          </cell>
          <cell r="R612">
            <v>5.2488383084892041</v>
          </cell>
          <cell r="S612">
            <v>5.6212448117849849</v>
          </cell>
          <cell r="T612">
            <v>9.0084115327575773</v>
          </cell>
          <cell r="U612">
            <v>10.857631071075017</v>
          </cell>
          <cell r="V612">
            <v>18.820200405528674</v>
          </cell>
          <cell r="W612">
            <v>15.443673870364529</v>
          </cell>
          <cell r="X612">
            <v>7.6374878366939694</v>
          </cell>
          <cell r="Y612">
            <v>8.5145452150703491</v>
          </cell>
          <cell r="Z612">
            <v>9.5648484953482349</v>
          </cell>
          <cell r="AA612">
            <v>8.6697446688571151</v>
          </cell>
          <cell r="AB612">
            <v>7.6800774542447563</v>
          </cell>
          <cell r="AC612">
            <v>9.1354585274853495</v>
          </cell>
          <cell r="AD612">
            <v>5.2488383084892041</v>
          </cell>
          <cell r="AE612">
            <v>5.6212448117849849</v>
          </cell>
          <cell r="AF612">
            <v>9.0084115327575773</v>
          </cell>
        </row>
        <row r="613">
          <cell r="D613">
            <v>9110</v>
          </cell>
          <cell r="F613">
            <v>9930.08</v>
          </cell>
          <cell r="G613">
            <v>11189.57</v>
          </cell>
          <cell r="H613">
            <v>10027.079999999998</v>
          </cell>
          <cell r="I613">
            <v>8589.0400000000009</v>
          </cell>
          <cell r="J613">
            <v>8619.07</v>
          </cell>
          <cell r="K613">
            <v>10461.869999999999</v>
          </cell>
          <cell r="L613">
            <v>26172.974644523059</v>
          </cell>
          <cell r="M613">
            <v>25977.006856346139</v>
          </cell>
          <cell r="N613">
            <v>24382.751913819251</v>
          </cell>
          <cell r="O613">
            <v>23786.753756385973</v>
          </cell>
          <cell r="P613">
            <v>27040.13767067618</v>
          </cell>
          <cell r="Q613">
            <v>30859.696030113679</v>
          </cell>
          <cell r="R613">
            <v>9865.0051924714298</v>
          </cell>
          <cell r="S613">
            <v>10381.837836780398</v>
          </cell>
          <cell r="T613">
            <v>10888.770918095217</v>
          </cell>
          <cell r="U613">
            <v>9186.8045645794464</v>
          </cell>
          <cell r="V613">
            <v>9471.4882460235822</v>
          </cell>
          <cell r="W613">
            <v>10578.029342049927</v>
          </cell>
          <cell r="X613">
            <v>26478.463654995365</v>
          </cell>
          <cell r="Y613">
            <v>26275.576036910461</v>
          </cell>
          <cell r="Z613">
            <v>24682.1571692945</v>
          </cell>
          <cell r="AA613">
            <v>24082.752018288847</v>
          </cell>
          <cell r="AB613">
            <v>27342.361135453364</v>
          </cell>
          <cell r="AC613">
            <v>31146.468901610016</v>
          </cell>
          <cell r="AD613">
            <v>10128.819475841719</v>
          </cell>
          <cell r="AE613">
            <v>10638.146301201277</v>
          </cell>
          <cell r="AF613">
            <v>11183.047972114713</v>
          </cell>
        </row>
        <row r="614">
          <cell r="D614">
            <v>9120</v>
          </cell>
          <cell r="F614">
            <v>2996.88</v>
          </cell>
          <cell r="G614">
            <v>3627.7</v>
          </cell>
          <cell r="H614">
            <v>3216</v>
          </cell>
          <cell r="I614">
            <v>13801.66</v>
          </cell>
          <cell r="J614">
            <v>8096.1200000000008</v>
          </cell>
          <cell r="K614">
            <v>1756.94</v>
          </cell>
          <cell r="L614">
            <v>3458.5518110491594</v>
          </cell>
          <cell r="M614">
            <v>5102.7482203514292</v>
          </cell>
          <cell r="N614">
            <v>5204.8078731311098</v>
          </cell>
          <cell r="O614">
            <v>3955.5992295734218</v>
          </cell>
          <cell r="P614">
            <v>3387.7251327353074</v>
          </cell>
          <cell r="Q614">
            <v>4350.2422630157207</v>
          </cell>
          <cell r="R614">
            <v>3865.1193243315897</v>
          </cell>
          <cell r="S614">
            <v>2879.8531456824853</v>
          </cell>
          <cell r="T614">
            <v>4475.1901205049262</v>
          </cell>
          <cell r="U614">
            <v>6076.9915167685549</v>
          </cell>
          <cell r="V614">
            <v>8543.4152628582688</v>
          </cell>
          <cell r="W614">
            <v>7654.7306298541662</v>
          </cell>
          <cell r="X614">
            <v>3458.5518110491594</v>
          </cell>
          <cell r="Y614">
            <v>5102.7482203514292</v>
          </cell>
          <cell r="Z614">
            <v>5204.8078731311098</v>
          </cell>
          <cell r="AA614">
            <v>3955.5992295734218</v>
          </cell>
          <cell r="AB614">
            <v>3387.7251327353074</v>
          </cell>
          <cell r="AC614">
            <v>4350.2422630157207</v>
          </cell>
          <cell r="AD614">
            <v>3865.1193243315897</v>
          </cell>
          <cell r="AE614">
            <v>2879.8531456824853</v>
          </cell>
          <cell r="AF614">
            <v>4475.1901205049262</v>
          </cell>
        </row>
        <row r="615">
          <cell r="D615">
            <v>9130</v>
          </cell>
          <cell r="F615">
            <v>1450.65</v>
          </cell>
          <cell r="G615">
            <v>1174.49</v>
          </cell>
          <cell r="H615">
            <v>5364.41</v>
          </cell>
          <cell r="I615">
            <v>1846.5</v>
          </cell>
          <cell r="J615">
            <v>15080.77</v>
          </cell>
          <cell r="K615">
            <v>1667</v>
          </cell>
          <cell r="L615">
            <v>3123.5938754286449</v>
          </cell>
          <cell r="M615">
            <v>3482.2944212198681</v>
          </cell>
          <cell r="N615">
            <v>3911.8493958093591</v>
          </cell>
          <cell r="O615">
            <v>3545.7681803516489</v>
          </cell>
          <cell r="P615">
            <v>3141.0122558415519</v>
          </cell>
          <cell r="Q615">
            <v>3736.2366940328557</v>
          </cell>
          <cell r="R615">
            <v>2146.6795815689457</v>
          </cell>
          <cell r="S615">
            <v>2298.9870808065525</v>
          </cell>
          <cell r="T615">
            <v>3684.2767795807936</v>
          </cell>
          <cell r="U615">
            <v>4440.5740003056235</v>
          </cell>
          <cell r="V615">
            <v>7697.1203068384821</v>
          </cell>
          <cell r="W615">
            <v>6316.1822508995992</v>
          </cell>
          <cell r="X615">
            <v>3123.5938754286449</v>
          </cell>
          <cell r="Y615">
            <v>3482.2944212198681</v>
          </cell>
          <cell r="Z615">
            <v>3911.8493958093591</v>
          </cell>
          <cell r="AA615">
            <v>3545.7681803516489</v>
          </cell>
          <cell r="AB615">
            <v>3141.0122558415519</v>
          </cell>
          <cell r="AC615">
            <v>3736.2366940328557</v>
          </cell>
          <cell r="AD615">
            <v>2146.6795815689457</v>
          </cell>
          <cell r="AE615">
            <v>2298.9870808065525</v>
          </cell>
          <cell r="AF615">
            <v>3684.2767795807936</v>
          </cell>
        </row>
        <row r="616">
          <cell r="D616">
            <v>9160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</row>
        <row r="617">
          <cell r="D617">
            <v>9200</v>
          </cell>
          <cell r="F617">
            <v>18133.16</v>
          </cell>
          <cell r="G617">
            <v>11768.68</v>
          </cell>
          <cell r="H617">
            <v>14262.060000000001</v>
          </cell>
          <cell r="I617">
            <v>13021.87</v>
          </cell>
          <cell r="J617">
            <v>12401.79</v>
          </cell>
          <cell r="K617">
            <v>14262.07</v>
          </cell>
          <cell r="L617">
            <v>16470.364339415813</v>
          </cell>
          <cell r="M617">
            <v>16097.283423755478</v>
          </cell>
          <cell r="N617">
            <v>16142.360195508112</v>
          </cell>
          <cell r="O617">
            <v>15958.672980860687</v>
          </cell>
          <cell r="P617">
            <v>16294.303252038251</v>
          </cell>
          <cell r="Q617">
            <v>15461.288341936508</v>
          </cell>
          <cell r="R617">
            <v>14223.481749254357</v>
          </cell>
          <cell r="S617">
            <v>13818.807379556485</v>
          </cell>
          <cell r="T617">
            <v>15865.874484118245</v>
          </cell>
          <cell r="U617">
            <v>13699.585353492703</v>
          </cell>
          <cell r="V617">
            <v>13932.577914524065</v>
          </cell>
          <cell r="W617">
            <v>14824.792019054139</v>
          </cell>
          <cell r="X617">
            <v>16964.47526959829</v>
          </cell>
          <cell r="Y617">
            <v>16580.201926468144</v>
          </cell>
          <cell r="Z617">
            <v>16626.631001373356</v>
          </cell>
          <cell r="AA617">
            <v>16437.433170286509</v>
          </cell>
          <cell r="AB617">
            <v>16783.1323495994</v>
          </cell>
          <cell r="AC617">
            <v>15925.126992194604</v>
          </cell>
          <cell r="AD617">
            <v>14650.186201731987</v>
          </cell>
          <cell r="AE617">
            <v>14233.371600943181</v>
          </cell>
          <cell r="AF617">
            <v>16341.850718641792</v>
          </cell>
        </row>
        <row r="618">
          <cell r="D618">
            <v>9210</v>
          </cell>
          <cell r="F618">
            <v>421.74999999999994</v>
          </cell>
          <cell r="G618">
            <v>345</v>
          </cell>
          <cell r="H618">
            <v>437.7</v>
          </cell>
          <cell r="I618">
            <v>2702.1800000000003</v>
          </cell>
          <cell r="J618">
            <v>1359.63</v>
          </cell>
          <cell r="K618">
            <v>475.70000000000005</v>
          </cell>
          <cell r="L618">
            <v>553.17704885727164</v>
          </cell>
          <cell r="M618">
            <v>546.68886997812899</v>
          </cell>
          <cell r="N618">
            <v>524.953862569286</v>
          </cell>
          <cell r="O618">
            <v>614.07167490114693</v>
          </cell>
          <cell r="P618">
            <v>365.05482034625277</v>
          </cell>
          <cell r="Q618">
            <v>127.5635894923505</v>
          </cell>
          <cell r="R618">
            <v>692.50710878742962</v>
          </cell>
          <cell r="S618">
            <v>698.31145978470238</v>
          </cell>
          <cell r="T618">
            <v>828.31980609629386</v>
          </cell>
          <cell r="U618">
            <v>1015.7139659157854</v>
          </cell>
          <cell r="V618">
            <v>1402.1070603753685</v>
          </cell>
          <cell r="W618">
            <v>1105.0005990404186</v>
          </cell>
          <cell r="X618">
            <v>553.17704885727164</v>
          </cell>
          <cell r="Y618">
            <v>546.68886997812899</v>
          </cell>
          <cell r="Z618">
            <v>524.953862569286</v>
          </cell>
          <cell r="AA618">
            <v>614.07167490114693</v>
          </cell>
          <cell r="AB618">
            <v>365.05482034625277</v>
          </cell>
          <cell r="AC618">
            <v>127.5635894923505</v>
          </cell>
          <cell r="AD618">
            <v>692.50710878742962</v>
          </cell>
          <cell r="AE618">
            <v>698.31145978470238</v>
          </cell>
          <cell r="AF618">
            <v>828.31980609629386</v>
          </cell>
        </row>
        <row r="619">
          <cell r="D619">
            <v>9220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</row>
        <row r="620">
          <cell r="D620">
            <v>9230</v>
          </cell>
          <cell r="F620">
            <v>7439</v>
          </cell>
          <cell r="G620">
            <v>6315</v>
          </cell>
          <cell r="H620">
            <v>8992.5</v>
          </cell>
          <cell r="I620">
            <v>6567</v>
          </cell>
          <cell r="J620">
            <v>9441.9699999999993</v>
          </cell>
          <cell r="K620">
            <v>88516</v>
          </cell>
          <cell r="L620">
            <v>21539.135553652792</v>
          </cell>
          <cell r="M620">
            <v>23186.539917270689</v>
          </cell>
          <cell r="N620">
            <v>25610.667250807288</v>
          </cell>
          <cell r="O620">
            <v>23625.012561579635</v>
          </cell>
          <cell r="P620">
            <v>20962.857221132461</v>
          </cell>
          <cell r="Q620">
            <v>15106.135516612419</v>
          </cell>
          <cell r="R620">
            <v>23332.783071937556</v>
          </cell>
          <cell r="S620">
            <v>21769.908717468519</v>
          </cell>
          <cell r="T620">
            <v>16361.710076654479</v>
          </cell>
          <cell r="U620">
            <v>17632.428855441482</v>
          </cell>
          <cell r="V620">
            <v>21274.876860380667</v>
          </cell>
          <cell r="W620">
            <v>26899.762418117276</v>
          </cell>
          <cell r="X620">
            <v>21539.135553652792</v>
          </cell>
          <cell r="Y620">
            <v>23186.539917270689</v>
          </cell>
          <cell r="Z620">
            <v>25610.667250807288</v>
          </cell>
          <cell r="AA620">
            <v>23625.012561579635</v>
          </cell>
          <cell r="AB620">
            <v>20962.857221132461</v>
          </cell>
          <cell r="AC620">
            <v>15106.135516612419</v>
          </cell>
          <cell r="AD620">
            <v>23332.783071937556</v>
          </cell>
          <cell r="AE620">
            <v>21769.908717468519</v>
          </cell>
          <cell r="AF620">
            <v>16361.710076654479</v>
          </cell>
        </row>
        <row r="621">
          <cell r="D621">
            <v>9240</v>
          </cell>
          <cell r="F621">
            <v>12388.360000000004</v>
          </cell>
          <cell r="G621">
            <v>11822.090000000004</v>
          </cell>
          <cell r="H621">
            <v>12394.300000000003</v>
          </cell>
          <cell r="I621">
            <v>9729.1600000000035</v>
          </cell>
          <cell r="J621">
            <v>12497.200000000004</v>
          </cell>
          <cell r="K621">
            <v>12824.989999999998</v>
          </cell>
          <cell r="L621">
            <v>343.99892592498952</v>
          </cell>
          <cell r="M621">
            <v>0</v>
          </cell>
          <cell r="N621">
            <v>0</v>
          </cell>
          <cell r="O621">
            <v>573.33154320831591</v>
          </cell>
          <cell r="P621">
            <v>0</v>
          </cell>
          <cell r="Q621">
            <v>0</v>
          </cell>
          <cell r="R621">
            <v>11506.61118377938</v>
          </cell>
          <cell r="S621">
            <v>11009.043492900899</v>
          </cell>
          <cell r="T621">
            <v>11599.322716526451</v>
          </cell>
          <cell r="U621">
            <v>12997.23497401812</v>
          </cell>
          <cell r="V621">
            <v>12623.850895398566</v>
          </cell>
          <cell r="W621">
            <v>11920.036737376609</v>
          </cell>
          <cell r="X621">
            <v>343.99892592498952</v>
          </cell>
          <cell r="Y621">
            <v>0</v>
          </cell>
          <cell r="Z621">
            <v>0</v>
          </cell>
          <cell r="AA621">
            <v>573.33154320831591</v>
          </cell>
          <cell r="AB621">
            <v>0</v>
          </cell>
          <cell r="AC621">
            <v>0</v>
          </cell>
          <cell r="AD621">
            <v>11506.61118377938</v>
          </cell>
          <cell r="AE621">
            <v>11009.043492900899</v>
          </cell>
          <cell r="AF621">
            <v>11599.322716526451</v>
          </cell>
        </row>
        <row r="622">
          <cell r="D622">
            <v>9250</v>
          </cell>
          <cell r="F622">
            <v>2619.3200000000002</v>
          </cell>
          <cell r="G622">
            <v>4798.0400000000009</v>
          </cell>
          <cell r="H622">
            <v>2613.61</v>
          </cell>
          <cell r="I622">
            <v>8073.82</v>
          </cell>
          <cell r="J622">
            <v>7894.6</v>
          </cell>
          <cell r="K622">
            <v>15566.539999999999</v>
          </cell>
          <cell r="L622">
            <v>4093.6557435737195</v>
          </cell>
          <cell r="M622">
            <v>4315.5896013951615</v>
          </cell>
          <cell r="N622">
            <v>4762.1204043717316</v>
          </cell>
          <cell r="O622">
            <v>4535.7948540068737</v>
          </cell>
          <cell r="P622">
            <v>3904.8303007151735</v>
          </cell>
          <cell r="Q622">
            <v>2816.123316729997</v>
          </cell>
          <cell r="R622">
            <v>7214.1280627347023</v>
          </cell>
          <cell r="S622">
            <v>6830.3119966913737</v>
          </cell>
          <cell r="T622">
            <v>5943.0648984274239</v>
          </cell>
          <cell r="U622">
            <v>6515.7784610850231</v>
          </cell>
          <cell r="V622">
            <v>7096.9196709750104</v>
          </cell>
          <cell r="W622">
            <v>7965.7269100864542</v>
          </cell>
          <cell r="X622">
            <v>4093.6557435737195</v>
          </cell>
          <cell r="Y622">
            <v>4315.5896013951615</v>
          </cell>
          <cell r="Z622">
            <v>4762.1204043717316</v>
          </cell>
          <cell r="AA622">
            <v>4535.7948540068737</v>
          </cell>
          <cell r="AB622">
            <v>3904.8303007151735</v>
          </cell>
          <cell r="AC622">
            <v>2816.123316729997</v>
          </cell>
          <cell r="AD622">
            <v>7214.1280627347023</v>
          </cell>
          <cell r="AE622">
            <v>6830.3119966913737</v>
          </cell>
          <cell r="AF622">
            <v>5943.0648984274239</v>
          </cell>
        </row>
        <row r="623">
          <cell r="D623">
            <v>9260</v>
          </cell>
          <cell r="F623">
            <v>132988.86000000004</v>
          </cell>
          <cell r="G623">
            <v>135263.23000000001</v>
          </cell>
          <cell r="H623">
            <v>145655.39000000001</v>
          </cell>
          <cell r="I623">
            <v>124403.68000000002</v>
          </cell>
          <cell r="J623">
            <v>127287.87999999998</v>
          </cell>
          <cell r="K623">
            <v>135284.45000000001</v>
          </cell>
          <cell r="L623">
            <v>187964.04093288735</v>
          </cell>
          <cell r="M623">
            <v>184396.20565130378</v>
          </cell>
          <cell r="N623">
            <v>183756.96942879655</v>
          </cell>
          <cell r="O623">
            <v>181403.99101277348</v>
          </cell>
          <cell r="P623">
            <v>187122.07791022767</v>
          </cell>
          <cell r="Q623">
            <v>178892.08083776131</v>
          </cell>
          <cell r="R623">
            <v>136097.51664804833</v>
          </cell>
          <cell r="S623">
            <v>138848.94613396123</v>
          </cell>
          <cell r="T623">
            <v>150443.28547595823</v>
          </cell>
          <cell r="U623">
            <v>128588.0717670876</v>
          </cell>
          <cell r="V623">
            <v>130552.88573341547</v>
          </cell>
          <cell r="W623">
            <v>139155.89445690415</v>
          </cell>
          <cell r="X623">
            <v>163239.97701350515</v>
          </cell>
          <cell r="Y623">
            <v>160232.19338835438</v>
          </cell>
          <cell r="Z623">
            <v>159525.26899953571</v>
          </cell>
          <cell r="AA623">
            <v>157448.03524540618</v>
          </cell>
          <cell r="AB623">
            <v>162662.32873031052</v>
          </cell>
          <cell r="AC623">
            <v>155682.79554705959</v>
          </cell>
          <cell r="AD623">
            <v>139965.3376553565</v>
          </cell>
          <cell r="AE623">
            <v>142606.72319733014</v>
          </cell>
          <cell r="AF623">
            <v>154757.72575934418</v>
          </cell>
        </row>
        <row r="624">
          <cell r="D624">
            <v>9270</v>
          </cell>
          <cell r="F624">
            <v>291.5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57.901821074445429</v>
          </cell>
          <cell r="M624">
            <v>55.110325522324104</v>
          </cell>
          <cell r="N624">
            <v>66.896640075725244</v>
          </cell>
          <cell r="O624">
            <v>85.010344547268062</v>
          </cell>
          <cell r="P624">
            <v>54.489993177408252</v>
          </cell>
          <cell r="Q624">
            <v>480.23648814005435</v>
          </cell>
          <cell r="R624">
            <v>48.531452871553547</v>
          </cell>
          <cell r="S624">
            <v>55.514410011802283</v>
          </cell>
          <cell r="T624">
            <v>44.849284138602052</v>
          </cell>
          <cell r="U624">
            <v>47.542891246695653</v>
          </cell>
          <cell r="V624">
            <v>41.608171702885713</v>
          </cell>
          <cell r="W624">
            <v>53.453790028460809</v>
          </cell>
          <cell r="X624">
            <v>57.901821074445429</v>
          </cell>
          <cell r="Y624">
            <v>55.110325522324104</v>
          </cell>
          <cell r="Z624">
            <v>66.896640075725244</v>
          </cell>
          <cell r="AA624">
            <v>85.010344547268062</v>
          </cell>
          <cell r="AB624">
            <v>54.489993177408252</v>
          </cell>
          <cell r="AC624">
            <v>480.23648814005435</v>
          </cell>
          <cell r="AD624">
            <v>48.531452871553547</v>
          </cell>
          <cell r="AE624">
            <v>55.514410011802283</v>
          </cell>
          <cell r="AF624">
            <v>44.849284138602052</v>
          </cell>
        </row>
        <row r="625">
          <cell r="D625">
            <v>9280</v>
          </cell>
          <cell r="F625">
            <v>5273.92</v>
          </cell>
          <cell r="G625">
            <v>6367.87</v>
          </cell>
          <cell r="H625">
            <v>9450.82</v>
          </cell>
          <cell r="I625">
            <v>8257.42</v>
          </cell>
          <cell r="J625">
            <v>10743.67</v>
          </cell>
          <cell r="K625">
            <v>11474.25</v>
          </cell>
          <cell r="L625">
            <v>9657.4454873552022</v>
          </cell>
          <cell r="M625">
            <v>9612.3194078757642</v>
          </cell>
          <cell r="N625">
            <v>11271.270854412345</v>
          </cell>
          <cell r="O625">
            <v>12926.732220531212</v>
          </cell>
          <cell r="P625">
            <v>9196.8608409912886</v>
          </cell>
          <cell r="Q625">
            <v>54496.514683375353</v>
          </cell>
          <cell r="R625">
            <v>8921.0502710063247</v>
          </cell>
          <cell r="S625">
            <v>9434.4099156895027</v>
          </cell>
          <cell r="T625">
            <v>7430.0098256537185</v>
          </cell>
          <cell r="U625">
            <v>7921.3437568983518</v>
          </cell>
          <cell r="V625">
            <v>7847.3331851078001</v>
          </cell>
          <cell r="W625">
            <v>10013.803045644308</v>
          </cell>
          <cell r="X625">
            <v>9657.4454873552022</v>
          </cell>
          <cell r="Y625">
            <v>9612.3194078757642</v>
          </cell>
          <cell r="Z625">
            <v>11271.270854412345</v>
          </cell>
          <cell r="AA625">
            <v>12926.732220531212</v>
          </cell>
          <cell r="AB625">
            <v>9196.8608409912886</v>
          </cell>
          <cell r="AC625">
            <v>54496.514683375353</v>
          </cell>
          <cell r="AD625">
            <v>8921.0502710063247</v>
          </cell>
          <cell r="AE625">
            <v>9434.4099156895027</v>
          </cell>
          <cell r="AF625">
            <v>7430.0098256537185</v>
          </cell>
        </row>
        <row r="626">
          <cell r="D626">
            <v>9290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</row>
        <row r="627">
          <cell r="D627">
            <v>9301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</row>
        <row r="628">
          <cell r="D628">
            <v>9302</v>
          </cell>
          <cell r="F628">
            <v>19279.97</v>
          </cell>
          <cell r="G628">
            <v>5007.47</v>
          </cell>
          <cell r="H628">
            <v>5908.47</v>
          </cell>
          <cell r="I628">
            <v>12526.02</v>
          </cell>
          <cell r="J628">
            <v>7246.62</v>
          </cell>
          <cell r="K628">
            <v>11246.619999999999</v>
          </cell>
          <cell r="L628">
            <v>1498.4950235676317</v>
          </cell>
          <cell r="M628">
            <v>16294.86956373161</v>
          </cell>
          <cell r="N628">
            <v>12115.206254272283</v>
          </cell>
          <cell r="O628">
            <v>1952.0695506477005</v>
          </cell>
          <cell r="P628">
            <v>471.83068938081772</v>
          </cell>
          <cell r="Q628">
            <v>2261.7843762973466</v>
          </cell>
          <cell r="R628">
            <v>18384.31644790955</v>
          </cell>
          <cell r="S628">
            <v>4947.7303922957772</v>
          </cell>
          <cell r="T628">
            <v>6510.2394507598146</v>
          </cell>
          <cell r="U628">
            <v>15864.723697994592</v>
          </cell>
          <cell r="V628">
            <v>4434.7812043234917</v>
          </cell>
          <cell r="W628">
            <v>11073.378806716773</v>
          </cell>
          <cell r="X628">
            <v>1498.4950235676317</v>
          </cell>
          <cell r="Y628">
            <v>16294.86956373161</v>
          </cell>
          <cell r="Z628">
            <v>12115.206254272283</v>
          </cell>
          <cell r="AA628">
            <v>1952.0695506477005</v>
          </cell>
          <cell r="AB628">
            <v>471.83068938081772</v>
          </cell>
          <cell r="AC628">
            <v>2261.7843762973466</v>
          </cell>
          <cell r="AD628">
            <v>18384.31644790955</v>
          </cell>
          <cell r="AE628">
            <v>4947.7303922957772</v>
          </cell>
          <cell r="AF628">
            <v>6510.2394507598146</v>
          </cell>
        </row>
        <row r="629">
          <cell r="D629">
            <v>9310</v>
          </cell>
          <cell r="F629">
            <v>0</v>
          </cell>
          <cell r="G629">
            <v>0</v>
          </cell>
          <cell r="H629">
            <v>0</v>
          </cell>
          <cell r="I629">
            <v>1020</v>
          </cell>
          <cell r="J629">
            <v>0</v>
          </cell>
          <cell r="K629">
            <v>0</v>
          </cell>
          <cell r="L629">
            <v>22.01867417773736</v>
          </cell>
          <cell r="M629">
            <v>272.82042183237593</v>
          </cell>
          <cell r="N629">
            <v>201.33513717314639</v>
          </cell>
          <cell r="O629">
            <v>28.126594069506968</v>
          </cell>
          <cell r="P629">
            <v>4.8260107786821607</v>
          </cell>
          <cell r="Q629">
            <v>10.40608574153341</v>
          </cell>
          <cell r="R629">
            <v>308.59639379893099</v>
          </cell>
          <cell r="S629">
            <v>80.58487879527155</v>
          </cell>
          <cell r="T629">
            <v>107.67237241899353</v>
          </cell>
          <cell r="U629">
            <v>265.97382066579428</v>
          </cell>
          <cell r="V629">
            <v>72.704003193683576</v>
          </cell>
          <cell r="W629">
            <v>184.46853112732592</v>
          </cell>
          <cell r="X629">
            <v>22.01867417773736</v>
          </cell>
          <cell r="Y629">
            <v>272.82042183237593</v>
          </cell>
          <cell r="Z629">
            <v>201.33513717314639</v>
          </cell>
          <cell r="AA629">
            <v>28.126594069506968</v>
          </cell>
          <cell r="AB629">
            <v>4.8260107786821607</v>
          </cell>
          <cell r="AC629">
            <v>10.40608574153341</v>
          </cell>
          <cell r="AD629">
            <v>308.59639379893099</v>
          </cell>
          <cell r="AE629">
            <v>80.58487879527155</v>
          </cell>
          <cell r="AF629">
            <v>107.67237241899353</v>
          </cell>
        </row>
        <row r="630">
          <cell r="D630">
            <v>9320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</row>
      </sheetData>
      <sheetData sheetId="5">
        <row r="77">
          <cell r="F77">
            <v>2236</v>
          </cell>
          <cell r="G77">
            <v>3264.8</v>
          </cell>
          <cell r="H77">
            <v>8477.1</v>
          </cell>
          <cell r="I77">
            <v>8093.77</v>
          </cell>
          <cell r="J77">
            <v>4058.37</v>
          </cell>
          <cell r="K77">
            <v>7206.32</v>
          </cell>
          <cell r="L77">
            <v>4102.7653973959004</v>
          </cell>
          <cell r="M77">
            <v>7780.0659849394997</v>
          </cell>
          <cell r="N77">
            <v>3934.8708271405694</v>
          </cell>
          <cell r="O77">
            <v>9616.7838117475494</v>
          </cell>
          <cell r="P77">
            <v>955.28283574710599</v>
          </cell>
          <cell r="Q77">
            <v>1055.218984443894</v>
          </cell>
          <cell r="U77">
            <v>5697.2351470736085</v>
          </cell>
          <cell r="V77">
            <v>4950.3789958129455</v>
          </cell>
          <cell r="W77">
            <v>10872.249163975865</v>
          </cell>
          <cell r="X77">
            <v>4102.7653973959004</v>
          </cell>
          <cell r="Y77">
            <v>7780.0659849394997</v>
          </cell>
          <cell r="Z77">
            <v>3934.8708271405694</v>
          </cell>
          <cell r="AA77">
            <v>9616.7838117475494</v>
          </cell>
          <cell r="AB77">
            <v>955.28283574710599</v>
          </cell>
          <cell r="AC77">
            <v>1055.218984443894</v>
          </cell>
          <cell r="AD77">
            <v>6466.4927314447723</v>
          </cell>
          <cell r="AE77">
            <v>-40.299758084280235</v>
          </cell>
          <cell r="AF77">
            <v>5390.3037197770973</v>
          </cell>
        </row>
        <row r="310">
          <cell r="F310">
            <v>1104.5999999999999</v>
          </cell>
          <cell r="G310">
            <v>3649.03</v>
          </cell>
          <cell r="H310">
            <v>1325.1</v>
          </cell>
          <cell r="I310">
            <v>528.04999999999995</v>
          </cell>
          <cell r="J310">
            <v>1752.05</v>
          </cell>
          <cell r="K310">
            <v>1448.07</v>
          </cell>
          <cell r="L310">
            <v>3273.1198035121106</v>
          </cell>
          <cell r="M310">
            <v>2976.2462484091079</v>
          </cell>
          <cell r="N310">
            <v>2819.7946896617941</v>
          </cell>
          <cell r="O310">
            <v>2803.8124679742205</v>
          </cell>
          <cell r="P310">
            <v>2773.5333536632843</v>
          </cell>
          <cell r="Q310">
            <v>3514.4034422019718</v>
          </cell>
          <cell r="U310">
            <v>958.42628231402864</v>
          </cell>
          <cell r="V310">
            <v>1777.5373939330775</v>
          </cell>
          <cell r="W310">
            <v>1765.3688446824337</v>
          </cell>
          <cell r="X310">
            <v>3273.1198035121106</v>
          </cell>
          <cell r="Y310">
            <v>2976.2462484091079</v>
          </cell>
          <cell r="Z310">
            <v>2819.7946896617941</v>
          </cell>
          <cell r="AA310">
            <v>2803.8124679742205</v>
          </cell>
          <cell r="AB310">
            <v>2773.5333536632843</v>
          </cell>
          <cell r="AC310">
            <v>3514.4034422019718</v>
          </cell>
          <cell r="AD310">
            <v>1651.3273609776836</v>
          </cell>
          <cell r="AE310">
            <v>1911.4248582272171</v>
          </cell>
          <cell r="AF310">
            <v>1742.815259865559</v>
          </cell>
        </row>
        <row r="314">
          <cell r="F314">
            <v>19144.13</v>
          </cell>
          <cell r="G314">
            <v>12997</v>
          </cell>
          <cell r="H314">
            <v>19614.25</v>
          </cell>
          <cell r="I314">
            <v>4000.13</v>
          </cell>
          <cell r="J314">
            <v>0</v>
          </cell>
          <cell r="K314">
            <v>-14090.12</v>
          </cell>
          <cell r="L314">
            <v>13906.108263575181</v>
          </cell>
          <cell r="M314">
            <v>12644.817493397744</v>
          </cell>
          <cell r="N314">
            <v>11980.120676736544</v>
          </cell>
          <cell r="O314">
            <v>11912.218944315573</v>
          </cell>
          <cell r="P314">
            <v>11783.575733247882</v>
          </cell>
          <cell r="Q314">
            <v>14931.220878839144</v>
          </cell>
          <cell r="U314">
            <v>4071.9498352042033</v>
          </cell>
          <cell r="V314">
            <v>7552.0081532191934</v>
          </cell>
          <cell r="W314">
            <v>7500.3091096618728</v>
          </cell>
          <cell r="X314">
            <v>13906.108263575181</v>
          </cell>
          <cell r="Y314">
            <v>12644.817493397744</v>
          </cell>
          <cell r="Z314">
            <v>11980.120676736544</v>
          </cell>
          <cell r="AA314">
            <v>11912.218944315573</v>
          </cell>
          <cell r="AB314">
            <v>11783.575733247882</v>
          </cell>
          <cell r="AC314">
            <v>14931.220878839144</v>
          </cell>
          <cell r="AD314">
            <v>7015.7948498308297</v>
          </cell>
          <cell r="AE314">
            <v>8120.8396306408449</v>
          </cell>
          <cell r="AF314">
            <v>7404.4884214430513</v>
          </cell>
        </row>
        <row r="326">
          <cell r="F326">
            <v>712627.74000000011</v>
          </cell>
          <cell r="G326">
            <v>559667.29999999993</v>
          </cell>
          <cell r="H326">
            <v>721663.95</v>
          </cell>
          <cell r="I326">
            <v>853891.54999999993</v>
          </cell>
          <cell r="J326">
            <v>727663.90000000014</v>
          </cell>
          <cell r="K326">
            <v>806851.44000000041</v>
          </cell>
          <cell r="L326">
            <v>1042061.0000000001</v>
          </cell>
          <cell r="M326">
            <v>1045619.6600000001</v>
          </cell>
          <cell r="N326">
            <v>936142.69000000018</v>
          </cell>
          <cell r="O326">
            <v>1076013.46</v>
          </cell>
          <cell r="P326">
            <v>959906.65</v>
          </cell>
          <cell r="Q326">
            <v>940048.1399999999</v>
          </cell>
          <cell r="U326">
            <v>865488.52558253857</v>
          </cell>
          <cell r="V326">
            <v>786593.50499690592</v>
          </cell>
          <cell r="W326">
            <v>881301.68033295788</v>
          </cell>
          <cell r="X326">
            <v>1033658.3467302712</v>
          </cell>
          <cell r="Y326">
            <v>1037007.2618060117</v>
          </cell>
          <cell r="Z326">
            <v>927849.0367302713</v>
          </cell>
          <cell r="AA326">
            <v>1068076.8067302713</v>
          </cell>
          <cell r="AB326">
            <v>951855.99673027126</v>
          </cell>
          <cell r="AC326">
            <v>932334.27537244081</v>
          </cell>
          <cell r="AD326">
            <v>807882.4840815611</v>
          </cell>
          <cell r="AE326">
            <v>596968.49679069151</v>
          </cell>
          <cell r="AF326">
            <v>786910.65872246784</v>
          </cell>
        </row>
        <row r="337">
          <cell r="L337">
            <v>9</v>
          </cell>
          <cell r="M337">
            <v>10</v>
          </cell>
          <cell r="N337">
            <v>11</v>
          </cell>
          <cell r="O337">
            <v>12</v>
          </cell>
          <cell r="P337">
            <v>13</v>
          </cell>
          <cell r="Q337">
            <v>14</v>
          </cell>
          <cell r="U337">
            <v>18</v>
          </cell>
          <cell r="V337">
            <v>19</v>
          </cell>
          <cell r="W337">
            <v>20</v>
          </cell>
          <cell r="X337">
            <v>21</v>
          </cell>
          <cell r="Y337">
            <v>22</v>
          </cell>
          <cell r="Z337">
            <v>23</v>
          </cell>
          <cell r="AA337">
            <v>24</v>
          </cell>
          <cell r="AB337">
            <v>25</v>
          </cell>
          <cell r="AC337">
            <v>26</v>
          </cell>
          <cell r="AD337">
            <v>27</v>
          </cell>
          <cell r="AE337">
            <v>28</v>
          </cell>
          <cell r="AF337">
            <v>29</v>
          </cell>
        </row>
        <row r="338">
          <cell r="D338">
            <v>7590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</row>
        <row r="339">
          <cell r="D339">
            <v>8140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</row>
        <row r="340">
          <cell r="D340">
            <v>8150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</row>
        <row r="341">
          <cell r="D341">
            <v>8160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</row>
        <row r="342">
          <cell r="D342">
            <v>8170</v>
          </cell>
          <cell r="F342">
            <v>42.91</v>
          </cell>
          <cell r="G342">
            <v>41.39</v>
          </cell>
          <cell r="H342">
            <v>39.950000000000003</v>
          </cell>
          <cell r="I342">
            <v>44.34</v>
          </cell>
          <cell r="J342">
            <v>90.28</v>
          </cell>
          <cell r="K342">
            <v>0.46</v>
          </cell>
          <cell r="L342">
            <v>72.859574105338893</v>
          </cell>
          <cell r="M342">
            <v>71.826680658907193</v>
          </cell>
          <cell r="N342">
            <v>70.184426980033876</v>
          </cell>
          <cell r="O342">
            <v>70.121198732735763</v>
          </cell>
          <cell r="P342">
            <v>69.992469222667054</v>
          </cell>
          <cell r="Q342">
            <v>70.360777764966343</v>
          </cell>
          <cell r="R342">
            <v>53.875893122251824</v>
          </cell>
          <cell r="S342">
            <v>52.257041898454396</v>
          </cell>
          <cell r="T342">
            <v>53.415991660701941</v>
          </cell>
          <cell r="U342">
            <v>-2.9994199946126128</v>
          </cell>
          <cell r="V342">
            <v>49.740269527267756</v>
          </cell>
          <cell r="W342">
            <v>53.040223785936604</v>
          </cell>
          <cell r="X342">
            <v>72.859574105338893</v>
          </cell>
          <cell r="Y342">
            <v>71.826680658907193</v>
          </cell>
          <cell r="Z342">
            <v>70.184426980033876</v>
          </cell>
          <cell r="AA342">
            <v>70.121198732735763</v>
          </cell>
          <cell r="AB342">
            <v>69.992469222667054</v>
          </cell>
          <cell r="AC342">
            <v>70.360777764966343</v>
          </cell>
          <cell r="AD342">
            <v>53.875893122251824</v>
          </cell>
          <cell r="AE342">
            <v>52.257041898454396</v>
          </cell>
          <cell r="AF342">
            <v>53.415991660701941</v>
          </cell>
        </row>
        <row r="343">
          <cell r="D343">
            <v>8180</v>
          </cell>
          <cell r="F343">
            <v>30.04000000000002</v>
          </cell>
          <cell r="G343">
            <v>28.979999999999961</v>
          </cell>
          <cell r="H343">
            <v>27.970000000000027</v>
          </cell>
          <cell r="I343">
            <v>31.039999999999964</v>
          </cell>
          <cell r="J343">
            <v>63.200000000000045</v>
          </cell>
          <cell r="K343">
            <v>0.31999999999999984</v>
          </cell>
          <cell r="L343">
            <v>51.007039983126845</v>
          </cell>
          <cell r="M343">
            <v>50.283938894939297</v>
          </cell>
          <cell r="N343">
            <v>49.134240998824509</v>
          </cell>
          <cell r="O343">
            <v>49.089976593252572</v>
          </cell>
          <cell r="P343">
            <v>48.999856504743832</v>
          </cell>
          <cell r="Q343">
            <v>49.257699468745045</v>
          </cell>
          <cell r="R343">
            <v>37.717072441849496</v>
          </cell>
          <cell r="S343">
            <v>36.583757978885615</v>
          </cell>
          <cell r="T343">
            <v>37.39510772375138</v>
          </cell>
          <cell r="U343">
            <v>-2.0998137509039445</v>
          </cell>
          <cell r="V343">
            <v>34.821832925907017</v>
          </cell>
          <cell r="W343">
            <v>37.132042680510494</v>
          </cell>
          <cell r="X343">
            <v>51.007039983126845</v>
          </cell>
          <cell r="Y343">
            <v>50.283938894939297</v>
          </cell>
          <cell r="Z343">
            <v>49.134240998824509</v>
          </cell>
          <cell r="AA343">
            <v>49.089976593252572</v>
          </cell>
          <cell r="AB343">
            <v>48.999856504743832</v>
          </cell>
          <cell r="AC343">
            <v>49.257699468745045</v>
          </cell>
          <cell r="AD343">
            <v>37.717072441849496</v>
          </cell>
          <cell r="AE343">
            <v>36.583757978885615</v>
          </cell>
          <cell r="AF343">
            <v>37.39510772375138</v>
          </cell>
        </row>
        <row r="344">
          <cell r="D344">
            <v>8190</v>
          </cell>
          <cell r="F344">
            <v>4.58</v>
          </cell>
          <cell r="G344">
            <v>31.66</v>
          </cell>
          <cell r="H344">
            <v>65.12</v>
          </cell>
          <cell r="I344">
            <v>73.81</v>
          </cell>
          <cell r="J344">
            <v>33.380000000000003</v>
          </cell>
          <cell r="K344">
            <v>16.239999999999998</v>
          </cell>
          <cell r="L344">
            <v>63.155453141322376</v>
          </cell>
          <cell r="M344">
            <v>62.260130124998078</v>
          </cell>
          <cell r="N344">
            <v>60.836607183287001</v>
          </cell>
          <cell r="O344">
            <v>60.78180026657801</v>
          </cell>
          <cell r="P344">
            <v>60.670216159192265</v>
          </cell>
          <cell r="Q344">
            <v>60.989469917814326</v>
          </cell>
          <cell r="R344">
            <v>46.70019671827783</v>
          </cell>
          <cell r="S344">
            <v>45.296959273333457</v>
          </cell>
          <cell r="T344">
            <v>46.301549243856059</v>
          </cell>
          <cell r="U344">
            <v>-2.5999291273241405</v>
          </cell>
          <cell r="V344">
            <v>43.115394235277527</v>
          </cell>
          <cell r="W344">
            <v>45.975829656579229</v>
          </cell>
          <cell r="X344">
            <v>63.155453141322376</v>
          </cell>
          <cell r="Y344">
            <v>62.260130124998078</v>
          </cell>
          <cell r="Z344">
            <v>60.836607183287001</v>
          </cell>
          <cell r="AA344">
            <v>60.78180026657801</v>
          </cell>
          <cell r="AB344">
            <v>60.670216159192265</v>
          </cell>
          <cell r="AC344">
            <v>60.989469917814326</v>
          </cell>
          <cell r="AD344">
            <v>46.70019671827783</v>
          </cell>
          <cell r="AE344">
            <v>45.296959273333457</v>
          </cell>
          <cell r="AF344">
            <v>46.301549243856059</v>
          </cell>
        </row>
        <row r="345">
          <cell r="D345">
            <v>8200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</row>
        <row r="346">
          <cell r="D346">
            <v>8210</v>
          </cell>
          <cell r="F346">
            <v>98.53</v>
          </cell>
          <cell r="G346">
            <v>114.78</v>
          </cell>
          <cell r="H346">
            <v>268.01</v>
          </cell>
          <cell r="I346">
            <v>299.08</v>
          </cell>
          <cell r="J346">
            <v>302.98</v>
          </cell>
          <cell r="K346">
            <v>210.46</v>
          </cell>
          <cell r="L346">
            <v>363.50839224328723</v>
          </cell>
          <cell r="M346">
            <v>358.35511704669921</v>
          </cell>
          <cell r="N346">
            <v>350.16164348068884</v>
          </cell>
          <cell r="O346">
            <v>349.8461873611339</v>
          </cell>
          <cell r="P346">
            <v>349.20393467418177</v>
          </cell>
          <cell r="Q346">
            <v>351.04148653616653</v>
          </cell>
          <cell r="R346">
            <v>268.79568718348941</v>
          </cell>
          <cell r="S346">
            <v>260.71897231286874</v>
          </cell>
          <cell r="T346">
            <v>266.50116319084799</v>
          </cell>
          <cell r="U346">
            <v>-14.964599413217073</v>
          </cell>
          <cell r="V346">
            <v>248.16238123302404</v>
          </cell>
          <cell r="W346">
            <v>264.62639549298666</v>
          </cell>
          <cell r="X346">
            <v>363.50839224328723</v>
          </cell>
          <cell r="Y346">
            <v>358.35511704669921</v>
          </cell>
          <cell r="Z346">
            <v>350.16164348068884</v>
          </cell>
          <cell r="AA346">
            <v>349.8461873611339</v>
          </cell>
          <cell r="AB346">
            <v>349.20393467418177</v>
          </cell>
          <cell r="AC346">
            <v>351.04148653616653</v>
          </cell>
          <cell r="AD346">
            <v>268.79568718348941</v>
          </cell>
          <cell r="AE346">
            <v>260.71897231286874</v>
          </cell>
          <cell r="AF346">
            <v>266.50116319084799</v>
          </cell>
        </row>
        <row r="347">
          <cell r="D347">
            <v>8240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</row>
        <row r="348">
          <cell r="D348">
            <v>8250</v>
          </cell>
          <cell r="F348">
            <v>882.02</v>
          </cell>
          <cell r="G348">
            <v>458.57</v>
          </cell>
          <cell r="H348">
            <v>1101.8100000000002</v>
          </cell>
          <cell r="I348">
            <v>2270.65</v>
          </cell>
          <cell r="J348">
            <v>1407.2199999999998</v>
          </cell>
          <cell r="K348">
            <v>933.5</v>
          </cell>
          <cell r="L348">
            <v>1981.778729946463</v>
          </cell>
          <cell r="M348">
            <v>1953.6840521011059</v>
          </cell>
          <cell r="N348">
            <v>1909.0147900318264</v>
          </cell>
          <cell r="O348">
            <v>1907.2949831682008</v>
          </cell>
          <cell r="P348">
            <v>1903.7935434726883</v>
          </cell>
          <cell r="Q348">
            <v>1913.811527301842</v>
          </cell>
          <cell r="R348">
            <v>1465.4230464232687</v>
          </cell>
          <cell r="S348">
            <v>1421.3903305906015</v>
          </cell>
          <cell r="T348">
            <v>1452.9137373096423</v>
          </cell>
          <cell r="U348">
            <v>-81.584154457249866</v>
          </cell>
          <cell r="V348">
            <v>1352.9341803237401</v>
          </cell>
          <cell r="W348">
            <v>1442.6928598099953</v>
          </cell>
          <cell r="X348">
            <v>1981.778729946463</v>
          </cell>
          <cell r="Y348">
            <v>1953.6840521011059</v>
          </cell>
          <cell r="Z348">
            <v>1909.0147900318264</v>
          </cell>
          <cell r="AA348">
            <v>1907.2949831682008</v>
          </cell>
          <cell r="AB348">
            <v>1903.7935434726883</v>
          </cell>
          <cell r="AC348">
            <v>1913.811527301842</v>
          </cell>
          <cell r="AD348">
            <v>1465.4230464232687</v>
          </cell>
          <cell r="AE348">
            <v>1421.3903305906015</v>
          </cell>
          <cell r="AF348">
            <v>1452.9137373096423</v>
          </cell>
        </row>
        <row r="349">
          <cell r="D349">
            <v>8310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</row>
        <row r="350">
          <cell r="D350">
            <v>8320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</row>
        <row r="351">
          <cell r="D351">
            <v>8340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</row>
        <row r="352">
          <cell r="D352">
            <v>8350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</row>
        <row r="353">
          <cell r="D353">
            <v>8360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</row>
        <row r="354">
          <cell r="D354">
            <v>8370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</row>
        <row r="355">
          <cell r="D355">
            <v>8400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</row>
        <row r="356">
          <cell r="D356">
            <v>8410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</row>
        <row r="357">
          <cell r="D357">
            <v>8470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</row>
        <row r="358">
          <cell r="D358">
            <v>8500</v>
          </cell>
          <cell r="F358">
            <v>0</v>
          </cell>
          <cell r="G358">
            <v>24916.09</v>
          </cell>
          <cell r="H358">
            <v>1796.84</v>
          </cell>
          <cell r="I358">
            <v>1555.5</v>
          </cell>
          <cell r="J358">
            <v>867.9</v>
          </cell>
          <cell r="K358">
            <v>71.599999999999994</v>
          </cell>
          <cell r="L358">
            <v>9661.1592707280524</v>
          </cell>
          <cell r="M358">
            <v>9675.2435950747567</v>
          </cell>
          <cell r="N358">
            <v>8763.7329262834428</v>
          </cell>
          <cell r="O358">
            <v>9238.8839485337739</v>
          </cell>
          <cell r="P358">
            <v>8650.715595867794</v>
          </cell>
          <cell r="Q358">
            <v>11644.979037982863</v>
          </cell>
          <cell r="R358">
            <v>4458.0795713997013</v>
          </cell>
          <cell r="S358">
            <v>5070.7081987428328</v>
          </cell>
          <cell r="T358">
            <v>5121.6427417511704</v>
          </cell>
          <cell r="U358">
            <v>4671.5487365951985</v>
          </cell>
          <cell r="V358">
            <v>5194.3492363827645</v>
          </cell>
          <cell r="W358">
            <v>4691.6015151283354</v>
          </cell>
          <cell r="X358">
            <v>9661.1592707280524</v>
          </cell>
          <cell r="Y358">
            <v>9675.2435950747567</v>
          </cell>
          <cell r="Z358">
            <v>8763.7329262834428</v>
          </cell>
          <cell r="AA358">
            <v>9238.8839485337739</v>
          </cell>
          <cell r="AB358">
            <v>8650.715595867794</v>
          </cell>
          <cell r="AC358">
            <v>11644.979037982863</v>
          </cell>
          <cell r="AD358">
            <v>4458.0795713997013</v>
          </cell>
          <cell r="AE358">
            <v>5070.7081987428328</v>
          </cell>
          <cell r="AF358">
            <v>5121.6427417511704</v>
          </cell>
        </row>
        <row r="359">
          <cell r="D359">
            <v>8520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</row>
        <row r="360">
          <cell r="D360">
            <v>8560</v>
          </cell>
          <cell r="F360">
            <v>38.620000000000005</v>
          </cell>
          <cell r="G360">
            <v>37.259999999999991</v>
          </cell>
          <cell r="H360">
            <v>35.95999999999998</v>
          </cell>
          <cell r="I360">
            <v>39.910000000000025</v>
          </cell>
          <cell r="J360">
            <v>81.259999999999991</v>
          </cell>
          <cell r="K360">
            <v>0.41999999999999993</v>
          </cell>
          <cell r="L360">
            <v>65.582888147955146</v>
          </cell>
          <cell r="M360">
            <v>64.65315260944999</v>
          </cell>
          <cell r="N360">
            <v>63.174915320052719</v>
          </cell>
          <cell r="O360">
            <v>63.118001851627128</v>
          </cell>
          <cell r="P360">
            <v>63.002128911607429</v>
          </cell>
          <cell r="Q360">
            <v>63.33365346730443</v>
          </cell>
          <cell r="R360">
            <v>48.495159570922056</v>
          </cell>
          <cell r="S360">
            <v>47.037987469078701</v>
          </cell>
          <cell r="T360">
            <v>48.081189732609516</v>
          </cell>
          <cell r="U360">
            <v>-2.699859674323914</v>
          </cell>
          <cell r="V360">
            <v>44.772572073227536</v>
          </cell>
          <cell r="W360">
            <v>47.742950828485561</v>
          </cell>
          <cell r="X360">
            <v>65.582888147955146</v>
          </cell>
          <cell r="Y360">
            <v>64.65315260944999</v>
          </cell>
          <cell r="Z360">
            <v>63.174915320052719</v>
          </cell>
          <cell r="AA360">
            <v>63.118001851627128</v>
          </cell>
          <cell r="AB360">
            <v>63.002128911607429</v>
          </cell>
          <cell r="AC360">
            <v>63.33365346730443</v>
          </cell>
          <cell r="AD360">
            <v>48.495159570922056</v>
          </cell>
          <cell r="AE360">
            <v>47.037987469078701</v>
          </cell>
          <cell r="AF360">
            <v>48.081189732609516</v>
          </cell>
        </row>
        <row r="361">
          <cell r="D361">
            <v>8570</v>
          </cell>
          <cell r="F361">
            <v>64.349999999999994</v>
          </cell>
          <cell r="G361">
            <v>168.13</v>
          </cell>
          <cell r="H361">
            <v>49.629999999999995</v>
          </cell>
          <cell r="I361">
            <v>88.69</v>
          </cell>
          <cell r="J361">
            <v>180.58</v>
          </cell>
          <cell r="K361">
            <v>0.93</v>
          </cell>
          <cell r="L361">
            <v>149.41340367620606</v>
          </cell>
          <cell r="M361">
            <v>147.18130475624466</v>
          </cell>
          <cell r="N361">
            <v>144.06238733290036</v>
          </cell>
          <cell r="O361">
            <v>143.93591377133421</v>
          </cell>
          <cell r="P361">
            <v>143.67842000371019</v>
          </cell>
          <cell r="Q361">
            <v>144.4203299305689</v>
          </cell>
          <cell r="R361">
            <v>113.8748943543083</v>
          </cell>
          <cell r="S361">
            <v>108.82946895487042</v>
          </cell>
          <cell r="T361">
            <v>112.49781876549443</v>
          </cell>
          <cell r="U361">
            <v>0.95708126624975609</v>
          </cell>
          <cell r="V361">
            <v>105.16892439846806</v>
          </cell>
          <cell r="W361">
            <v>111.98921226060892</v>
          </cell>
          <cell r="X361">
            <v>149.5236413386078</v>
          </cell>
          <cell r="Y361">
            <v>147.28656142198815</v>
          </cell>
          <cell r="Z361">
            <v>144.1726249953021</v>
          </cell>
          <cell r="AA361">
            <v>144.04615143373596</v>
          </cell>
          <cell r="AB361">
            <v>143.78865766611193</v>
          </cell>
          <cell r="AC361">
            <v>144.53072339575303</v>
          </cell>
          <cell r="AD361">
            <v>114.05815132190908</v>
          </cell>
          <cell r="AE361">
            <v>108.95850734303392</v>
          </cell>
          <cell r="AF361">
            <v>112.66736127730947</v>
          </cell>
        </row>
        <row r="362">
          <cell r="D362">
            <v>8580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</row>
        <row r="363">
          <cell r="D363">
            <v>8590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</row>
        <row r="364">
          <cell r="D364">
            <v>8600</v>
          </cell>
          <cell r="F364">
            <v>165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3691.0276025401877</v>
          </cell>
          <cell r="M364">
            <v>3751.0846100643425</v>
          </cell>
          <cell r="N364">
            <v>3854.5993754322717</v>
          </cell>
          <cell r="O364">
            <v>4969.0545553622696</v>
          </cell>
          <cell r="P364">
            <v>4325.1419948441717</v>
          </cell>
          <cell r="Q364">
            <v>4313.8452832561352</v>
          </cell>
          <cell r="R364">
            <v>42.656613501561409</v>
          </cell>
          <cell r="S364">
            <v>22.743277513465923</v>
          </cell>
          <cell r="T364">
            <v>23.647014440508872</v>
          </cell>
          <cell r="U364">
            <v>30.58411753610126</v>
          </cell>
          <cell r="V364">
            <v>24.705216607633137</v>
          </cell>
          <cell r="W364">
            <v>20.663760400729352</v>
          </cell>
          <cell r="X364">
            <v>3691.0276025401877</v>
          </cell>
          <cell r="Y364">
            <v>3751.0846100643425</v>
          </cell>
          <cell r="Z364">
            <v>3854.5993754322717</v>
          </cell>
          <cell r="AA364">
            <v>4969.0545553622696</v>
          </cell>
          <cell r="AB364">
            <v>4325.1419948441717</v>
          </cell>
          <cell r="AC364">
            <v>4313.8452832561352</v>
          </cell>
          <cell r="AD364">
            <v>42.656613501561409</v>
          </cell>
          <cell r="AE364">
            <v>22.743277513465923</v>
          </cell>
          <cell r="AF364">
            <v>23.647014440508872</v>
          </cell>
        </row>
        <row r="365">
          <cell r="D365">
            <v>8620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</row>
        <row r="366">
          <cell r="D366">
            <v>8630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</row>
        <row r="367">
          <cell r="D367">
            <v>8640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</row>
        <row r="368">
          <cell r="D368">
            <v>8650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</row>
        <row r="369">
          <cell r="D369">
            <v>8670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</row>
        <row r="370">
          <cell r="D370">
            <v>8700</v>
          </cell>
          <cell r="F370">
            <v>139345.72</v>
          </cell>
          <cell r="G370">
            <v>157717.82000000009</v>
          </cell>
          <cell r="H370">
            <v>164992.21999999997</v>
          </cell>
          <cell r="I370">
            <v>296232.21999999997</v>
          </cell>
          <cell r="J370">
            <v>195538.03</v>
          </cell>
          <cell r="K370">
            <v>158320.26000000013</v>
          </cell>
          <cell r="L370">
            <v>283249.14645465108</v>
          </cell>
          <cell r="M370">
            <v>249293.38043922393</v>
          </cell>
          <cell r="N370">
            <v>231059.85065718828</v>
          </cell>
          <cell r="O370">
            <v>243123.65238771925</v>
          </cell>
          <cell r="P370">
            <v>305307.61985556647</v>
          </cell>
          <cell r="Q370">
            <v>217199.23360835653</v>
          </cell>
          <cell r="R370">
            <v>176545.68700829585</v>
          </cell>
          <cell r="S370">
            <v>146324.89445651174</v>
          </cell>
          <cell r="T370">
            <v>170317.04510053783</v>
          </cell>
          <cell r="U370">
            <v>257910.95091241688</v>
          </cell>
          <cell r="V370">
            <v>209571.70048834904</v>
          </cell>
          <cell r="W370">
            <v>174849.38143388851</v>
          </cell>
          <cell r="X370">
            <v>285806.84727841674</v>
          </cell>
          <cell r="Y370">
            <v>251735.51368854716</v>
          </cell>
          <cell r="Z370">
            <v>233617.55148095393</v>
          </cell>
          <cell r="AA370">
            <v>245681.35321148491</v>
          </cell>
          <cell r="AB370">
            <v>307865.32067933213</v>
          </cell>
          <cell r="AC370">
            <v>219760.54932104688</v>
          </cell>
          <cell r="AD370">
            <v>180797.5596150026</v>
          </cell>
          <cell r="AE370">
            <v>149318.80401983683</v>
          </cell>
          <cell r="AF370">
            <v>174250.71906173188</v>
          </cell>
        </row>
        <row r="371">
          <cell r="D371">
            <v>8710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</row>
        <row r="372">
          <cell r="D372">
            <v>8711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</row>
        <row r="373">
          <cell r="D373">
            <v>8720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</row>
        <row r="374">
          <cell r="D374">
            <v>8740</v>
          </cell>
          <cell r="F374">
            <v>7499.6600000000035</v>
          </cell>
          <cell r="G374">
            <v>14106.130000000003</v>
          </cell>
          <cell r="H374">
            <v>8495.92</v>
          </cell>
          <cell r="I374">
            <v>15885.04</v>
          </cell>
          <cell r="J374">
            <v>10443.090000000002</v>
          </cell>
          <cell r="K374">
            <v>5713.2800000000016</v>
          </cell>
          <cell r="L374">
            <v>4729.4956909398716</v>
          </cell>
          <cell r="M374">
            <v>6902.0479677439189</v>
          </cell>
          <cell r="N374">
            <v>6824.343338875542</v>
          </cell>
          <cell r="O374">
            <v>7093.1690755857653</v>
          </cell>
          <cell r="P374">
            <v>5694.8036200340321</v>
          </cell>
          <cell r="Q374">
            <v>9046.0009470493969</v>
          </cell>
          <cell r="R374">
            <v>3254.7275592415695</v>
          </cell>
          <cell r="S374">
            <v>6648.5334090269571</v>
          </cell>
          <cell r="T374">
            <v>7128.0582487754218</v>
          </cell>
          <cell r="U374">
            <v>29939.143524323066</v>
          </cell>
          <cell r="V374">
            <v>9327.2517222790448</v>
          </cell>
          <cell r="W374">
            <v>6609.6555363539346</v>
          </cell>
          <cell r="X374">
            <v>4813.1259604361258</v>
          </cell>
          <cell r="Y374">
            <v>6981.8994733965537</v>
          </cell>
          <cell r="Z374">
            <v>6907.9736083717962</v>
          </cell>
          <cell r="AA374">
            <v>7176.7993450820186</v>
          </cell>
          <cell r="AB374">
            <v>5778.4338895302863</v>
          </cell>
          <cell r="AC374">
            <v>9129.7494141597581</v>
          </cell>
          <cell r="AD374">
            <v>3393.7529091412139</v>
          </cell>
          <cell r="AE374">
            <v>6746.4265876590289</v>
          </cell>
          <cell r="AF374">
            <v>7256.6793175213406</v>
          </cell>
        </row>
        <row r="375">
          <cell r="D375">
            <v>8750</v>
          </cell>
          <cell r="F375">
            <v>40385.420000000006</v>
          </cell>
          <cell r="G375">
            <v>33529.849999999991</v>
          </cell>
          <cell r="H375">
            <v>33354.81</v>
          </cell>
          <cell r="I375">
            <v>39895.360000000001</v>
          </cell>
          <cell r="J375">
            <v>47737.26</v>
          </cell>
          <cell r="K375">
            <v>42150.710000000006</v>
          </cell>
          <cell r="L375">
            <v>26946.090837597414</v>
          </cell>
          <cell r="M375">
            <v>25608.292416956025</v>
          </cell>
          <cell r="N375">
            <v>28609.550372804424</v>
          </cell>
          <cell r="O375">
            <v>28043.547717282891</v>
          </cell>
          <cell r="P375">
            <v>26476.238883800383</v>
          </cell>
          <cell r="Q375">
            <v>29672.216532054452</v>
          </cell>
          <cell r="R375">
            <v>42832.466842607311</v>
          </cell>
          <cell r="S375">
            <v>30058.50795804564</v>
          </cell>
          <cell r="T375">
            <v>39488.41826747352</v>
          </cell>
          <cell r="U375">
            <v>50238.769403762773</v>
          </cell>
          <cell r="V375">
            <v>39780.82001063029</v>
          </cell>
          <cell r="W375">
            <v>41587.923117480452</v>
          </cell>
          <cell r="X375">
            <v>27704.808672833395</v>
          </cell>
          <cell r="Y375">
            <v>26332.728220810674</v>
          </cell>
          <cell r="Z375">
            <v>29368.268208040405</v>
          </cell>
          <cell r="AA375">
            <v>28802.265552518871</v>
          </cell>
          <cell r="AB375">
            <v>27234.956719036363</v>
          </cell>
          <cell r="AC375">
            <v>30432.006690008577</v>
          </cell>
          <cell r="AD375">
            <v>44093.744764514602</v>
          </cell>
          <cell r="AE375">
            <v>30946.623003273631</v>
          </cell>
          <cell r="AF375">
            <v>40655.305561182548</v>
          </cell>
        </row>
        <row r="376">
          <cell r="D376">
            <v>8760</v>
          </cell>
          <cell r="F376">
            <v>14954.65</v>
          </cell>
          <cell r="G376">
            <v>3501.5099999999998</v>
          </cell>
          <cell r="H376">
            <v>6920.9599999999991</v>
          </cell>
          <cell r="I376">
            <v>10664.21</v>
          </cell>
          <cell r="J376">
            <v>17114.39</v>
          </cell>
          <cell r="K376">
            <v>17495.79</v>
          </cell>
          <cell r="L376">
            <v>7731.2460865126932</v>
          </cell>
          <cell r="M376">
            <v>7381.9161925183762</v>
          </cell>
          <cell r="N376">
            <v>7731.2460865126932</v>
          </cell>
          <cell r="O376">
            <v>7731.2460865126932</v>
          </cell>
          <cell r="P376">
            <v>7731.2460865126932</v>
          </cell>
          <cell r="Q376">
            <v>7742.1729297120237</v>
          </cell>
          <cell r="R376">
            <v>12852.274646631666</v>
          </cell>
          <cell r="S376">
            <v>9049.7885365465118</v>
          </cell>
          <cell r="T376">
            <v>11890.44517463263</v>
          </cell>
          <cell r="U376">
            <v>14636.793960442485</v>
          </cell>
          <cell r="V376">
            <v>11939.977130660867</v>
          </cell>
          <cell r="W376">
            <v>12401.775851085848</v>
          </cell>
          <cell r="X376">
            <v>7963.183469108074</v>
          </cell>
          <cell r="Y376">
            <v>7603.3736782939286</v>
          </cell>
          <cell r="Z376">
            <v>7963.183469108074</v>
          </cell>
          <cell r="AA376">
            <v>7963.183469108074</v>
          </cell>
          <cell r="AB376">
            <v>7963.183469108074</v>
          </cell>
          <cell r="AC376">
            <v>7974.4381176033849</v>
          </cell>
          <cell r="AD376">
            <v>13237.842886030616</v>
          </cell>
          <cell r="AE376">
            <v>9321.2821926429078</v>
          </cell>
          <cell r="AF376">
            <v>12247.158529871609</v>
          </cell>
        </row>
        <row r="377">
          <cell r="D377">
            <v>8770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-594.27</v>
          </cell>
          <cell r="K377">
            <v>0</v>
          </cell>
          <cell r="L377">
            <v>-348.59733882030184</v>
          </cell>
          <cell r="M377">
            <v>-269.80818106995889</v>
          </cell>
          <cell r="N377">
            <v>-768.80970256058538</v>
          </cell>
          <cell r="O377">
            <v>-560.85143301326025</v>
          </cell>
          <cell r="P377">
            <v>-267.42854481024239</v>
          </cell>
          <cell r="Q377">
            <v>-1065.9517473708277</v>
          </cell>
          <cell r="R377">
            <v>-136.69800114311843</v>
          </cell>
          <cell r="S377">
            <v>-57.899282578875173</v>
          </cell>
          <cell r="T377">
            <v>-69.766265432098763</v>
          </cell>
          <cell r="U377">
            <v>-166.85129858253316</v>
          </cell>
          <cell r="V377">
            <v>-65.972635116598084</v>
          </cell>
          <cell r="W377">
            <v>-97.082517146776425</v>
          </cell>
          <cell r="X377">
            <v>-348.59733882030184</v>
          </cell>
          <cell r="Y377">
            <v>-269.80818106995889</v>
          </cell>
          <cell r="Z377">
            <v>-768.80970256058538</v>
          </cell>
          <cell r="AA377">
            <v>-560.85143301326025</v>
          </cell>
          <cell r="AB377">
            <v>-267.42854481024239</v>
          </cell>
          <cell r="AC377">
            <v>-1065.9517473708277</v>
          </cell>
          <cell r="AD377">
            <v>-136.69800114311843</v>
          </cell>
          <cell r="AE377">
            <v>-57.899282578875173</v>
          </cell>
          <cell r="AF377">
            <v>-69.766265432098763</v>
          </cell>
        </row>
        <row r="378">
          <cell r="D378">
            <v>8780</v>
          </cell>
          <cell r="F378">
            <v>-32.22</v>
          </cell>
          <cell r="G378">
            <v>703.87</v>
          </cell>
          <cell r="H378">
            <v>-31.360000000000014</v>
          </cell>
          <cell r="I378">
            <v>-25.69</v>
          </cell>
          <cell r="J378">
            <v>0</v>
          </cell>
          <cell r="K378">
            <v>86.52</v>
          </cell>
          <cell r="L378">
            <v>76.722086423570829</v>
          </cell>
          <cell r="M378">
            <v>73.25546305943756</v>
          </cell>
          <cell r="N378">
            <v>76.722086423570829</v>
          </cell>
          <cell r="O378">
            <v>76.722086423570829</v>
          </cell>
          <cell r="P378">
            <v>76.722086423570829</v>
          </cell>
          <cell r="Q378">
            <v>76.830520458510989</v>
          </cell>
          <cell r="R378">
            <v>127.54131936099303</v>
          </cell>
          <cell r="S378">
            <v>89.806824210034421</v>
          </cell>
          <cell r="T378">
            <v>117.99647199102226</v>
          </cell>
          <cell r="U378">
            <v>145.25024279800155</v>
          </cell>
          <cell r="V378">
            <v>118.48800918549294</v>
          </cell>
          <cell r="W378">
            <v>123.07073245445579</v>
          </cell>
          <cell r="X378">
            <v>79.023749016277961</v>
          </cell>
          <cell r="Y378">
            <v>75.453126951220696</v>
          </cell>
          <cell r="Z378">
            <v>79.023749016277961</v>
          </cell>
          <cell r="AA378">
            <v>79.023749016277961</v>
          </cell>
          <cell r="AB378">
            <v>79.023749016277961</v>
          </cell>
          <cell r="AC378">
            <v>79.135436072266316</v>
          </cell>
          <cell r="AD378">
            <v>131.36755894182284</v>
          </cell>
          <cell r="AE378">
            <v>92.501028936335473</v>
          </cell>
          <cell r="AF378">
            <v>121.53636615075293</v>
          </cell>
        </row>
        <row r="379">
          <cell r="D379">
            <v>8790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</row>
        <row r="380">
          <cell r="D380">
            <v>8800</v>
          </cell>
          <cell r="F380">
            <v>62949.62</v>
          </cell>
          <cell r="G380">
            <v>73531.02</v>
          </cell>
          <cell r="H380">
            <v>65229.94</v>
          </cell>
          <cell r="I380">
            <v>63613.43</v>
          </cell>
          <cell r="J380">
            <v>54706.84</v>
          </cell>
          <cell r="K380">
            <v>75256.34</v>
          </cell>
          <cell r="L380">
            <v>131929.79735325681</v>
          </cell>
          <cell r="M380">
            <v>119963.70068846201</v>
          </cell>
          <cell r="N380">
            <v>113657.60018490374</v>
          </cell>
          <cell r="O380">
            <v>113013.40400661723</v>
          </cell>
          <cell r="P380">
            <v>111792.94228969763</v>
          </cell>
          <cell r="Q380">
            <v>141655.22858337953</v>
          </cell>
          <cell r="R380">
            <v>66560.131365771464</v>
          </cell>
          <cell r="S380">
            <v>77043.893697782682</v>
          </cell>
          <cell r="T380">
            <v>70247.73850670208</v>
          </cell>
          <cell r="U380">
            <v>38631.334260373718</v>
          </cell>
          <cell r="V380">
            <v>71647.285234654089</v>
          </cell>
          <cell r="W380">
            <v>71156.806934715933</v>
          </cell>
          <cell r="X380">
            <v>131929.79735325681</v>
          </cell>
          <cell r="Y380">
            <v>119963.70068846201</v>
          </cell>
          <cell r="Z380">
            <v>113657.60018490374</v>
          </cell>
          <cell r="AA380">
            <v>113013.40400661723</v>
          </cell>
          <cell r="AB380">
            <v>111792.94228969763</v>
          </cell>
          <cell r="AC380">
            <v>141655.22858337953</v>
          </cell>
          <cell r="AD380">
            <v>66560.131365771464</v>
          </cell>
          <cell r="AE380">
            <v>77043.893697782682</v>
          </cell>
          <cell r="AF380">
            <v>70247.73850670208</v>
          </cell>
        </row>
        <row r="381">
          <cell r="D381">
            <v>8810</v>
          </cell>
          <cell r="F381">
            <v>27085.84</v>
          </cell>
          <cell r="G381">
            <v>26509.170000000006</v>
          </cell>
          <cell r="H381">
            <v>26412.43</v>
          </cell>
          <cell r="I381">
            <v>29001.720000000016</v>
          </cell>
          <cell r="J381">
            <v>27550.120000000003</v>
          </cell>
          <cell r="K381">
            <v>27016.200000000012</v>
          </cell>
          <cell r="L381">
            <v>38554.645345558391</v>
          </cell>
          <cell r="M381">
            <v>37953.715925397577</v>
          </cell>
          <cell r="N381">
            <v>37796.861590941022</v>
          </cell>
          <cell r="O381">
            <v>37174.944811939502</v>
          </cell>
          <cell r="P381">
            <v>36963.131214123467</v>
          </cell>
          <cell r="Q381">
            <v>37574.710972986977</v>
          </cell>
          <cell r="R381">
            <v>26986.901965249104</v>
          </cell>
          <cell r="S381">
            <v>30505.529056178373</v>
          </cell>
          <cell r="T381">
            <v>29642.302454875684</v>
          </cell>
          <cell r="U381">
            <v>16552.554944092393</v>
          </cell>
          <cell r="V381">
            <v>30121.653882091752</v>
          </cell>
          <cell r="W381">
            <v>29766.537697512686</v>
          </cell>
          <cell r="X381">
            <v>38554.645345558391</v>
          </cell>
          <cell r="Y381">
            <v>37953.715925397577</v>
          </cell>
          <cell r="Z381">
            <v>37796.861590941022</v>
          </cell>
          <cell r="AA381">
            <v>37174.944811939502</v>
          </cell>
          <cell r="AB381">
            <v>36963.131214123467</v>
          </cell>
          <cell r="AC381">
            <v>37574.710972986977</v>
          </cell>
          <cell r="AD381">
            <v>26986.901965249104</v>
          </cell>
          <cell r="AE381">
            <v>30505.529056178373</v>
          </cell>
          <cell r="AF381">
            <v>29642.302454875684</v>
          </cell>
        </row>
        <row r="382">
          <cell r="D382">
            <v>8850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</row>
        <row r="383">
          <cell r="D383">
            <v>8860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</row>
        <row r="384">
          <cell r="D384">
            <v>8870</v>
          </cell>
          <cell r="F384">
            <v>-73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-7.988236405922911</v>
          </cell>
          <cell r="M384">
            <v>-7.6272946190936528</v>
          </cell>
          <cell r="N384">
            <v>-7.988236405922911</v>
          </cell>
          <cell r="O384">
            <v>-7.988236405922911</v>
          </cell>
          <cell r="P384">
            <v>-7.988236405922911</v>
          </cell>
          <cell r="Q384">
            <v>-7.9995264626188129</v>
          </cell>
          <cell r="R384">
            <v>-13.279490405854192</v>
          </cell>
          <cell r="S384">
            <v>-9.3506078379343247</v>
          </cell>
          <cell r="T384">
            <v>-12.2856892619589</v>
          </cell>
          <cell r="U384">
            <v>-15.123327995570106</v>
          </cell>
          <cell r="V384">
            <v>-12.336867683907156</v>
          </cell>
          <cell r="W384">
            <v>-12.81401681477532</v>
          </cell>
          <cell r="X384">
            <v>-8.2278834981005975</v>
          </cell>
          <cell r="Y384">
            <v>-7.8561134576664626</v>
          </cell>
          <cell r="Z384">
            <v>-8.2278834981005975</v>
          </cell>
          <cell r="AA384">
            <v>-8.2278834981005975</v>
          </cell>
          <cell r="AB384">
            <v>-8.2278834981005975</v>
          </cell>
          <cell r="AC384">
            <v>-8.2395122564973775</v>
          </cell>
          <cell r="AD384">
            <v>-13.677875118029817</v>
          </cell>
          <cell r="AE384">
            <v>-9.6311260730723536</v>
          </cell>
          <cell r="AF384">
            <v>-12.654259939817667</v>
          </cell>
        </row>
        <row r="385">
          <cell r="D385">
            <v>8890</v>
          </cell>
          <cell r="F385">
            <v>5895.3899999999994</v>
          </cell>
          <cell r="G385">
            <v>9768.17</v>
          </cell>
          <cell r="H385">
            <v>4719.97</v>
          </cell>
          <cell r="I385">
            <v>5505.8</v>
          </cell>
          <cell r="J385">
            <v>12013.62</v>
          </cell>
          <cell r="K385">
            <v>16059.380000000001</v>
          </cell>
          <cell r="L385">
            <v>5904.9842336222755</v>
          </cell>
          <cell r="M385">
            <v>5638.1724553802196</v>
          </cell>
          <cell r="N385">
            <v>5904.9842336222755</v>
          </cell>
          <cell r="O385">
            <v>5904.9842336222755</v>
          </cell>
          <cell r="P385">
            <v>5904.9842336222755</v>
          </cell>
          <cell r="Q385">
            <v>5913.3299564324534</v>
          </cell>
          <cell r="R385">
            <v>9816.3321029114777</v>
          </cell>
          <cell r="S385">
            <v>6912.0628198794311</v>
          </cell>
          <cell r="T385">
            <v>9081.7043593326398</v>
          </cell>
          <cell r="U385">
            <v>11179.315287605379</v>
          </cell>
          <cell r="V385">
            <v>9119.5359606210095</v>
          </cell>
          <cell r="W385">
            <v>9472.2493696500642</v>
          </cell>
          <cell r="X385">
            <v>6082.1337606309435</v>
          </cell>
          <cell r="Y385">
            <v>5807.3176290416268</v>
          </cell>
          <cell r="Z385">
            <v>6082.1337606309435</v>
          </cell>
          <cell r="AA385">
            <v>6082.1337606309435</v>
          </cell>
          <cell r="AB385">
            <v>6082.1337606309435</v>
          </cell>
          <cell r="AC385">
            <v>6090.7298551254262</v>
          </cell>
          <cell r="AD385">
            <v>10110.822065998822</v>
          </cell>
          <cell r="AE385">
            <v>7119.4247044758158</v>
          </cell>
          <cell r="AF385">
            <v>9354.1554901126183</v>
          </cell>
        </row>
        <row r="386">
          <cell r="D386">
            <v>8900</v>
          </cell>
          <cell r="F386">
            <v>-147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-16.08590070781737</v>
          </cell>
          <cell r="M386">
            <v>-15.359072726120099</v>
          </cell>
          <cell r="N386">
            <v>-16.08590070781737</v>
          </cell>
          <cell r="O386">
            <v>-16.08590070781737</v>
          </cell>
          <cell r="P386">
            <v>-16.08590070781737</v>
          </cell>
          <cell r="Q386">
            <v>-16.108635479520078</v>
          </cell>
          <cell r="R386">
            <v>-26.740891639185843</v>
          </cell>
          <cell r="S386">
            <v>-18.829306194196516</v>
          </cell>
          <cell r="T386">
            <v>-24.739675637095324</v>
          </cell>
          <cell r="U386">
            <v>-30.453824867791859</v>
          </cell>
          <cell r="V386">
            <v>-24.842733555265099</v>
          </cell>
          <cell r="W386">
            <v>-25.803568106465374</v>
          </cell>
          <cell r="X386">
            <v>-16.568477729051892</v>
          </cell>
          <cell r="Y386">
            <v>-15.819844907903702</v>
          </cell>
          <cell r="Z386">
            <v>-16.568477729051892</v>
          </cell>
          <cell r="AA386">
            <v>-16.568477729051892</v>
          </cell>
          <cell r="AB386">
            <v>-16.568477729051892</v>
          </cell>
          <cell r="AC386">
            <v>-16.591894543905678</v>
          </cell>
          <cell r="AD386">
            <v>-27.543118388361417</v>
          </cell>
          <cell r="AE386">
            <v>-19.394185380022414</v>
          </cell>
          <cell r="AF386">
            <v>-25.481865906208181</v>
          </cell>
        </row>
        <row r="387">
          <cell r="D387">
            <v>8910</v>
          </cell>
          <cell r="F387">
            <v>952.80000000000007</v>
          </cell>
          <cell r="G387">
            <v>708.08999999999992</v>
          </cell>
          <cell r="H387">
            <v>-373.89</v>
          </cell>
          <cell r="I387">
            <v>347.63</v>
          </cell>
          <cell r="J387">
            <v>1784.47</v>
          </cell>
          <cell r="K387">
            <v>-370.8</v>
          </cell>
          <cell r="L387">
            <v>333.56905529006588</v>
          </cell>
          <cell r="M387">
            <v>318.49701626552309</v>
          </cell>
          <cell r="N387">
            <v>333.56905529006588</v>
          </cell>
          <cell r="O387">
            <v>333.56905529006588</v>
          </cell>
          <cell r="P387">
            <v>333.56905529006588</v>
          </cell>
          <cell r="Q387">
            <v>334.04050021919079</v>
          </cell>
          <cell r="R387">
            <v>554.51877539952511</v>
          </cell>
          <cell r="S387">
            <v>390.45832701883836</v>
          </cell>
          <cell r="T387">
            <v>513.02009009903179</v>
          </cell>
          <cell r="U387">
            <v>631.51288669721043</v>
          </cell>
          <cell r="V387">
            <v>515.15717480622175</v>
          </cell>
          <cell r="W387">
            <v>535.08174597917275</v>
          </cell>
          <cell r="X387">
            <v>343.57612694876792</v>
          </cell>
          <cell r="Y387">
            <v>328.05192675348883</v>
          </cell>
          <cell r="Z387">
            <v>343.57612694876792</v>
          </cell>
          <cell r="AA387">
            <v>343.57612694876792</v>
          </cell>
          <cell r="AB387">
            <v>343.57612694876792</v>
          </cell>
          <cell r="AC387">
            <v>344.06171522576653</v>
          </cell>
          <cell r="AD387">
            <v>571.15433866151091</v>
          </cell>
          <cell r="AE387">
            <v>402.17207682940352</v>
          </cell>
          <cell r="AF387">
            <v>528.4106928020027</v>
          </cell>
        </row>
        <row r="388">
          <cell r="D388">
            <v>8920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</row>
        <row r="389">
          <cell r="D389">
            <v>8930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</row>
        <row r="390">
          <cell r="D390">
            <v>8940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</row>
        <row r="391">
          <cell r="D391">
            <v>8950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</row>
        <row r="392">
          <cell r="D392">
            <v>9010</v>
          </cell>
          <cell r="F392">
            <v>11142.44</v>
          </cell>
          <cell r="G392">
            <v>10759.199999999999</v>
          </cell>
          <cell r="H392">
            <v>11714.829999999998</v>
          </cell>
          <cell r="I392">
            <v>10696.17</v>
          </cell>
          <cell r="J392">
            <v>10190.27</v>
          </cell>
          <cell r="K392">
            <v>10278.519999999999</v>
          </cell>
          <cell r="L392">
            <v>7093.3621090385723</v>
          </cell>
          <cell r="M392">
            <v>6774.0912593608537</v>
          </cell>
          <cell r="N392">
            <v>7094.7120255324462</v>
          </cell>
          <cell r="O392">
            <v>7093.2038242518083</v>
          </cell>
          <cell r="P392">
            <v>7100.1400029373071</v>
          </cell>
          <cell r="Q392">
            <v>7103.0424465872338</v>
          </cell>
          <cell r="R392">
            <v>11784.049814345759</v>
          </cell>
          <cell r="S392">
            <v>8297.922976722959</v>
          </cell>
          <cell r="T392">
            <v>10902.247902174759</v>
          </cell>
          <cell r="U392">
            <v>13421.648239457751</v>
          </cell>
          <cell r="V392">
            <v>10947.729810192595</v>
          </cell>
          <cell r="W392">
            <v>11371.170657106179</v>
          </cell>
          <cell r="X392">
            <v>7306.0176507391798</v>
          </cell>
          <cell r="Y392">
            <v>6977.1381381100691</v>
          </cell>
          <cell r="Z392">
            <v>7307.3675672330537</v>
          </cell>
          <cell r="AA392">
            <v>7305.8593659524158</v>
          </cell>
          <cell r="AB392">
            <v>7312.7955446379146</v>
          </cell>
          <cell r="AC392">
            <v>7315.9985418769566</v>
          </cell>
          <cell r="AD392">
            <v>12137.564292669298</v>
          </cell>
          <cell r="AE392">
            <v>8546.8463277559276</v>
          </cell>
          <cell r="AF392">
            <v>11229.30631311889</v>
          </cell>
        </row>
        <row r="393">
          <cell r="D393">
            <v>9020</v>
          </cell>
          <cell r="F393">
            <v>46.349999999999994</v>
          </cell>
          <cell r="G393">
            <v>32.449999999999996</v>
          </cell>
          <cell r="H393">
            <v>18.019999999999996</v>
          </cell>
          <cell r="I393">
            <v>-4.12</v>
          </cell>
          <cell r="J393">
            <v>193.13</v>
          </cell>
          <cell r="K393">
            <v>-38.630000000000003</v>
          </cell>
          <cell r="L393">
            <v>27.050575884166349</v>
          </cell>
          <cell r="M393">
            <v>25.828318216985632</v>
          </cell>
          <cell r="N393">
            <v>27.050575884166349</v>
          </cell>
          <cell r="O393">
            <v>27.050575884166349</v>
          </cell>
          <cell r="P393">
            <v>27.050575884166349</v>
          </cell>
          <cell r="Q393">
            <v>27.088807418621514</v>
          </cell>
          <cell r="R393">
            <v>44.968356552426805</v>
          </cell>
          <cell r="S393">
            <v>31.663976130648834</v>
          </cell>
          <cell r="T393">
            <v>41.603046377482748</v>
          </cell>
          <cell r="U393">
            <v>51.212146308286712</v>
          </cell>
          <cell r="V393">
            <v>41.776351937833546</v>
          </cell>
          <cell r="W393">
            <v>43.392122693321362</v>
          </cell>
          <cell r="X393">
            <v>27.862093160691341</v>
          </cell>
          <cell r="Y393">
            <v>26.6031677634952</v>
          </cell>
          <cell r="Z393">
            <v>27.862093160691341</v>
          </cell>
          <cell r="AA393">
            <v>27.862093160691341</v>
          </cell>
          <cell r="AB393">
            <v>27.862093160691341</v>
          </cell>
          <cell r="AC393">
            <v>27.901471641180159</v>
          </cell>
          <cell r="AD393">
            <v>46.317407248999601</v>
          </cell>
          <cell r="AE393">
            <v>32.613895414568304</v>
          </cell>
          <cell r="AF393">
            <v>42.851137768807227</v>
          </cell>
        </row>
        <row r="394">
          <cell r="D394">
            <v>9030</v>
          </cell>
          <cell r="F394">
            <v>178386.68</v>
          </cell>
          <cell r="G394">
            <v>137704.55000000002</v>
          </cell>
          <cell r="H394">
            <v>172860.59</v>
          </cell>
          <cell r="I394">
            <v>176651.31999999998</v>
          </cell>
          <cell r="J394">
            <v>198238.99000000002</v>
          </cell>
          <cell r="K394">
            <v>186086.76</v>
          </cell>
          <cell r="L394">
            <v>258521.12144462971</v>
          </cell>
          <cell r="M394">
            <v>237577.27647655143</v>
          </cell>
          <cell r="N394">
            <v>229755.61778642883</v>
          </cell>
          <cell r="O394">
            <v>228256.79780761179</v>
          </cell>
          <cell r="P394">
            <v>228296.10088012979</v>
          </cell>
          <cell r="Q394">
            <v>274215.23985273071</v>
          </cell>
          <cell r="R394">
            <v>182364.76543422084</v>
          </cell>
          <cell r="S394">
            <v>176824.57646981502</v>
          </cell>
          <cell r="T394">
            <v>182558.33618423718</v>
          </cell>
          <cell r="U394">
            <v>148423.74036227984</v>
          </cell>
          <cell r="V394">
            <v>185090.87709636954</v>
          </cell>
          <cell r="W394">
            <v>187107.18645307753</v>
          </cell>
          <cell r="X394">
            <v>259882.46925183016</v>
          </cell>
          <cell r="Y394">
            <v>238877.11292066018</v>
          </cell>
          <cell r="Z394">
            <v>231116.96559362931</v>
          </cell>
          <cell r="AA394">
            <v>229618.14561481224</v>
          </cell>
          <cell r="AB394">
            <v>229657.44868733024</v>
          </cell>
          <cell r="AC394">
            <v>275578.51170087652</v>
          </cell>
          <cell r="AD394">
            <v>184627.84381925027</v>
          </cell>
          <cell r="AE394">
            <v>178418.09834740055</v>
          </cell>
          <cell r="AF394">
            <v>184652.05190405654</v>
          </cell>
        </row>
        <row r="395">
          <cell r="D395">
            <v>9040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34584</v>
          </cell>
          <cell r="M395">
            <v>29522</v>
          </cell>
          <cell r="N395">
            <v>27679</v>
          </cell>
          <cell r="O395">
            <v>27994</v>
          </cell>
          <cell r="P395">
            <v>28469</v>
          </cell>
          <cell r="Q395">
            <v>30223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34584</v>
          </cell>
          <cell r="Y395">
            <v>29522</v>
          </cell>
          <cell r="Z395">
            <v>27679</v>
          </cell>
          <cell r="AA395">
            <v>27994</v>
          </cell>
          <cell r="AB395">
            <v>28469</v>
          </cell>
          <cell r="AC395">
            <v>30223</v>
          </cell>
          <cell r="AD395">
            <v>0</v>
          </cell>
          <cell r="AE395">
            <v>0</v>
          </cell>
          <cell r="AF395">
            <v>0</v>
          </cell>
        </row>
        <row r="396">
          <cell r="D396">
            <v>9070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</row>
        <row r="397">
          <cell r="D397">
            <v>9080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</row>
        <row r="398">
          <cell r="D398">
            <v>9090</v>
          </cell>
          <cell r="F398">
            <v>36687.96</v>
          </cell>
          <cell r="G398">
            <v>-14057.980000000001</v>
          </cell>
          <cell r="H398">
            <v>22866.559999999998</v>
          </cell>
          <cell r="I398">
            <v>13091.859999999999</v>
          </cell>
          <cell r="J398">
            <v>13695.550000000001</v>
          </cell>
          <cell r="K398">
            <v>15666.960000000001</v>
          </cell>
          <cell r="L398">
            <v>16376.870615001135</v>
          </cell>
          <cell r="M398">
            <v>17366.25855018212</v>
          </cell>
          <cell r="N398">
            <v>18012.793989560563</v>
          </cell>
          <cell r="O398">
            <v>16162.313437126752</v>
          </cell>
          <cell r="P398">
            <v>25629.077936648489</v>
          </cell>
          <cell r="Q398">
            <v>16044.357190870076</v>
          </cell>
          <cell r="R398">
            <v>15220.61173649961</v>
          </cell>
          <cell r="S398">
            <v>11195.727782973452</v>
          </cell>
          <cell r="T398">
            <v>14334.634421497762</v>
          </cell>
          <cell r="U398">
            <v>20059.082429499864</v>
          </cell>
          <cell r="V398">
            <v>14665.017511999087</v>
          </cell>
          <cell r="W398">
            <v>14911.073517530229</v>
          </cell>
          <cell r="X398">
            <v>16643.353519874356</v>
          </cell>
          <cell r="Y398">
            <v>17620.700647678495</v>
          </cell>
          <cell r="Z398">
            <v>18279.276894433784</v>
          </cell>
          <cell r="AA398">
            <v>16428.796341999972</v>
          </cell>
          <cell r="AB398">
            <v>25895.56084152171</v>
          </cell>
          <cell r="AC398">
            <v>16311.216725446227</v>
          </cell>
          <cell r="AD398">
            <v>15663.607787037654</v>
          </cell>
          <cell r="AE398">
            <v>11507.65860379086</v>
          </cell>
          <cell r="AF398">
            <v>14744.477845819687</v>
          </cell>
        </row>
        <row r="399">
          <cell r="D399">
            <v>9100</v>
          </cell>
          <cell r="F399">
            <v>60.36</v>
          </cell>
          <cell r="G399">
            <v>25.3</v>
          </cell>
          <cell r="H399">
            <v>2.4699999999999998</v>
          </cell>
          <cell r="I399">
            <v>53.07</v>
          </cell>
          <cell r="J399">
            <v>27.77</v>
          </cell>
          <cell r="K399">
            <v>30.24</v>
          </cell>
          <cell r="L399">
            <v>129.02696619298069</v>
          </cell>
          <cell r="M399">
            <v>38.257488121778209</v>
          </cell>
          <cell r="N399">
            <v>17.385083530633022</v>
          </cell>
          <cell r="O399">
            <v>45.996623483081038</v>
          </cell>
          <cell r="P399">
            <v>65.885041940601383</v>
          </cell>
          <cell r="Q399">
            <v>16.416459725628012</v>
          </cell>
          <cell r="R399">
            <v>7.0604211611361363</v>
          </cell>
          <cell r="S399">
            <v>13.304301947412718</v>
          </cell>
          <cell r="T399">
            <v>5.1676844490257476</v>
          </cell>
          <cell r="U399">
            <v>94.944426381033409</v>
          </cell>
          <cell r="V399">
            <v>75.114631149236757</v>
          </cell>
          <cell r="W399">
            <v>3.6185349121552215</v>
          </cell>
          <cell r="X399">
            <v>129.02696619298069</v>
          </cell>
          <cell r="Y399">
            <v>38.257488121778209</v>
          </cell>
          <cell r="Z399">
            <v>17.385083530633022</v>
          </cell>
          <cell r="AA399">
            <v>45.996623483081038</v>
          </cell>
          <cell r="AB399">
            <v>65.885041940601383</v>
          </cell>
          <cell r="AC399">
            <v>16.416459725628012</v>
          </cell>
          <cell r="AD399">
            <v>7.0604211611361363</v>
          </cell>
          <cell r="AE399">
            <v>13.304301947412718</v>
          </cell>
          <cell r="AF399">
            <v>5.1676844490257476</v>
          </cell>
        </row>
        <row r="400">
          <cell r="D400">
            <v>9110</v>
          </cell>
          <cell r="F400">
            <v>10915.160000000003</v>
          </cell>
          <cell r="G400">
            <v>14058</v>
          </cell>
          <cell r="H400">
            <v>11574.8</v>
          </cell>
          <cell r="I400">
            <v>10256.560000000001</v>
          </cell>
          <cell r="J400">
            <v>11003.880000000003</v>
          </cell>
          <cell r="K400">
            <v>12875.319999999998</v>
          </cell>
          <cell r="L400">
            <v>13423.578331425388</v>
          </cell>
          <cell r="M400">
            <v>11063.929708844513</v>
          </cell>
          <cell r="N400">
            <v>11759.546718464173</v>
          </cell>
          <cell r="O400">
            <v>11663.550948535498</v>
          </cell>
          <cell r="P400">
            <v>14428.360526127435</v>
          </cell>
          <cell r="Q400">
            <v>11587.751799166768</v>
          </cell>
          <cell r="R400">
            <v>12192.003268943216</v>
          </cell>
          <cell r="S400">
            <v>8935.4032652231108</v>
          </cell>
          <cell r="T400">
            <v>10983.151804555988</v>
          </cell>
          <cell r="U400">
            <v>15943.327004173972</v>
          </cell>
          <cell r="V400">
            <v>12757.348884085986</v>
          </cell>
          <cell r="W400">
            <v>11651.317773017739</v>
          </cell>
          <cell r="X400">
            <v>13618.232174472249</v>
          </cell>
          <cell r="Y400">
            <v>11249.788280650973</v>
          </cell>
          <cell r="Z400">
            <v>11954.20056151103</v>
          </cell>
          <cell r="AA400">
            <v>11858.204791582355</v>
          </cell>
          <cell r="AB400">
            <v>14623.014369174292</v>
          </cell>
          <cell r="AC400">
            <v>11782.680753366127</v>
          </cell>
          <cell r="AD400">
            <v>12515.592070006591</v>
          </cell>
          <cell r="AE400">
            <v>9163.2547781213088</v>
          </cell>
          <cell r="AF400">
            <v>11282.524094983779</v>
          </cell>
        </row>
        <row r="401">
          <cell r="D401">
            <v>9120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</row>
        <row r="402">
          <cell r="D402">
            <v>9130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381.56</v>
          </cell>
          <cell r="K402">
            <v>0</v>
          </cell>
          <cell r="L402">
            <v>247.13382471057531</v>
          </cell>
          <cell r="M402">
            <v>73.277080305936906</v>
          </cell>
          <cell r="N402">
            <v>33.298792590474051</v>
          </cell>
          <cell r="O402">
            <v>88.100354682015961</v>
          </cell>
          <cell r="P402">
            <v>126.19394911327676</v>
          </cell>
          <cell r="Q402">
            <v>31.443523783497938</v>
          </cell>
          <cell r="R402">
            <v>13.523288480714342</v>
          </cell>
          <cell r="S402">
            <v>25.482603539254036</v>
          </cell>
          <cell r="T402">
            <v>9.8980055136301601</v>
          </cell>
          <cell r="U402">
            <v>181.85329717357112</v>
          </cell>
          <cell r="V402">
            <v>143.87198765776205</v>
          </cell>
          <cell r="W402">
            <v>6.9308176350682507</v>
          </cell>
          <cell r="X402">
            <v>247.13382471057531</v>
          </cell>
          <cell r="Y402">
            <v>73.277080305936906</v>
          </cell>
          <cell r="Z402">
            <v>33.298792590474051</v>
          </cell>
          <cell r="AA402">
            <v>88.100354682015961</v>
          </cell>
          <cell r="AB402">
            <v>126.19394911327676</v>
          </cell>
          <cell r="AC402">
            <v>31.443523783497938</v>
          </cell>
          <cell r="AD402">
            <v>13.523288480714342</v>
          </cell>
          <cell r="AE402">
            <v>25.482603539254036</v>
          </cell>
          <cell r="AF402">
            <v>9.8980055136301601</v>
          </cell>
        </row>
        <row r="403">
          <cell r="D403">
            <v>9160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</row>
        <row r="404">
          <cell r="D404">
            <v>9200</v>
          </cell>
          <cell r="F404">
            <v>-23430.54</v>
          </cell>
          <cell r="G404">
            <v>-6224.37</v>
          </cell>
          <cell r="H404">
            <v>-6352.92</v>
          </cell>
          <cell r="I404">
            <v>-6289.33</v>
          </cell>
          <cell r="J404">
            <v>-37620.61</v>
          </cell>
          <cell r="K404">
            <v>-26547.97</v>
          </cell>
          <cell r="L404">
            <v>722.48917817524341</v>
          </cell>
          <cell r="M404">
            <v>634.05721022233718</v>
          </cell>
          <cell r="N404">
            <v>634.05721022233718</v>
          </cell>
          <cell r="O404">
            <v>722.48917817524341</v>
          </cell>
          <cell r="P404">
            <v>4171.3359283385835</v>
          </cell>
          <cell r="Q404">
            <v>630.51993150422095</v>
          </cell>
          <cell r="R404">
            <v>-20687.412011834262</v>
          </cell>
          <cell r="S404">
            <v>-5463.256234556181</v>
          </cell>
          <cell r="T404">
            <v>-5614.0062103255004</v>
          </cell>
          <cell r="U404">
            <v>-5463.5303736568339</v>
          </cell>
          <cell r="V404">
            <v>-33268.645778887811</v>
          </cell>
          <cell r="W404">
            <v>-35968.889390739416</v>
          </cell>
          <cell r="X404">
            <v>722.48917817524341</v>
          </cell>
          <cell r="Y404">
            <v>634.05721022233718</v>
          </cell>
          <cell r="Z404">
            <v>634.05721022233718</v>
          </cell>
          <cell r="AA404">
            <v>722.48917817524341</v>
          </cell>
          <cell r="AB404">
            <v>4171.3359283385835</v>
          </cell>
          <cell r="AC404">
            <v>630.51993150422095</v>
          </cell>
          <cell r="AD404">
            <v>-20687.412011834262</v>
          </cell>
          <cell r="AE404">
            <v>-5463.256234556181</v>
          </cell>
          <cell r="AF404">
            <v>-5614.0062103255004</v>
          </cell>
        </row>
        <row r="405">
          <cell r="D405">
            <v>9210</v>
          </cell>
          <cell r="F405">
            <v>0</v>
          </cell>
          <cell r="G405">
            <v>0</v>
          </cell>
          <cell r="H405">
            <v>0</v>
          </cell>
          <cell r="I405">
            <v>-70000</v>
          </cell>
          <cell r="J405">
            <v>20.420000000000002</v>
          </cell>
          <cell r="K405">
            <v>0</v>
          </cell>
          <cell r="L405">
            <v>-23355.209229556684</v>
          </cell>
          <cell r="M405">
            <v>-21238.322788437697</v>
          </cell>
          <cell r="N405">
            <v>-20121.863699611444</v>
          </cell>
          <cell r="O405">
            <v>-20005.453417163812</v>
          </cell>
          <cell r="P405">
            <v>-19639.345451173482</v>
          </cell>
          <cell r="Q405">
            <v>-25079.828733861097</v>
          </cell>
          <cell r="R405">
            <v>-11780.907055372603</v>
          </cell>
          <cell r="S405">
            <v>-13639.877001587996</v>
          </cell>
          <cell r="T405">
            <v>-12438.623102954973</v>
          </cell>
          <cell r="U405">
            <v>-6835.6932983562938</v>
          </cell>
          <cell r="V405">
            <v>-12687.225295074923</v>
          </cell>
          <cell r="W405">
            <v>-12597.254246653203</v>
          </cell>
          <cell r="X405">
            <v>-23355.209229556684</v>
          </cell>
          <cell r="Y405">
            <v>-21238.322788437697</v>
          </cell>
          <cell r="Z405">
            <v>-20121.863699611444</v>
          </cell>
          <cell r="AA405">
            <v>-20005.453417163812</v>
          </cell>
          <cell r="AB405">
            <v>-19639.345451173482</v>
          </cell>
          <cell r="AC405">
            <v>-25079.828733861097</v>
          </cell>
          <cell r="AD405">
            <v>-11780.907055372603</v>
          </cell>
          <cell r="AE405">
            <v>-13639.877001587996</v>
          </cell>
          <cell r="AF405">
            <v>-12438.623102954973</v>
          </cell>
        </row>
        <row r="406">
          <cell r="D406">
            <v>9220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</row>
        <row r="407">
          <cell r="D407">
            <v>9230</v>
          </cell>
          <cell r="F407">
            <v>20248.73</v>
          </cell>
          <cell r="G407">
            <v>16646.03</v>
          </cell>
          <cell r="H407">
            <v>20939.349999999999</v>
          </cell>
          <cell r="I407">
            <v>4528.18</v>
          </cell>
          <cell r="J407">
            <v>1752.05</v>
          </cell>
          <cell r="K407">
            <v>-12642.050000000001</v>
          </cell>
          <cell r="L407">
            <v>17179.228067087293</v>
          </cell>
          <cell r="M407">
            <v>15621.063741806853</v>
          </cell>
          <cell r="N407">
            <v>14799.915366398338</v>
          </cell>
          <cell r="O407">
            <v>14716.031412289794</v>
          </cell>
          <cell r="P407">
            <v>14557.109086911167</v>
          </cell>
          <cell r="Q407">
            <v>18445.624321041116</v>
          </cell>
          <cell r="R407">
            <v>8667.122210808513</v>
          </cell>
          <cell r="S407">
            <v>10032.264488868062</v>
          </cell>
          <cell r="T407">
            <v>9147.303681308611</v>
          </cell>
          <cell r="U407">
            <v>5030.3761175182317</v>
          </cell>
          <cell r="V407">
            <v>9329.545547152271</v>
          </cell>
          <cell r="W407">
            <v>9265.6779543443063</v>
          </cell>
          <cell r="X407">
            <v>17179.228067087293</v>
          </cell>
          <cell r="Y407">
            <v>15621.063741806853</v>
          </cell>
          <cell r="Z407">
            <v>14799.915366398338</v>
          </cell>
          <cell r="AA407">
            <v>14716.031412289794</v>
          </cell>
          <cell r="AB407">
            <v>14557.109086911167</v>
          </cell>
          <cell r="AC407">
            <v>18445.624321041116</v>
          </cell>
          <cell r="AD407">
            <v>8667.122210808513</v>
          </cell>
          <cell r="AE407">
            <v>10032.264488868062</v>
          </cell>
          <cell r="AF407">
            <v>9147.303681308611</v>
          </cell>
        </row>
        <row r="408">
          <cell r="D408">
            <v>9240</v>
          </cell>
          <cell r="F408">
            <v>42.389999999999986</v>
          </cell>
          <cell r="G408">
            <v>34.639999999999986</v>
          </cell>
          <cell r="H408">
            <v>42.480000000000018</v>
          </cell>
          <cell r="I408">
            <v>-44.129999999999995</v>
          </cell>
          <cell r="J408">
            <v>51.660000000000025</v>
          </cell>
          <cell r="K408">
            <v>16.599999999999966</v>
          </cell>
          <cell r="L408">
            <v>3213.2073019931631</v>
          </cell>
          <cell r="M408">
            <v>3265.4896569069097</v>
          </cell>
          <cell r="N408">
            <v>3355.6039653763</v>
          </cell>
          <cell r="O408">
            <v>4325.7878565589926</v>
          </cell>
          <cell r="P408">
            <v>3765.232703875241</v>
          </cell>
          <cell r="Q408">
            <v>3755.3984029509666</v>
          </cell>
          <cell r="R408">
            <v>37.134520990086457</v>
          </cell>
          <cell r="S408">
            <v>19.799056860813579</v>
          </cell>
          <cell r="T408">
            <v>20.585800934755667</v>
          </cell>
          <cell r="U408">
            <v>26.624864502336777</v>
          </cell>
          <cell r="V408">
            <v>21.507014021335863</v>
          </cell>
          <cell r="W408">
            <v>17.988742690671245</v>
          </cell>
          <cell r="X408">
            <v>3213.2073019931631</v>
          </cell>
          <cell r="Y408">
            <v>3265.4896569069097</v>
          </cell>
          <cell r="Z408">
            <v>3355.6039653763</v>
          </cell>
          <cell r="AA408">
            <v>4325.7878565589926</v>
          </cell>
          <cell r="AB408">
            <v>3765.232703875241</v>
          </cell>
          <cell r="AC408">
            <v>3755.3984029509666</v>
          </cell>
          <cell r="AD408">
            <v>37.134520990086457</v>
          </cell>
          <cell r="AE408">
            <v>19.799056860813579</v>
          </cell>
          <cell r="AF408">
            <v>20.585800934755667</v>
          </cell>
        </row>
        <row r="409">
          <cell r="D409">
            <v>9250</v>
          </cell>
          <cell r="F409">
            <v>5206.2899999999991</v>
          </cell>
          <cell r="G409">
            <v>12893.57</v>
          </cell>
          <cell r="H409">
            <v>-27443.61</v>
          </cell>
          <cell r="I409">
            <v>11921.480000000001</v>
          </cell>
          <cell r="J409">
            <v>9251.3599999999988</v>
          </cell>
          <cell r="K409">
            <v>2300.2699999999986</v>
          </cell>
          <cell r="L409">
            <v>28011.077205683534</v>
          </cell>
          <cell r="M409">
            <v>28309.497680325352</v>
          </cell>
          <cell r="N409">
            <v>29120.302519801618</v>
          </cell>
          <cell r="O409">
            <v>36691.197108234017</v>
          </cell>
          <cell r="P409">
            <v>32313.645669648362</v>
          </cell>
          <cell r="Q409">
            <v>32228.693465106044</v>
          </cell>
          <cell r="R409">
            <v>4159.5332219854927</v>
          </cell>
          <cell r="S409">
            <v>2879.2648582242891</v>
          </cell>
          <cell r="T409">
            <v>3740.6155137928363</v>
          </cell>
          <cell r="U409">
            <v>4614.6283924577701</v>
          </cell>
          <cell r="V409">
            <v>3762.7280680196823</v>
          </cell>
          <cell r="W409">
            <v>3874.2557883384807</v>
          </cell>
          <cell r="X409">
            <v>27513.141625310542</v>
          </cell>
          <cell r="Y409">
            <v>27813.478807680098</v>
          </cell>
          <cell r="Z409">
            <v>28626.173189035311</v>
          </cell>
          <cell r="AA409">
            <v>36209.534117922623</v>
          </cell>
          <cell r="AB409">
            <v>31828.001831124471</v>
          </cell>
          <cell r="AC409">
            <v>31754.521140573426</v>
          </cell>
          <cell r="AD409">
            <v>4275.6114526798074</v>
          </cell>
          <cell r="AE409">
            <v>2961.0000740022479</v>
          </cell>
          <cell r="AF409">
            <v>3848.0067636678777</v>
          </cell>
        </row>
        <row r="410">
          <cell r="D410">
            <v>9260</v>
          </cell>
          <cell r="F410">
            <v>173178.99</v>
          </cell>
          <cell r="G410">
            <v>41923.419999999991</v>
          </cell>
          <cell r="H410">
            <v>202335.09000000003</v>
          </cell>
          <cell r="I410">
            <v>237507.75000000006</v>
          </cell>
          <cell r="J410">
            <v>151157.52000000005</v>
          </cell>
          <cell r="K410">
            <v>275863.80999999994</v>
          </cell>
          <cell r="L410">
            <v>170705.54558730475</v>
          </cell>
          <cell r="M410">
            <v>247612.19901966926</v>
          </cell>
          <cell r="N410">
            <v>167508.5245858909</v>
          </cell>
          <cell r="O410">
            <v>289469.95383382338</v>
          </cell>
          <cell r="P410">
            <v>104991.91034681172</v>
          </cell>
          <cell r="Q410">
            <v>104083.6486260135</v>
          </cell>
          <cell r="R410">
            <v>246910.1988363789</v>
          </cell>
          <cell r="S410">
            <v>74616.955349885975</v>
          </cell>
          <cell r="T410">
            <v>215654.46125273308</v>
          </cell>
          <cell r="U410">
            <v>245690.97284475298</v>
          </cell>
          <cell r="V410">
            <v>206577.37178365377</v>
          </cell>
          <cell r="W410">
            <v>338532.96450190735</v>
          </cell>
          <cell r="X410">
            <v>156944.04369794892</v>
          </cell>
          <cell r="Y410">
            <v>233903.66939832619</v>
          </cell>
          <cell r="Z410">
            <v>153852.21644692842</v>
          </cell>
          <cell r="AA410">
            <v>276158.1793544059</v>
          </cell>
          <cell r="AB410">
            <v>91570.116715606753</v>
          </cell>
          <cell r="AC410">
            <v>90978.894522986942</v>
          </cell>
          <cell r="AD410">
            <v>250118.2660120893</v>
          </cell>
          <cell r="AE410">
            <v>76875.880742429101</v>
          </cell>
          <cell r="AF410">
            <v>218622.4453581241</v>
          </cell>
        </row>
        <row r="411">
          <cell r="D411">
            <v>9270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</row>
        <row r="412">
          <cell r="D412">
            <v>9280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</row>
        <row r="413">
          <cell r="D413">
            <v>9290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</row>
        <row r="414">
          <cell r="D414">
            <v>9301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</row>
        <row r="415">
          <cell r="D415">
            <v>9302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</row>
        <row r="416">
          <cell r="D416">
            <v>9310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</row>
        <row r="417">
          <cell r="D417">
            <v>9320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</row>
      </sheetData>
      <sheetData sheetId="6"/>
      <sheetData sheetId="7"/>
      <sheetData sheetId="8"/>
      <sheetData sheetId="9"/>
      <sheetData sheetId="10">
        <row r="109">
          <cell r="AN109">
            <v>2782692</v>
          </cell>
        </row>
      </sheetData>
      <sheetData sheetId="11"/>
      <sheetData sheetId="12">
        <row r="6">
          <cell r="H6">
            <v>12353618.704007072</v>
          </cell>
        </row>
        <row r="10">
          <cell r="H10">
            <v>0</v>
          </cell>
        </row>
        <row r="14">
          <cell r="H14">
            <v>1104132.6220689549</v>
          </cell>
        </row>
        <row r="34">
          <cell r="H34">
            <v>4040778.7896931102</v>
          </cell>
        </row>
        <row r="42">
          <cell r="H42">
            <v>172709.69727366738</v>
          </cell>
        </row>
        <row r="50">
          <cell r="H50">
            <v>92815.284464593235</v>
          </cell>
        </row>
        <row r="58">
          <cell r="H58">
            <v>15424.379630879039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and Forecast Periods"/>
      <sheetName val="Div 9 gas cost"/>
    </sheetNames>
    <sheetDataSet>
      <sheetData sheetId="0">
        <row r="7"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O8">
            <v>4995.7876902173966</v>
          </cell>
          <cell r="P8">
            <v>8783.3272411114012</v>
          </cell>
          <cell r="Q8">
            <v>11358.551497891558</v>
          </cell>
          <cell r="R8">
            <v>9104.9066033953786</v>
          </cell>
          <cell r="S8">
            <v>13073.94601266389</v>
          </cell>
          <cell r="T8">
            <v>15459.327542715624</v>
          </cell>
          <cell r="Y8">
            <v>1466.8771527508725</v>
          </cell>
          <cell r="Z8">
            <v>3207.1902584440049</v>
          </cell>
          <cell r="AA8">
            <v>6347.5577383166701</v>
          </cell>
          <cell r="AB8">
            <v>5715.5439438552357</v>
          </cell>
          <cell r="AC8">
            <v>9091.1022123504081</v>
          </cell>
          <cell r="AD8">
            <v>11755.491863964995</v>
          </cell>
          <cell r="AE8">
            <v>9424.8598253320542</v>
          </cell>
          <cell r="AF8">
            <v>12204.40100528222</v>
          </cell>
          <cell r="AG8">
            <v>14402.248453030437</v>
          </cell>
          <cell r="AH8">
            <v>9762.5977457344015</v>
          </cell>
          <cell r="AI8">
            <v>7647.1931875692135</v>
          </cell>
          <cell r="AJ8">
            <v>6983.4463206862411</v>
          </cell>
        </row>
        <row r="9">
          <cell r="O9">
            <v>811406.43088155636</v>
          </cell>
          <cell r="P9">
            <v>5293239.1757201441</v>
          </cell>
          <cell r="Q9">
            <v>4612165.3240178693</v>
          </cell>
          <cell r="R9">
            <v>3154603.1239574957</v>
          </cell>
          <cell r="S9">
            <v>2780074.9163747835</v>
          </cell>
          <cell r="T9">
            <v>4419144.8925415864</v>
          </cell>
          <cell r="Y9">
            <v>3897070.2456179275</v>
          </cell>
          <cell r="Z9">
            <v>3476229.281266321</v>
          </cell>
          <cell r="AA9">
            <v>7140447.8177873576</v>
          </cell>
          <cell r="AB9">
            <v>928307.88648435555</v>
          </cell>
          <cell r="AC9">
            <v>5478718.6062761564</v>
          </cell>
          <cell r="AD9">
            <v>4773343.8503860151</v>
          </cell>
          <cell r="AE9">
            <v>3265458.2350978237</v>
          </cell>
          <cell r="AF9">
            <v>2595172.8017921532</v>
          </cell>
          <cell r="AG9">
            <v>4116972.2626333763</v>
          </cell>
          <cell r="AH9">
            <v>3397433.4021065687</v>
          </cell>
          <cell r="AI9">
            <v>4847767.8311317069</v>
          </cell>
          <cell r="AJ9">
            <v>1111341.8439516502</v>
          </cell>
        </row>
        <row r="10">
          <cell r="O10">
            <v>-12032.590042946997</v>
          </cell>
          <cell r="P10">
            <v>-1222.6671223356202</v>
          </cell>
          <cell r="Q10">
            <v>-1796.7629169567485</v>
          </cell>
          <cell r="R10">
            <v>-620.07202787064296</v>
          </cell>
          <cell r="S10">
            <v>-1749.1269191717718</v>
          </cell>
          <cell r="T10">
            <v>-5244.96766741592</v>
          </cell>
          <cell r="Y10">
            <v>-3376.9247762966916</v>
          </cell>
          <cell r="Z10">
            <v>-1075.9104530235036</v>
          </cell>
          <cell r="AA10">
            <v>-1568.170548512906</v>
          </cell>
          <cell r="AB10">
            <v>-13766.156893241756</v>
          </cell>
          <cell r="AC10">
            <v>-1265.5103784368364</v>
          </cell>
          <cell r="AD10">
            <v>-1859.5532938931367</v>
          </cell>
          <cell r="AE10">
            <v>-641.86182229599547</v>
          </cell>
          <cell r="AF10">
            <v>-1632.7929081264872</v>
          </cell>
          <cell r="AG10">
            <v>-4886.3268641868863</v>
          </cell>
          <cell r="AH10">
            <v>-424.05497116509815</v>
          </cell>
          <cell r="AI10">
            <v>-519.51252510643246</v>
          </cell>
          <cell r="AJ10">
            <v>-332.38391022218178</v>
          </cell>
        </row>
        <row r="11">
          <cell r="O11">
            <v>4461118.8595631374</v>
          </cell>
          <cell r="P11">
            <v>3770577.1806374607</v>
          </cell>
          <cell r="Q11">
            <v>1263426.7123358604</v>
          </cell>
          <cell r="R11">
            <v>819122.83828102937</v>
          </cell>
          <cell r="S11">
            <v>698724.96262212633</v>
          </cell>
          <cell r="T11">
            <v>781361.78060146794</v>
          </cell>
          <cell r="Y11">
            <v>8940901.7279580962</v>
          </cell>
          <cell r="Z11">
            <v>9214242.2010595407</v>
          </cell>
          <cell r="AA11">
            <v>8385969.5429152753</v>
          </cell>
          <cell r="AB11">
            <v>5103843.9704960547</v>
          </cell>
          <cell r="AC11">
            <v>3902701.289357143</v>
          </cell>
          <cell r="AD11">
            <v>1307578.9144713746</v>
          </cell>
          <cell r="AE11">
            <v>847907.42693042802</v>
          </cell>
          <cell r="AF11">
            <v>652252.9332751719</v>
          </cell>
          <cell r="AG11">
            <v>727933.76457225939</v>
          </cell>
          <cell r="AH11">
            <v>726474.80177460762</v>
          </cell>
          <cell r="AI11">
            <v>3025141.4719619849</v>
          </cell>
          <cell r="AJ11">
            <v>5337841.7524047131</v>
          </cell>
        </row>
        <row r="12">
          <cell r="O12">
            <v>2046510.781502262</v>
          </cell>
          <cell r="P12">
            <v>1525757.7827887195</v>
          </cell>
          <cell r="Q12">
            <v>764972.52878389333</v>
          </cell>
          <cell r="R12">
            <v>652175.80393733608</v>
          </cell>
          <cell r="S12">
            <v>612515.25401613477</v>
          </cell>
          <cell r="T12">
            <v>950329.1153089999</v>
          </cell>
          <cell r="Y12">
            <v>4167344.895696789</v>
          </cell>
          <cell r="Z12">
            <v>4320520.8484506123</v>
          </cell>
          <cell r="AA12">
            <v>3912995.9183452893</v>
          </cell>
          <cell r="AB12">
            <v>2341356.964819435</v>
          </cell>
          <cell r="AC12">
            <v>1579221.5835586053</v>
          </cell>
          <cell r="AD12">
            <v>791705.55681726232</v>
          </cell>
          <cell r="AE12">
            <v>675093.74904410704</v>
          </cell>
          <cell r="AF12">
            <v>571777.01167071424</v>
          </cell>
          <cell r="AG12">
            <v>885347.43785010441</v>
          </cell>
          <cell r="AH12">
            <v>716707.81945420895</v>
          </cell>
          <cell r="AI12">
            <v>1535467.0633088432</v>
          </cell>
          <cell r="AJ12">
            <v>2397584.5364292325</v>
          </cell>
        </row>
        <row r="13">
          <cell r="O13">
            <v>525369.04610329657</v>
          </cell>
          <cell r="P13">
            <v>318977.42572146881</v>
          </cell>
          <cell r="Q13">
            <v>152511.83590183049</v>
          </cell>
          <cell r="R13">
            <v>117565.73311467028</v>
          </cell>
          <cell r="S13">
            <v>143708.02779348748</v>
          </cell>
          <cell r="T13">
            <v>500714.25874096871</v>
          </cell>
          <cell r="Y13">
            <v>593413.72255904332</v>
          </cell>
          <cell r="Z13">
            <v>676477.23212584632</v>
          </cell>
          <cell r="AA13">
            <v>506351.56202640297</v>
          </cell>
          <cell r="AB13">
            <v>601060.34442268917</v>
          </cell>
          <cell r="AC13">
            <v>330154.65564042324</v>
          </cell>
          <cell r="AD13">
            <v>157841.5739396993</v>
          </cell>
          <cell r="AE13">
            <v>121697.08083056651</v>
          </cell>
          <cell r="AF13">
            <v>134150.04140074484</v>
          </cell>
          <cell r="AG13">
            <v>466476.38058230991</v>
          </cell>
          <cell r="AH13">
            <v>101166.04049051805</v>
          </cell>
          <cell r="AI13">
            <v>262952.97959248186</v>
          </cell>
          <cell r="AJ13">
            <v>382550.57740926021</v>
          </cell>
        </row>
        <row r="14">
          <cell r="O14">
            <v>423135.81699079397</v>
          </cell>
          <cell r="P14">
            <v>358080.7185093115</v>
          </cell>
          <cell r="Q14">
            <v>152850.48379472271</v>
          </cell>
          <cell r="R14">
            <v>93043.411735458474</v>
          </cell>
          <cell r="S14">
            <v>98652.182193143351</v>
          </cell>
          <cell r="T14">
            <v>118264.84394006625</v>
          </cell>
          <cell r="Y14">
            <v>730801.81346158683</v>
          </cell>
          <cell r="Z14">
            <v>765695.30909651553</v>
          </cell>
          <cell r="AA14">
            <v>753504.79480602103</v>
          </cell>
          <cell r="AB14">
            <v>484098.10548308725</v>
          </cell>
          <cell r="AC14">
            <v>370628.15979381738</v>
          </cell>
          <cell r="AD14">
            <v>158192.05635379782</v>
          </cell>
          <cell r="AE14">
            <v>96313.026753106096</v>
          </cell>
          <cell r="AF14">
            <v>92090.849263493597</v>
          </cell>
          <cell r="AG14">
            <v>110178.12133014052</v>
          </cell>
          <cell r="AH14">
            <v>91598.14006025347</v>
          </cell>
          <cell r="AI14">
            <v>273126.52799168241</v>
          </cell>
          <cell r="AJ14">
            <v>447194.35964988952</v>
          </cell>
        </row>
        <row r="15">
          <cell r="O15">
            <v>-1577369.5160189334</v>
          </cell>
          <cell r="P15">
            <v>-2496638.9418412107</v>
          </cell>
          <cell r="Q15">
            <v>-383409.95550208312</v>
          </cell>
          <cell r="R15">
            <v>-1935.0099928801403</v>
          </cell>
          <cell r="S15">
            <v>321987.21368852706</v>
          </cell>
          <cell r="T15">
            <v>-229037.50027521234</v>
          </cell>
          <cell r="Y15">
            <v>-58954.348870343616</v>
          </cell>
          <cell r="Z15">
            <v>-632220.95835822611</v>
          </cell>
          <cell r="AA15">
            <v>-3405341.4495051531</v>
          </cell>
          <cell r="AB15">
            <v>-1804625.2850492052</v>
          </cell>
          <cell r="AC15">
            <v>-2584123.2125994223</v>
          </cell>
          <cell r="AD15">
            <v>-396808.74918818363</v>
          </cell>
          <cell r="AE15">
            <v>-2003.0076900197009</v>
          </cell>
          <cell r="AF15">
            <v>300571.9214858216</v>
          </cell>
          <cell r="AG15">
            <v>-213376.35643659992</v>
          </cell>
          <cell r="AH15">
            <v>1238160.8441953713</v>
          </cell>
          <cell r="AI15">
            <v>1913468.258990559</v>
          </cell>
          <cell r="AJ15">
            <v>2754815.5311601078</v>
          </cell>
        </row>
        <row r="16">
          <cell r="O16">
            <v>-9278388.7632991672</v>
          </cell>
          <cell r="P16">
            <v>-6145238.1799526671</v>
          </cell>
          <cell r="Q16">
            <v>-2831203.1742875162</v>
          </cell>
          <cell r="R16">
            <v>-2882667.2674520565</v>
          </cell>
          <cell r="S16">
            <v>-4058827.7305166894</v>
          </cell>
          <cell r="T16">
            <v>-3536786.9523850004</v>
          </cell>
          <cell r="Y16">
            <v>-11111740.509213209</v>
          </cell>
          <cell r="Z16">
            <v>-11807774.806510186</v>
          </cell>
          <cell r="AA16">
            <v>-16413742.352542737</v>
          </cell>
          <cell r="AB16">
            <v>-10615150.601506313</v>
          </cell>
          <cell r="AC16">
            <v>-6360572.3525472041</v>
          </cell>
          <cell r="AD16">
            <v>-2930143.5034869364</v>
          </cell>
          <cell r="AE16">
            <v>-2983966.3493831912</v>
          </cell>
          <cell r="AF16">
            <v>-3788876.0735743688</v>
          </cell>
          <cell r="AG16">
            <v>-3294948.2616846906</v>
          </cell>
          <cell r="AH16">
            <v>-2514665.0713341516</v>
          </cell>
          <cell r="AI16">
            <v>-4760616.985246134</v>
          </cell>
          <cell r="AJ16">
            <v>-5837699.4492856022</v>
          </cell>
        </row>
        <row r="17">
          <cell r="O17">
            <v>1884222.6150441968</v>
          </cell>
          <cell r="P17">
            <v>-2094287.6074214699</v>
          </cell>
          <cell r="Q17">
            <v>-2322458.2749861376</v>
          </cell>
          <cell r="R17">
            <v>-920705.43932487408</v>
          </cell>
          <cell r="S17">
            <v>181486.38633754008</v>
          </cell>
          <cell r="T17">
            <v>-1593333.0423430053</v>
          </cell>
          <cell r="Y17">
            <v>2392594.879877226</v>
          </cell>
          <cell r="Z17">
            <v>3099310.3890679493</v>
          </cell>
          <cell r="AA17">
            <v>2031099.5958994504</v>
          </cell>
          <cell r="AB17">
            <v>2155687.5159805473</v>
          </cell>
          <cell r="AC17">
            <v>-2167673.1583005683</v>
          </cell>
          <cell r="AD17">
            <v>-2403619.8067214475</v>
          </cell>
          <cell r="AE17">
            <v>-953059.7164853625</v>
          </cell>
          <cell r="AF17">
            <v>169415.77039689844</v>
          </cell>
          <cell r="AG17">
            <v>-1484383.992825072</v>
          </cell>
          <cell r="AH17">
            <v>-829928.95197898441</v>
          </cell>
          <cell r="AI17">
            <v>-1057928.9828265961</v>
          </cell>
          <cell r="AJ17">
            <v>1066314.4035714015</v>
          </cell>
        </row>
        <row r="18">
          <cell r="O18">
            <v>3174201.0624718927</v>
          </cell>
          <cell r="P18">
            <v>80881.455758533804</v>
          </cell>
          <cell r="Q18">
            <v>9262.2130857553966</v>
          </cell>
          <cell r="R18">
            <v>0</v>
          </cell>
          <cell r="S18">
            <v>0</v>
          </cell>
          <cell r="T18">
            <v>0</v>
          </cell>
          <cell r="Y18">
            <v>2077937.0260370504</v>
          </cell>
          <cell r="Z18">
            <v>2471395.9973225635</v>
          </cell>
          <cell r="AA18">
            <v>4591893.7629176155</v>
          </cell>
          <cell r="AB18">
            <v>3631516.5463728113</v>
          </cell>
          <cell r="AC18">
            <v>83715.608128871987</v>
          </cell>
          <cell r="AD18">
            <v>9585.8939929196931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1330383.8164150291</v>
          </cell>
        </row>
        <row r="19">
          <cell r="O19">
            <v>-47371.219286971951</v>
          </cell>
          <cell r="P19">
            <v>-1306048.1659182615</v>
          </cell>
          <cell r="Q19">
            <v>-2034022.2927924774</v>
          </cell>
          <cell r="R19">
            <v>-1472921.726861676</v>
          </cell>
          <cell r="S19">
            <v>-1340889.671269729</v>
          </cell>
          <cell r="T19">
            <v>-1957959.486627653</v>
          </cell>
          <cell r="Y19">
            <v>-22873.684067130485</v>
          </cell>
          <cell r="Z19">
            <v>-2400.5077141248653</v>
          </cell>
          <cell r="AA19">
            <v>-167996.02474944756</v>
          </cell>
          <cell r="AB19">
            <v>-54196.115267041874</v>
          </cell>
          <cell r="AC19">
            <v>-1351813.1619918209</v>
          </cell>
          <cell r="AD19">
            <v>-2105104.0283159241</v>
          </cell>
          <cell r="AE19">
            <v>-1524681.2970251064</v>
          </cell>
          <cell r="AF19">
            <v>-1251707.4214751492</v>
          </cell>
          <cell r="AG19">
            <v>-1824077.982012009</v>
          </cell>
          <cell r="AH19">
            <v>-1551787.333141295</v>
          </cell>
          <cell r="AI19">
            <v>-1683967.9524826272</v>
          </cell>
          <cell r="AJ19">
            <v>-24983.936515512938</v>
          </cell>
        </row>
        <row r="20">
          <cell r="O20">
            <v>240.05442504449888</v>
          </cell>
          <cell r="P20">
            <v>-2031.3280054883837</v>
          </cell>
          <cell r="Q20">
            <v>-262.8492814737059</v>
          </cell>
          <cell r="R20">
            <v>-430.21361483686763</v>
          </cell>
          <cell r="S20">
            <v>1996.1175724346563</v>
          </cell>
          <cell r="T20">
            <v>-4514.640984814655</v>
          </cell>
          <cell r="Y20">
            <v>-1502.8555125894434</v>
          </cell>
          <cell r="Z20">
            <v>-1920.0754438308768</v>
          </cell>
          <cell r="AA20">
            <v>-2349.2934803134285</v>
          </cell>
          <cell r="AB20">
            <v>274.63969654783921</v>
          </cell>
          <cell r="AC20">
            <v>-2102.5074004151597</v>
          </cell>
          <cell r="AD20">
            <v>-272.03491487332377</v>
          </cell>
          <cell r="AE20">
            <v>-445.33164275126137</v>
          </cell>
          <cell r="AF20">
            <v>1863.3562723974603</v>
          </cell>
          <cell r="AG20">
            <v>-4205.9385157520846</v>
          </cell>
          <cell r="AH20">
            <v>-123.36010067966201</v>
          </cell>
          <cell r="AI20">
            <v>-150.55537386300497</v>
          </cell>
          <cell r="AJ20">
            <v>-599.53293021883394</v>
          </cell>
        </row>
        <row r="21">
          <cell r="O21">
            <v>3462966.6765412237</v>
          </cell>
          <cell r="P21">
            <v>4163892.6616949448</v>
          </cell>
          <cell r="Q21">
            <v>2556694.416381571</v>
          </cell>
          <cell r="R21">
            <v>2113206.475105586</v>
          </cell>
          <cell r="S21">
            <v>2426831.2799806022</v>
          </cell>
          <cell r="T21">
            <v>2658720.2289387728</v>
          </cell>
          <cell r="Y21">
            <v>2768922.0893716831</v>
          </cell>
          <cell r="Z21">
            <v>2761108.3667620569</v>
          </cell>
          <cell r="AA21">
            <v>2813517.8134979559</v>
          </cell>
          <cell r="AB21">
            <v>3961885.3808850283</v>
          </cell>
          <cell r="AC21">
            <v>4309798.8666006513</v>
          </cell>
          <cell r="AD21">
            <v>2646041.6555753006</v>
          </cell>
          <cell r="AE21">
            <v>2187466.1297928002</v>
          </cell>
          <cell r="AF21">
            <v>2265423.3147633108</v>
          </cell>
          <cell r="AG21">
            <v>2476922.0522995517</v>
          </cell>
          <cell r="AH21">
            <v>1489609.4115732932</v>
          </cell>
          <cell r="AI21">
            <v>2647618.4087611884</v>
          </cell>
          <cell r="AJ21">
            <v>2347992.2594525702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 002 IS Activity"/>
      <sheetName val="DIV 012 IS Activity"/>
      <sheetName val="SSU Income Statement Accounts"/>
      <sheetName val="NOTES"/>
    </sheetNames>
    <sheetDataSet>
      <sheetData sheetId="0">
        <row r="6">
          <cell r="L6">
            <v>-2.4010660126805305E-10</v>
          </cell>
          <cell r="M6">
            <v>1.7280399333685637E-11</v>
          </cell>
          <cell r="N6">
            <v>-2.7284841053187847E-12</v>
          </cell>
          <cell r="O6">
            <v>-7.4578565545380116E-11</v>
          </cell>
          <cell r="P6">
            <v>-2.8376234695315361E-10</v>
          </cell>
          <cell r="Q6">
            <v>-1.2823875294998288E-10</v>
          </cell>
        </row>
        <row r="7">
          <cell r="L7">
            <v>2.8194335754960775E-11</v>
          </cell>
          <cell r="M7">
            <v>-1.9999999940182533E-2</v>
          </cell>
          <cell r="N7">
            <v>-2.7478108677314594E-10</v>
          </cell>
          <cell r="O7">
            <v>9.9999999138162821E-3</v>
          </cell>
          <cell r="P7">
            <v>-1.0000000012723831E-2</v>
          </cell>
          <cell r="Q7">
            <v>1.9999999866740836E-2</v>
          </cell>
        </row>
        <row r="8">
          <cell r="L8">
            <v>93619.030000000028</v>
          </cell>
          <cell r="M8">
            <v>523047.33000000007</v>
          </cell>
          <cell r="N8">
            <v>-9196195</v>
          </cell>
          <cell r="O8">
            <v>-4454688.8100000005</v>
          </cell>
          <cell r="P8">
            <v>-3622273.06</v>
          </cell>
          <cell r="Q8">
            <v>386770593</v>
          </cell>
        </row>
        <row r="9">
          <cell r="L9">
            <v>0</v>
          </cell>
          <cell r="M9">
            <v>0</v>
          </cell>
          <cell r="N9">
            <v>13808569</v>
          </cell>
          <cell r="O9">
            <v>0</v>
          </cell>
          <cell r="P9">
            <v>0</v>
          </cell>
          <cell r="Q9">
            <v>-382056981</v>
          </cell>
        </row>
        <row r="26"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L27">
            <v>191.5</v>
          </cell>
          <cell r="M27">
            <v>176.5</v>
          </cell>
          <cell r="N27">
            <v>1620.99</v>
          </cell>
          <cell r="O27">
            <v>6.5500000000000114</v>
          </cell>
          <cell r="P27">
            <v>176.5</v>
          </cell>
          <cell r="Q27">
            <v>176.5</v>
          </cell>
        </row>
        <row r="28">
          <cell r="L28">
            <v>5862.9700000000012</v>
          </cell>
          <cell r="M28">
            <v>10458.82</v>
          </cell>
          <cell r="N28">
            <v>-5224.83</v>
          </cell>
          <cell r="O28">
            <v>7918.87</v>
          </cell>
          <cell r="P28">
            <v>4937.92</v>
          </cell>
          <cell r="Q28">
            <v>-33591.440000000002</v>
          </cell>
        </row>
        <row r="29">
          <cell r="L29">
            <v>995</v>
          </cell>
          <cell r="M29">
            <v>29.34</v>
          </cell>
          <cell r="N29">
            <v>0</v>
          </cell>
          <cell r="O29">
            <v>0</v>
          </cell>
          <cell r="P29">
            <v>0</v>
          </cell>
          <cell r="Q29">
            <v>9883.1</v>
          </cell>
        </row>
        <row r="30">
          <cell r="L30">
            <v>838.42000000000007</v>
          </cell>
          <cell r="M30">
            <v>1681.66</v>
          </cell>
          <cell r="N30">
            <v>201.1400000000001</v>
          </cell>
          <cell r="O30">
            <v>-16315.23</v>
          </cell>
          <cell r="P30">
            <v>-592.26</v>
          </cell>
          <cell r="Q30">
            <v>-362.24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L32">
            <v>9950.67</v>
          </cell>
          <cell r="M32">
            <v>9680.4399999999987</v>
          </cell>
          <cell r="N32">
            <v>10052.82</v>
          </cell>
          <cell r="O32">
            <v>9579.11</v>
          </cell>
          <cell r="P32">
            <v>7383.68</v>
          </cell>
          <cell r="Q32">
            <v>6556.66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L34">
            <v>16725.25</v>
          </cell>
          <cell r="M34">
            <v>13023.16</v>
          </cell>
          <cell r="N34">
            <v>20634.500000000004</v>
          </cell>
          <cell r="O34">
            <v>10106.09</v>
          </cell>
          <cell r="P34">
            <v>10279.459999999999</v>
          </cell>
          <cell r="Q34">
            <v>9867.66</v>
          </cell>
        </row>
        <row r="35">
          <cell r="L35">
            <v>-674500.99999999825</v>
          </cell>
          <cell r="M35">
            <v>-3232736.22</v>
          </cell>
          <cell r="N35">
            <v>-1373917.7499999995</v>
          </cell>
          <cell r="O35">
            <v>-2933233.92</v>
          </cell>
          <cell r="P35">
            <v>-3189449.8599999994</v>
          </cell>
          <cell r="Q35">
            <v>-2224757.7499999986</v>
          </cell>
        </row>
        <row r="36">
          <cell r="L36">
            <v>2659290.8800000004</v>
          </cell>
          <cell r="M36">
            <v>2536561.1399999987</v>
          </cell>
          <cell r="N36">
            <v>2622285.38</v>
          </cell>
          <cell r="O36">
            <v>2388729.63</v>
          </cell>
          <cell r="P36">
            <v>2559956.0300000003</v>
          </cell>
          <cell r="Q36">
            <v>2631300.81</v>
          </cell>
        </row>
        <row r="37">
          <cell r="L37">
            <v>-9953031.4299999997</v>
          </cell>
          <cell r="M37">
            <v>-6233532.1899999985</v>
          </cell>
          <cell r="N37">
            <v>-8710901.9600000028</v>
          </cell>
          <cell r="O37">
            <v>-8416254.8599999975</v>
          </cell>
          <cell r="P37">
            <v>-7515000.8000000017</v>
          </cell>
          <cell r="Q37">
            <v>-11872058.930000002</v>
          </cell>
        </row>
        <row r="38">
          <cell r="L38">
            <v>894023.3600000001</v>
          </cell>
          <cell r="M38">
            <v>854946.47000000009</v>
          </cell>
          <cell r="N38">
            <v>826624.74</v>
          </cell>
          <cell r="O38">
            <v>847252.16</v>
          </cell>
          <cell r="P38">
            <v>1176194.7700000003</v>
          </cell>
          <cell r="Q38">
            <v>1062100.5799999998</v>
          </cell>
        </row>
        <row r="39">
          <cell r="L39">
            <v>9023.86</v>
          </cell>
          <cell r="M39">
            <v>9023.86</v>
          </cell>
          <cell r="N39">
            <v>9032.4599999999991</v>
          </cell>
          <cell r="O39">
            <v>9023.86</v>
          </cell>
          <cell r="P39">
            <v>9023.86</v>
          </cell>
          <cell r="Q39">
            <v>9717.19</v>
          </cell>
        </row>
        <row r="40">
          <cell r="L40">
            <v>2756598.2199999997</v>
          </cell>
          <cell r="M40">
            <v>2294190.9099999997</v>
          </cell>
          <cell r="N40">
            <v>2747643.0100000002</v>
          </cell>
          <cell r="O40">
            <v>2770998.27</v>
          </cell>
          <cell r="P40">
            <v>2766989.4800000004</v>
          </cell>
          <cell r="Q40">
            <v>103137.16000000015</v>
          </cell>
        </row>
        <row r="41">
          <cell r="L41">
            <v>2672275.7399999998</v>
          </cell>
          <cell r="M41">
            <v>2744975.4899999993</v>
          </cell>
          <cell r="N41">
            <v>2887846.8699999996</v>
          </cell>
          <cell r="O41">
            <v>4090987.3899999997</v>
          </cell>
          <cell r="P41">
            <v>3279883.51</v>
          </cell>
          <cell r="Q41">
            <v>5373014.1700000009</v>
          </cell>
        </row>
        <row r="42">
          <cell r="L42">
            <v>549726.27</v>
          </cell>
          <cell r="M42">
            <v>112310.48000000001</v>
          </cell>
          <cell r="N42">
            <v>547447.46000000008</v>
          </cell>
          <cell r="O42">
            <v>687802.95</v>
          </cell>
          <cell r="P42">
            <v>523819.50000000006</v>
          </cell>
          <cell r="Q42">
            <v>2145254.2600000002</v>
          </cell>
        </row>
        <row r="43">
          <cell r="L43">
            <v>419451.93000000005</v>
          </cell>
          <cell r="M43">
            <v>405841.35</v>
          </cell>
          <cell r="N43">
            <v>414345.16999999987</v>
          </cell>
          <cell r="O43">
            <v>406290.9499999999</v>
          </cell>
          <cell r="P43">
            <v>433844.62</v>
          </cell>
          <cell r="Q43">
            <v>371906.23999999993</v>
          </cell>
        </row>
        <row r="44">
          <cell r="L44">
            <v>21992.44</v>
          </cell>
          <cell r="M44">
            <v>25758.79</v>
          </cell>
          <cell r="N44">
            <v>38480.229999999996</v>
          </cell>
          <cell r="O44">
            <v>23613.9</v>
          </cell>
          <cell r="P44">
            <v>2923.3599999999988</v>
          </cell>
          <cell r="Q44">
            <v>16721.189999999999</v>
          </cell>
        </row>
      </sheetData>
      <sheetData sheetId="1">
        <row r="6">
          <cell r="L6">
            <v>0</v>
          </cell>
          <cell r="M6">
            <v>0</v>
          </cell>
          <cell r="N6">
            <v>1.1641532182693481E-10</v>
          </cell>
          <cell r="O6">
            <v>1.1641532182693481E-10</v>
          </cell>
          <cell r="P6">
            <v>1.1641532182693481E-10</v>
          </cell>
          <cell r="Q6">
            <v>0</v>
          </cell>
        </row>
        <row r="7">
          <cell r="L7">
            <v>-2.9103830456733704E-11</v>
          </cell>
          <cell r="M7">
            <v>5.8207660913467407E-11</v>
          </cell>
          <cell r="N7">
            <v>2.9103830456733704E-11</v>
          </cell>
          <cell r="O7">
            <v>0</v>
          </cell>
          <cell r="P7">
            <v>-1.0000000009313226E-2</v>
          </cell>
          <cell r="Q7">
            <v>0</v>
          </cell>
        </row>
        <row r="12">
          <cell r="L12">
            <v>0</v>
          </cell>
          <cell r="M12">
            <v>3775.77</v>
          </cell>
          <cell r="N12">
            <v>0</v>
          </cell>
          <cell r="O12">
            <v>0</v>
          </cell>
          <cell r="P12">
            <v>172.49</v>
          </cell>
          <cell r="Q12">
            <v>0</v>
          </cell>
        </row>
        <row r="13">
          <cell r="L13">
            <v>11348.06</v>
          </cell>
          <cell r="M13">
            <v>9512.83</v>
          </cell>
          <cell r="N13">
            <v>6381.18</v>
          </cell>
          <cell r="O13">
            <v>12271.98</v>
          </cell>
          <cell r="P13">
            <v>6747.79</v>
          </cell>
          <cell r="Q13">
            <v>4409.18</v>
          </cell>
        </row>
        <row r="15">
          <cell r="L15">
            <v>367825.37</v>
          </cell>
          <cell r="M15">
            <v>373216.01</v>
          </cell>
          <cell r="N15">
            <v>380641.79</v>
          </cell>
          <cell r="O15">
            <v>373085.69</v>
          </cell>
          <cell r="P15">
            <v>347547.32999999996</v>
          </cell>
          <cell r="Q15">
            <v>431838.25999999995</v>
          </cell>
        </row>
        <row r="16">
          <cell r="L16">
            <v>1825152.3199999998</v>
          </cell>
          <cell r="M16">
            <v>1679301.4100000001</v>
          </cell>
          <cell r="N16">
            <v>1893104.77</v>
          </cell>
          <cell r="O16">
            <v>1769755.31</v>
          </cell>
          <cell r="P16">
            <v>1674505.02</v>
          </cell>
          <cell r="Q16">
            <v>1859986.7500000002</v>
          </cell>
        </row>
        <row r="17">
          <cell r="L17">
            <v>270729.69</v>
          </cell>
          <cell r="M17">
            <v>253169.12</v>
          </cell>
          <cell r="N17">
            <v>290399.92000000004</v>
          </cell>
          <cell r="O17">
            <v>344454.85000000003</v>
          </cell>
          <cell r="P17">
            <v>249039.50999999998</v>
          </cell>
          <cell r="Q17">
            <v>300879.83</v>
          </cell>
        </row>
        <row r="18">
          <cell r="L18">
            <v>659502.9</v>
          </cell>
          <cell r="M18">
            <v>649344.78</v>
          </cell>
          <cell r="N18">
            <v>648815.22000000009</v>
          </cell>
          <cell r="O18">
            <v>666149.92000000004</v>
          </cell>
          <cell r="P18">
            <v>719356.57000000007</v>
          </cell>
          <cell r="Q18">
            <v>720359.04</v>
          </cell>
        </row>
        <row r="19">
          <cell r="L19">
            <v>-4167435.9899999998</v>
          </cell>
          <cell r="M19">
            <v>-3982735.0799999996</v>
          </cell>
          <cell r="N19">
            <v>-4269084.95</v>
          </cell>
          <cell r="O19">
            <v>-4205869.2299999995</v>
          </cell>
          <cell r="P19">
            <v>-3968320.12</v>
          </cell>
          <cell r="Q19">
            <v>-4422928.54</v>
          </cell>
        </row>
        <row r="20">
          <cell r="L20">
            <v>78414.45</v>
          </cell>
          <cell r="M20">
            <v>49788.66</v>
          </cell>
          <cell r="N20">
            <v>34290.61</v>
          </cell>
          <cell r="O20">
            <v>95902.249999999985</v>
          </cell>
          <cell r="P20">
            <v>72232.569999999992</v>
          </cell>
          <cell r="Q20">
            <v>97684.86</v>
          </cell>
        </row>
        <row r="21">
          <cell r="L21">
            <v>6576.15</v>
          </cell>
          <cell r="M21">
            <v>6576.15</v>
          </cell>
          <cell r="N21">
            <v>6576.15</v>
          </cell>
          <cell r="O21">
            <v>6576.15</v>
          </cell>
          <cell r="P21">
            <v>6576.15</v>
          </cell>
          <cell r="Q21">
            <v>6666.03</v>
          </cell>
        </row>
        <row r="22">
          <cell r="L22">
            <v>92.95</v>
          </cell>
          <cell r="M22">
            <v>92.95</v>
          </cell>
          <cell r="N22">
            <v>92.95</v>
          </cell>
          <cell r="O22">
            <v>176.83</v>
          </cell>
          <cell r="P22">
            <v>92.95</v>
          </cell>
          <cell r="Q22">
            <v>92.95</v>
          </cell>
        </row>
        <row r="23">
          <cell r="L23">
            <v>847167.99</v>
          </cell>
          <cell r="M23">
            <v>857813.24</v>
          </cell>
          <cell r="N23">
            <v>907833.74</v>
          </cell>
          <cell r="O23">
            <v>837584.61</v>
          </cell>
          <cell r="P23">
            <v>790921.69000000006</v>
          </cell>
          <cell r="Q23">
            <v>908983.74</v>
          </cell>
        </row>
        <row r="24">
          <cell r="L24">
            <v>100626.11000000002</v>
          </cell>
          <cell r="M24">
            <v>99559.650000000009</v>
          </cell>
          <cell r="N24">
            <v>100784.92</v>
          </cell>
          <cell r="O24">
            <v>99911.650000000009</v>
          </cell>
          <cell r="P24">
            <v>100746.33</v>
          </cell>
          <cell r="Q24">
            <v>91362.880000000005</v>
          </cell>
        </row>
        <row r="25">
          <cell r="L25">
            <v>0</v>
          </cell>
          <cell r="M25">
            <v>584.51</v>
          </cell>
          <cell r="N25">
            <v>163.69</v>
          </cell>
          <cell r="O25">
            <v>0</v>
          </cell>
          <cell r="P25">
            <v>381.69</v>
          </cell>
          <cell r="Q25">
            <v>665</v>
          </cell>
        </row>
      </sheetData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RTVIEW REPORT TEMPLATE"/>
      <sheetName val="WP C 2.2"/>
    </sheetNames>
    <sheetDataSet>
      <sheetData sheetId="0">
        <row r="12">
          <cell r="H12">
            <v>221170.43</v>
          </cell>
          <cell r="I12">
            <v>210823.21</v>
          </cell>
          <cell r="J12">
            <v>228060.88</v>
          </cell>
          <cell r="K12">
            <v>221984.22</v>
          </cell>
          <cell r="L12">
            <v>209903.53</v>
          </cell>
          <cell r="M12">
            <v>235605.47</v>
          </cell>
        </row>
      </sheetData>
      <sheetData sheetId="1">
        <row r="3">
          <cell r="H3">
            <v>359306.9</v>
          </cell>
          <cell r="I3">
            <v>282184.25</v>
          </cell>
          <cell r="J3">
            <v>363862.97</v>
          </cell>
          <cell r="K3">
            <v>430532.12</v>
          </cell>
          <cell r="L3">
            <v>366888.14</v>
          </cell>
          <cell r="M3">
            <v>406814.5</v>
          </cell>
        </row>
        <row r="5">
          <cell r="H5">
            <v>502337.07</v>
          </cell>
          <cell r="I5">
            <v>316547.61</v>
          </cell>
          <cell r="J5">
            <v>441827.07</v>
          </cell>
          <cell r="K5">
            <v>426615.26</v>
          </cell>
          <cell r="L5">
            <v>380627.54</v>
          </cell>
          <cell r="M5">
            <v>597792.55000000005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002 History"/>
      <sheetName val="012 History"/>
      <sheetName val="091 History"/>
      <sheetName val="009 History"/>
      <sheetName val="009DIV Budget"/>
      <sheetName val="002DIV Budget"/>
      <sheetName val="Notes"/>
    </sheetNames>
    <sheetDataSet>
      <sheetData sheetId="0">
        <row r="5">
          <cell r="C5">
            <v>275930.69</v>
          </cell>
          <cell r="D5">
            <v>-482446.85000000009</v>
          </cell>
          <cell r="E5">
            <v>467782.8299999999</v>
          </cell>
          <cell r="F5">
            <v>316720.71000000002</v>
          </cell>
          <cell r="G5">
            <v>307870.84999999998</v>
          </cell>
          <cell r="H5">
            <v>372925.89</v>
          </cell>
          <cell r="I5">
            <v>277244.8322582253</v>
          </cell>
          <cell r="J5">
            <v>277244.8322582253</v>
          </cell>
          <cell r="K5">
            <v>277244.8322582253</v>
          </cell>
          <cell r="L5">
            <v>277244.8322582253</v>
          </cell>
          <cell r="M5">
            <v>277244.8322582253</v>
          </cell>
          <cell r="N5">
            <v>277244.8322582253</v>
          </cell>
        </row>
        <row r="6">
          <cell r="C6">
            <v>305.18000000000006</v>
          </cell>
          <cell r="D6">
            <v>352.31000000000006</v>
          </cell>
          <cell r="E6">
            <v>211.73999999999998</v>
          </cell>
          <cell r="F6">
            <v>24465.759999999998</v>
          </cell>
          <cell r="G6">
            <v>3020.6099999999992</v>
          </cell>
          <cell r="H6">
            <v>962.63999999999976</v>
          </cell>
          <cell r="I6">
            <v>6457.2871565192536</v>
          </cell>
          <cell r="J6">
            <v>6457.2871565192536</v>
          </cell>
          <cell r="K6">
            <v>6457.2871565192536</v>
          </cell>
          <cell r="L6">
            <v>6457.2871565192536</v>
          </cell>
          <cell r="M6">
            <v>6457.2871565192536</v>
          </cell>
          <cell r="N6">
            <v>6457.2871565192536</v>
          </cell>
        </row>
        <row r="7">
          <cell r="C7">
            <v>466.74</v>
          </cell>
          <cell r="D7">
            <v>662.75</v>
          </cell>
          <cell r="E7">
            <v>418.13999999999987</v>
          </cell>
          <cell r="F7">
            <v>40666.420000000006</v>
          </cell>
          <cell r="G7">
            <v>9224.7400000000016</v>
          </cell>
          <cell r="H7">
            <v>3073.9399999999996</v>
          </cell>
          <cell r="I7">
            <v>12006.326140170826</v>
          </cell>
          <cell r="J7">
            <v>12006.326140170826</v>
          </cell>
          <cell r="K7">
            <v>12006.326140170826</v>
          </cell>
          <cell r="L7">
            <v>12006.326140170826</v>
          </cell>
          <cell r="M7">
            <v>12006.326140170826</v>
          </cell>
          <cell r="N7">
            <v>12006.326140170826</v>
          </cell>
        </row>
        <row r="8">
          <cell r="C8">
            <v>80400</v>
          </cell>
          <cell r="D8">
            <v>80400</v>
          </cell>
          <cell r="E8">
            <v>80400</v>
          </cell>
          <cell r="F8">
            <v>41200</v>
          </cell>
          <cell r="G8">
            <v>41200</v>
          </cell>
          <cell r="H8">
            <v>41200</v>
          </cell>
        </row>
        <row r="9">
          <cell r="C9">
            <v>60.72</v>
          </cell>
          <cell r="D9">
            <v>6304.75</v>
          </cell>
          <cell r="E9">
            <v>0</v>
          </cell>
          <cell r="F9">
            <v>500000</v>
          </cell>
          <cell r="G9">
            <v>0</v>
          </cell>
          <cell r="H9">
            <v>0</v>
          </cell>
          <cell r="I9">
            <v>111526.04132907827</v>
          </cell>
          <cell r="J9">
            <v>111526.04132907827</v>
          </cell>
          <cell r="K9">
            <v>111526.04132907827</v>
          </cell>
          <cell r="L9">
            <v>111526.04132907827</v>
          </cell>
          <cell r="M9">
            <v>111526.04132907827</v>
          </cell>
          <cell r="N9">
            <v>111526.04132907827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5">
          <cell r="C15">
            <v>149162.76</v>
          </cell>
          <cell r="D15">
            <v>472749.93</v>
          </cell>
          <cell r="E15">
            <v>222556.57000000004</v>
          </cell>
          <cell r="F15">
            <v>186284.91000000003</v>
          </cell>
          <cell r="G15">
            <v>181254.62</v>
          </cell>
          <cell r="H15">
            <v>216859.86</v>
          </cell>
          <cell r="I15">
            <v>183459.3210268596</v>
          </cell>
          <cell r="J15">
            <v>183459.3210268596</v>
          </cell>
          <cell r="K15">
            <v>183459.3210268596</v>
          </cell>
          <cell r="L15">
            <v>183459.3210268596</v>
          </cell>
          <cell r="M15">
            <v>183459.3210268596</v>
          </cell>
          <cell r="N15">
            <v>183459.3210268596</v>
          </cell>
        </row>
        <row r="16">
          <cell r="C16">
            <v>165.42</v>
          </cell>
          <cell r="D16">
            <v>195.69</v>
          </cell>
          <cell r="E16">
            <v>115.36999999999998</v>
          </cell>
          <cell r="F16">
            <v>14289.439999999999</v>
          </cell>
          <cell r="G16">
            <v>1826.5100000000002</v>
          </cell>
          <cell r="H16">
            <v>555.79000000000019</v>
          </cell>
          <cell r="I16">
            <v>2201.7424750827968</v>
          </cell>
          <cell r="J16">
            <v>2201.7424750827968</v>
          </cell>
          <cell r="K16">
            <v>2201.7424750827968</v>
          </cell>
          <cell r="L16">
            <v>2201.7424750827968</v>
          </cell>
          <cell r="M16">
            <v>2201.7424750827968</v>
          </cell>
          <cell r="N16">
            <v>2201.7424750827968</v>
          </cell>
        </row>
        <row r="17">
          <cell r="C17">
            <v>252.66000000000003</v>
          </cell>
          <cell r="D17">
            <v>367.67999999999995</v>
          </cell>
          <cell r="E17">
            <v>228.07</v>
          </cell>
          <cell r="F17">
            <v>23751.87</v>
          </cell>
          <cell r="G17">
            <v>5524.26</v>
          </cell>
          <cell r="H17">
            <v>1783.3600000000001</v>
          </cell>
          <cell r="I17">
            <v>4096.8088070187096</v>
          </cell>
          <cell r="J17">
            <v>4096.8088070187096</v>
          </cell>
          <cell r="K17">
            <v>4096.8088070187096</v>
          </cell>
          <cell r="L17">
            <v>4096.8088070187096</v>
          </cell>
          <cell r="M17">
            <v>4096.8088070187096</v>
          </cell>
          <cell r="N17">
            <v>4096.8088070187096</v>
          </cell>
        </row>
        <row r="18">
          <cell r="C18">
            <v>48100</v>
          </cell>
          <cell r="D18">
            <v>48100</v>
          </cell>
          <cell r="E18">
            <v>48100</v>
          </cell>
          <cell r="F18">
            <v>28500</v>
          </cell>
          <cell r="G18">
            <v>28500</v>
          </cell>
          <cell r="H18">
            <v>28500</v>
          </cell>
        </row>
        <row r="24">
          <cell r="C24">
            <v>26858.569999999996</v>
          </cell>
          <cell r="D24">
            <v>31581.349999999995</v>
          </cell>
          <cell r="E24">
            <v>61474.880000000005</v>
          </cell>
          <cell r="F24">
            <v>31379.100000000002</v>
          </cell>
          <cell r="G24">
            <v>34368.22</v>
          </cell>
          <cell r="H24">
            <v>42609.950000000004</v>
          </cell>
          <cell r="I24">
            <v>26953.097096777346</v>
          </cell>
          <cell r="J24">
            <v>26953.097096777346</v>
          </cell>
          <cell r="K24">
            <v>26953.097096777346</v>
          </cell>
          <cell r="L24">
            <v>26953.097096777346</v>
          </cell>
          <cell r="M24">
            <v>26953.097096777346</v>
          </cell>
          <cell r="N24">
            <v>26953.097096777346</v>
          </cell>
        </row>
        <row r="25">
          <cell r="C25">
            <v>0</v>
          </cell>
          <cell r="I25">
            <v>203.5355409203317</v>
          </cell>
          <cell r="J25">
            <v>203.5355409203317</v>
          </cell>
          <cell r="K25">
            <v>203.5355409203317</v>
          </cell>
          <cell r="L25">
            <v>203.5355409203317</v>
          </cell>
          <cell r="M25">
            <v>203.5355409203317</v>
          </cell>
          <cell r="N25">
            <v>203.5355409203317</v>
          </cell>
        </row>
        <row r="26">
          <cell r="C26">
            <v>0</v>
          </cell>
          <cell r="D26">
            <v>0.73</v>
          </cell>
          <cell r="E26">
            <v>-0.24</v>
          </cell>
          <cell r="F26">
            <v>1614.4099999999999</v>
          </cell>
          <cell r="G26">
            <v>867.67000000000007</v>
          </cell>
          <cell r="H26">
            <v>-56.649999999999977</v>
          </cell>
          <cell r="I26">
            <v>286.43914828920629</v>
          </cell>
          <cell r="J26">
            <v>286.43914828920629</v>
          </cell>
          <cell r="K26">
            <v>286.43914828920629</v>
          </cell>
          <cell r="L26">
            <v>286.43914828920629</v>
          </cell>
          <cell r="M26">
            <v>286.43914828920629</v>
          </cell>
          <cell r="N26">
            <v>286.43914828920629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5">
          <cell r="C35">
            <v>17536.599999999999</v>
          </cell>
          <cell r="D35">
            <v>56011.289999999994</v>
          </cell>
          <cell r="E35">
            <v>27385.269999999993</v>
          </cell>
          <cell r="F35">
            <v>25660.009999999995</v>
          </cell>
          <cell r="G35">
            <v>25935.690000000002</v>
          </cell>
          <cell r="H35">
            <v>16088.88</v>
          </cell>
          <cell r="I35">
            <v>60437.858133882888</v>
          </cell>
          <cell r="J35">
            <v>38690.239216880182</v>
          </cell>
          <cell r="K35">
            <v>50559.252491114283</v>
          </cell>
          <cell r="L35">
            <v>34297.815385500486</v>
          </cell>
          <cell r="M35">
            <v>39953.08522383427</v>
          </cell>
          <cell r="N35">
            <v>33782.821566291204</v>
          </cell>
        </row>
        <row r="36">
          <cell r="C36">
            <v>0</v>
          </cell>
          <cell r="D36">
            <v>12.77</v>
          </cell>
          <cell r="E36">
            <v>-4.54</v>
          </cell>
          <cell r="F36">
            <v>2305.38</v>
          </cell>
          <cell r="G36">
            <v>268.22000000000003</v>
          </cell>
          <cell r="H36">
            <v>-122.20999999999998</v>
          </cell>
          <cell r="I36">
            <v>881.60453712201945</v>
          </cell>
          <cell r="J36">
            <v>564.37291937742043</v>
          </cell>
          <cell r="K36">
            <v>737.50572515201861</v>
          </cell>
          <cell r="L36">
            <v>500.30081460280928</v>
          </cell>
          <cell r="M36">
            <v>582.79400185441489</v>
          </cell>
          <cell r="N36">
            <v>492.78862106016351</v>
          </cell>
        </row>
        <row r="37">
          <cell r="C37">
            <v>0</v>
          </cell>
          <cell r="D37">
            <v>1.2500000000000002</v>
          </cell>
          <cell r="E37">
            <v>-0.41000000000000003</v>
          </cell>
          <cell r="F37">
            <v>2323.9399999999996</v>
          </cell>
          <cell r="G37">
            <v>1186.48</v>
          </cell>
          <cell r="H37">
            <v>-75.349999999999966</v>
          </cell>
          <cell r="I37">
            <v>1231.5373289950958</v>
          </cell>
          <cell r="J37">
            <v>788.38786374239612</v>
          </cell>
          <cell r="K37">
            <v>1030.2417837336955</v>
          </cell>
          <cell r="L37">
            <v>698.88379989670693</v>
          </cell>
          <cell r="M37">
            <v>814.1207743113174</v>
          </cell>
          <cell r="N37">
            <v>688.38981264863116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625688</v>
          </cell>
          <cell r="D39">
            <v>625688</v>
          </cell>
          <cell r="E39">
            <v>625688</v>
          </cell>
          <cell r="F39">
            <v>691388</v>
          </cell>
          <cell r="G39">
            <v>691388</v>
          </cell>
          <cell r="H39">
            <v>691388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73846</v>
          </cell>
          <cell r="I40">
            <v>0</v>
          </cell>
          <cell r="J40">
            <v>0</v>
          </cell>
          <cell r="K40">
            <v>145406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80.5</v>
          </cell>
          <cell r="E41">
            <v>386.1</v>
          </cell>
          <cell r="F41">
            <v>75.599999999999994</v>
          </cell>
          <cell r="G41">
            <v>0</v>
          </cell>
          <cell r="H41">
            <v>85.05</v>
          </cell>
          <cell r="I41">
            <v>667</v>
          </cell>
          <cell r="J41">
            <v>0</v>
          </cell>
          <cell r="K41">
            <v>83</v>
          </cell>
          <cell r="L41">
            <v>651</v>
          </cell>
          <cell r="M41">
            <v>43</v>
          </cell>
          <cell r="N41">
            <v>0</v>
          </cell>
        </row>
        <row r="42">
          <cell r="C42">
            <v>29618.09</v>
          </cell>
          <cell r="D42">
            <v>29618.09</v>
          </cell>
          <cell r="E42">
            <v>29618.09</v>
          </cell>
          <cell r="F42">
            <v>29618.09</v>
          </cell>
          <cell r="G42">
            <v>29618.09</v>
          </cell>
          <cell r="H42">
            <v>29618.09</v>
          </cell>
          <cell r="I42">
            <v>29618</v>
          </cell>
          <cell r="J42">
            <v>29618</v>
          </cell>
          <cell r="K42">
            <v>29618</v>
          </cell>
          <cell r="L42">
            <v>29618</v>
          </cell>
          <cell r="M42">
            <v>29618</v>
          </cell>
          <cell r="N42">
            <v>29618</v>
          </cell>
        </row>
        <row r="43">
          <cell r="C43">
            <v>10995.86</v>
          </cell>
          <cell r="D43">
            <v>29003.25</v>
          </cell>
          <cell r="E43">
            <v>15074.18</v>
          </cell>
          <cell r="F43">
            <v>14063.28</v>
          </cell>
          <cell r="G43">
            <v>12076.33</v>
          </cell>
          <cell r="H43">
            <v>13778.08</v>
          </cell>
        </row>
        <row r="44">
          <cell r="C44">
            <v>17756.060000000001</v>
          </cell>
          <cell r="D44">
            <v>-19623.5</v>
          </cell>
          <cell r="E44">
            <v>27283.74</v>
          </cell>
          <cell r="F44">
            <v>45888.76</v>
          </cell>
          <cell r="G44">
            <v>17962.52</v>
          </cell>
          <cell r="H44">
            <v>20788.580000000002</v>
          </cell>
        </row>
        <row r="45">
          <cell r="C45">
            <v>14019.55</v>
          </cell>
          <cell r="D45">
            <v>15927.77</v>
          </cell>
          <cell r="E45">
            <v>30994.04</v>
          </cell>
          <cell r="F45">
            <v>17752.890000000003</v>
          </cell>
          <cell r="G45">
            <v>17869.54</v>
          </cell>
          <cell r="H45">
            <v>21410.83</v>
          </cell>
        </row>
      </sheetData>
      <sheetData sheetId="1"/>
      <sheetData sheetId="2"/>
      <sheetData sheetId="3"/>
      <sheetData sheetId="4"/>
      <sheetData sheetId="5">
        <row r="22">
          <cell r="B22">
            <v>35632</v>
          </cell>
          <cell r="C22">
            <v>99250</v>
          </cell>
          <cell r="D22">
            <v>23671</v>
          </cell>
          <cell r="E22">
            <v>62551</v>
          </cell>
          <cell r="F22">
            <v>40043</v>
          </cell>
          <cell r="G22">
            <v>52327</v>
          </cell>
          <cell r="H22">
            <v>35497</v>
          </cell>
          <cell r="I22">
            <v>41350</v>
          </cell>
          <cell r="J22">
            <v>34964</v>
          </cell>
          <cell r="K22">
            <v>35954</v>
          </cell>
          <cell r="L22">
            <v>31269</v>
          </cell>
          <cell r="M22">
            <v>51893</v>
          </cell>
        </row>
        <row r="26">
          <cell r="B26">
            <v>0</v>
          </cell>
          <cell r="C26">
            <v>65</v>
          </cell>
          <cell r="D26">
            <v>383</v>
          </cell>
          <cell r="E26">
            <v>76</v>
          </cell>
          <cell r="F26">
            <v>0</v>
          </cell>
          <cell r="G26">
            <v>83</v>
          </cell>
          <cell r="H26">
            <v>90</v>
          </cell>
          <cell r="I26">
            <v>43</v>
          </cell>
          <cell r="J26">
            <v>0</v>
          </cell>
          <cell r="K26">
            <v>15902</v>
          </cell>
          <cell r="L26">
            <v>212</v>
          </cell>
          <cell r="M26">
            <v>83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145406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5">
          <cell r="B75">
            <v>782</v>
          </cell>
          <cell r="C75">
            <v>0</v>
          </cell>
          <cell r="D75">
            <v>0</v>
          </cell>
          <cell r="E75">
            <v>591</v>
          </cell>
          <cell r="F75">
            <v>0</v>
          </cell>
          <cell r="G75">
            <v>0</v>
          </cell>
          <cell r="H75">
            <v>561</v>
          </cell>
          <cell r="I75">
            <v>0</v>
          </cell>
          <cell r="J75">
            <v>0</v>
          </cell>
          <cell r="K75">
            <v>604</v>
          </cell>
          <cell r="L75">
            <v>0</v>
          </cell>
          <cell r="M75">
            <v>0</v>
          </cell>
        </row>
      </sheetData>
      <sheetData sheetId="6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 Adjustment"/>
      <sheetName val="FY 2021 Budget"/>
      <sheetName val="KS Budget Detail"/>
      <sheetName val="TX Rule 8.209 deferrals"/>
    </sheetNames>
    <sheetDataSet>
      <sheetData sheetId="0"/>
      <sheetData sheetId="1">
        <row r="5">
          <cell r="E5">
            <v>41200</v>
          </cell>
        </row>
        <row r="6">
          <cell r="E6">
            <v>28500</v>
          </cell>
        </row>
        <row r="14">
          <cell r="E14">
            <v>695800</v>
          </cell>
          <cell r="S14">
            <v>-1458</v>
          </cell>
        </row>
        <row r="17">
          <cell r="E17">
            <v>0</v>
          </cell>
        </row>
      </sheetData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"/>
      <sheetName val="Pivot"/>
      <sheetName val="Sheet2"/>
    </sheetNames>
    <sheetDataSet>
      <sheetData sheetId="0">
        <row r="15">
          <cell r="C15" t="str">
            <v>AGA</v>
          </cell>
          <cell r="D15">
            <v>55578.180000000015</v>
          </cell>
        </row>
        <row r="16">
          <cell r="C16" t="str">
            <v>ASME</v>
          </cell>
          <cell r="D16">
            <v>158</v>
          </cell>
        </row>
        <row r="17">
          <cell r="C17" t="str">
            <v>BUILDING INDUSTRY ASSOCIATION OF GREATER LOUISVILLE</v>
          </cell>
          <cell r="D17">
            <v>475</v>
          </cell>
        </row>
        <row r="18">
          <cell r="C18" t="str">
            <v>CADIZ TRIGG COUNTY ECONOMIC DEVELOP COMM</v>
          </cell>
          <cell r="D18">
            <v>500</v>
          </cell>
        </row>
        <row r="19">
          <cell r="C19" t="str">
            <v>CHAMBER OF COMMERCE</v>
          </cell>
          <cell r="D19">
            <v>42878.280000000006</v>
          </cell>
        </row>
        <row r="20">
          <cell r="C20" t="str">
            <v>CRITTENDEN COUNTY ECONOMIC</v>
          </cell>
          <cell r="D20">
            <v>100</v>
          </cell>
        </row>
        <row r="21">
          <cell r="C21" t="str">
            <v>ECONOMIC DEVELOPMENT COUNCIL</v>
          </cell>
          <cell r="D21">
            <v>11000</v>
          </cell>
        </row>
        <row r="22">
          <cell r="C22" t="str">
            <v>FRANKLIN SIMPSON INDUSTRIAL AUTHORITY</v>
          </cell>
          <cell r="D22">
            <v>5000</v>
          </cell>
        </row>
        <row r="23">
          <cell r="C23" t="str">
            <v>GIRLS INC.</v>
          </cell>
          <cell r="D23">
            <v>500</v>
          </cell>
        </row>
        <row r="24">
          <cell r="C24" t="str">
            <v>GLASGOW BARREN COUNTY CHAMBER OF COMMERCE</v>
          </cell>
          <cell r="D24">
            <v>2575</v>
          </cell>
        </row>
        <row r="25">
          <cell r="C25" t="str">
            <v>GREATER OWENSBORO ECONOMIC DEVELOPMENT CORP</v>
          </cell>
          <cell r="D25">
            <v>10000</v>
          </cell>
        </row>
        <row r="26">
          <cell r="C26" t="str">
            <v>GREATER OWENSBORO REALTOR ASSOCIATION</v>
          </cell>
          <cell r="D26">
            <v>256</v>
          </cell>
        </row>
        <row r="27">
          <cell r="C27" t="str">
            <v>GREATER PADUCAH ECONOMIC DEVELOPMENT COUNCIL INC</v>
          </cell>
          <cell r="D27">
            <v>3000</v>
          </cell>
        </row>
        <row r="28">
          <cell r="C28" t="str">
            <v>HOME BUILDERS ASSOCIATION</v>
          </cell>
          <cell r="D28">
            <v>810</v>
          </cell>
        </row>
        <row r="29">
          <cell r="C29" t="str">
            <v>HOME BUILDERS ASSOCIATION OF OWENSBORO</v>
          </cell>
          <cell r="D29">
            <v>475</v>
          </cell>
        </row>
        <row r="30">
          <cell r="C30" t="str">
            <v>HOPKINS COUNTY PVA</v>
          </cell>
          <cell r="D30">
            <v>55</v>
          </cell>
        </row>
        <row r="31">
          <cell r="C31" t="str">
            <v>KENTUCKY ASSOCIATION FOR ECONOMIC DEVELOPMENT</v>
          </cell>
          <cell r="D31">
            <v>20000</v>
          </cell>
        </row>
        <row r="32">
          <cell r="C32" t="str">
            <v>KENTUCKY ASSOCIATION OF MANUFACTURERS</v>
          </cell>
          <cell r="D32">
            <v>1740</v>
          </cell>
        </row>
        <row r="33">
          <cell r="C33" t="str">
            <v>KENTUCKY ASSOCIATION OF MASTER CONTRACTORS INC</v>
          </cell>
          <cell r="D33">
            <v>2500</v>
          </cell>
        </row>
        <row r="34">
          <cell r="C34" t="str">
            <v>KENTUCKY COUNTY JUDGE EXECUTIVE ASSOCIATION</v>
          </cell>
          <cell r="D34">
            <v>200</v>
          </cell>
        </row>
        <row r="35">
          <cell r="C35" t="str">
            <v>KENTUCKY GAS ASSOCIATION</v>
          </cell>
          <cell r="D35">
            <v>10250</v>
          </cell>
        </row>
        <row r="36">
          <cell r="C36" t="str">
            <v>KENTUCKY GAZETTE</v>
          </cell>
          <cell r="D36">
            <v>374</v>
          </cell>
        </row>
        <row r="37">
          <cell r="C37" t="str">
            <v>KENTUCKY OIL AND GAS ASSOCIATION</v>
          </cell>
          <cell r="D37">
            <v>1020</v>
          </cell>
        </row>
        <row r="38">
          <cell r="C38" t="str">
            <v>KENTUCKY RESTAURANT ASSOCIATION</v>
          </cell>
          <cell r="D38">
            <v>395</v>
          </cell>
        </row>
        <row r="39">
          <cell r="C39" t="str">
            <v>KENTUCKY VFW PROGRAM</v>
          </cell>
          <cell r="D39">
            <v>97.5</v>
          </cell>
        </row>
        <row r="40">
          <cell r="C40" t="str">
            <v>LOGAN COUNTY HOME BUILDERS</v>
          </cell>
          <cell r="D40">
            <v>350</v>
          </cell>
        </row>
        <row r="41">
          <cell r="C41" t="str">
            <v>NACE INTERNATIONAL</v>
          </cell>
          <cell r="D41">
            <v>588.29999999999995</v>
          </cell>
        </row>
        <row r="42">
          <cell r="C42" t="str">
            <v>NATIONAL GAS DISTRIBUTERS ASSOCIATION OF EAST TENNESSEE</v>
          </cell>
          <cell r="D42">
            <v>250</v>
          </cell>
        </row>
        <row r="43">
          <cell r="C43" t="str">
            <v>NATIONAL SOCIETY OF PROFESSIONAL  ENGINEERS</v>
          </cell>
          <cell r="D43">
            <v>299</v>
          </cell>
        </row>
        <row r="44">
          <cell r="C44" t="str">
            <v>OHIO COUNTY CHAMBER OF COMMERCE</v>
          </cell>
          <cell r="D44">
            <v>318.75</v>
          </cell>
        </row>
        <row r="45">
          <cell r="C45" t="str">
            <v>OKLAHOMA ACCOUNTANCY BOARD</v>
          </cell>
          <cell r="D45">
            <v>25.84</v>
          </cell>
        </row>
        <row r="46">
          <cell r="C46" t="str">
            <v>ONE HEALTH</v>
          </cell>
          <cell r="D46">
            <v>75</v>
          </cell>
        </row>
        <row r="47">
          <cell r="C47" t="str">
            <v>PADUCAH BOARD OF REALTORS INC</v>
          </cell>
          <cell r="D47">
            <v>300</v>
          </cell>
        </row>
        <row r="48">
          <cell r="C48" t="str">
            <v>REALTOR ASSOCIATION OF SOUTHERN KENTUCKY</v>
          </cell>
          <cell r="D48">
            <v>200</v>
          </cell>
        </row>
        <row r="49">
          <cell r="C49" t="str">
            <v>SAM'S CLUB</v>
          </cell>
          <cell r="D49">
            <v>309.97000000000003</v>
          </cell>
        </row>
        <row r="50">
          <cell r="C50" t="str">
            <v>SOUTHERN GAS ASSOCIATION</v>
          </cell>
          <cell r="D50">
            <v>82.31</v>
          </cell>
        </row>
        <row r="55">
          <cell r="C55" t="str">
            <v>AGA</v>
          </cell>
          <cell r="D55">
            <v>55578.180000000015</v>
          </cell>
        </row>
        <row r="56">
          <cell r="C56" t="str">
            <v>ASME</v>
          </cell>
          <cell r="D56">
            <v>158</v>
          </cell>
        </row>
        <row r="57">
          <cell r="C57" t="str">
            <v>BUILDING INDUSTRY ASSOCIATION OF GREATER LOUISVILLE</v>
          </cell>
          <cell r="D57">
            <v>475</v>
          </cell>
        </row>
        <row r="58">
          <cell r="C58" t="str">
            <v>CADIZ TRIGG COUNTY ECONOMIC DEVELOP COMM</v>
          </cell>
          <cell r="D58">
            <v>500</v>
          </cell>
        </row>
        <row r="59">
          <cell r="C59" t="str">
            <v>CHAMBER OF COMMERCE</v>
          </cell>
          <cell r="D59">
            <v>42878.280000000006</v>
          </cell>
        </row>
        <row r="60">
          <cell r="C60" t="str">
            <v>CRITTENDEN COUNTY ECONOMIC</v>
          </cell>
          <cell r="D60">
            <v>100</v>
          </cell>
        </row>
        <row r="61">
          <cell r="C61" t="str">
            <v>ECONOMIC DEVELOPMENT COUNCIL</v>
          </cell>
          <cell r="D61">
            <v>11000</v>
          </cell>
        </row>
        <row r="62">
          <cell r="C62" t="str">
            <v>FRANKLIN SIMPSON INDUSTRIAL AUTHORITY</v>
          </cell>
          <cell r="D62">
            <v>5000</v>
          </cell>
        </row>
        <row r="63">
          <cell r="C63" t="str">
            <v>GIRLS INC.</v>
          </cell>
          <cell r="D63">
            <v>500</v>
          </cell>
        </row>
        <row r="64">
          <cell r="C64" t="str">
            <v>GLASGOW BARREN COUNTY CHAMBER OF COMMERCE</v>
          </cell>
          <cell r="D64">
            <v>2575</v>
          </cell>
        </row>
        <row r="65">
          <cell r="C65" t="str">
            <v>GREATER OWENSBORO ECONOMIC DEVELOPMENT CORP</v>
          </cell>
          <cell r="D65">
            <v>10000</v>
          </cell>
        </row>
        <row r="66">
          <cell r="C66" t="str">
            <v>GREATER OWENSBORO REALTOR ASSOCIATION</v>
          </cell>
          <cell r="D66">
            <v>256</v>
          </cell>
        </row>
        <row r="67">
          <cell r="C67" t="str">
            <v>GREATER PADUCAH ECONOMIC DEVELOPMENT COUNCIL INC</v>
          </cell>
          <cell r="D67">
            <v>3000</v>
          </cell>
        </row>
        <row r="68">
          <cell r="C68" t="str">
            <v>HOME BUILDERS ASSOCIATION</v>
          </cell>
          <cell r="D68">
            <v>810</v>
          </cell>
        </row>
        <row r="69">
          <cell r="C69" t="str">
            <v>HOME BUILDERS ASSOCIATION OF OWENSBORO</v>
          </cell>
          <cell r="D69">
            <v>475</v>
          </cell>
        </row>
        <row r="70">
          <cell r="C70" t="str">
            <v>HOPKINS COUNTY PVA</v>
          </cell>
          <cell r="D70">
            <v>55</v>
          </cell>
        </row>
        <row r="71">
          <cell r="C71" t="str">
            <v>KENTUCKY ASSOCIATION FOR ECONOMIC DEVELOPMENT</v>
          </cell>
          <cell r="D71">
            <v>20000</v>
          </cell>
        </row>
        <row r="72">
          <cell r="C72" t="str">
            <v>KENTUCKY ASSOCIATION OF MANUFACTURERS</v>
          </cell>
          <cell r="D72">
            <v>1740</v>
          </cell>
        </row>
        <row r="73">
          <cell r="C73" t="str">
            <v>KENTUCKY ASSOCIATION OF MASTER CONTRACTORS INC</v>
          </cell>
          <cell r="D73">
            <v>2500</v>
          </cell>
        </row>
        <row r="74">
          <cell r="C74" t="str">
            <v>KENTUCKY COUNTY JUDGE EXECUTIVE ASSOCIATION</v>
          </cell>
          <cell r="D74">
            <v>200</v>
          </cell>
        </row>
        <row r="75">
          <cell r="C75" t="str">
            <v>KENTUCKY GAS ASSOCIATION</v>
          </cell>
          <cell r="D75">
            <v>10250</v>
          </cell>
        </row>
        <row r="76">
          <cell r="C76" t="str">
            <v>KENTUCKY GAZETTE</v>
          </cell>
          <cell r="D76">
            <v>374</v>
          </cell>
        </row>
        <row r="77">
          <cell r="C77" t="str">
            <v>KENTUCKY OIL AND GAS ASSOCIATION</v>
          </cell>
          <cell r="D77">
            <v>1020</v>
          </cell>
        </row>
        <row r="78">
          <cell r="C78" t="str">
            <v>KENTUCKY RESTAURANT ASSOCIATION</v>
          </cell>
          <cell r="D78">
            <v>395</v>
          </cell>
        </row>
        <row r="79">
          <cell r="C79" t="str">
            <v>KENTUCKY VFW PROGRAM</v>
          </cell>
          <cell r="D79">
            <v>97.5</v>
          </cell>
        </row>
        <row r="80">
          <cell r="C80" t="str">
            <v>LOGAN COUNTY HOME BUILDERS</v>
          </cell>
          <cell r="D80">
            <v>350</v>
          </cell>
        </row>
        <row r="81">
          <cell r="C81" t="str">
            <v>NACE INTERNATIONAL</v>
          </cell>
          <cell r="D81">
            <v>588.29999999999995</v>
          </cell>
        </row>
        <row r="82">
          <cell r="C82" t="str">
            <v>NATIONAL GAS DISTRIBUTERS ASSOCIATION OF EAST TENNESSEE</v>
          </cell>
          <cell r="D82">
            <v>250</v>
          </cell>
        </row>
        <row r="83">
          <cell r="C83" t="str">
            <v>NATIONAL SOCIETY OF PROFESSIONAL  ENGINEERS</v>
          </cell>
          <cell r="D83">
            <v>299</v>
          </cell>
        </row>
        <row r="84">
          <cell r="C84" t="str">
            <v>OHIO COUNTY CHAMBER OF COMMERCE</v>
          </cell>
          <cell r="D84">
            <v>318.75</v>
          </cell>
        </row>
        <row r="85">
          <cell r="C85" t="str">
            <v>OKLAHOMA ACCOUNTANCY BOARD</v>
          </cell>
          <cell r="D85">
            <v>25.84</v>
          </cell>
        </row>
        <row r="86">
          <cell r="C86" t="str">
            <v>ONE HEALTH</v>
          </cell>
          <cell r="D86">
            <v>75</v>
          </cell>
        </row>
        <row r="87">
          <cell r="C87" t="str">
            <v>PADUCAH BOARD OF REALTORS INC</v>
          </cell>
          <cell r="D87">
            <v>300</v>
          </cell>
        </row>
        <row r="88">
          <cell r="C88" t="str">
            <v>REALTOR ASSOCIATION OF SOUTHERN KENTUCKY</v>
          </cell>
          <cell r="D88">
            <v>200</v>
          </cell>
        </row>
        <row r="89">
          <cell r="C89" t="str">
            <v>SAM'S CLUB</v>
          </cell>
          <cell r="D89">
            <v>309.97000000000003</v>
          </cell>
        </row>
        <row r="90">
          <cell r="C90" t="str">
            <v>SOUTHERN GAS ASSOCIATION</v>
          </cell>
          <cell r="D90">
            <v>82.31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V Center"/>
      <sheetName val="Detail CKV"/>
      <sheetName val="2020 Training usage"/>
      <sheetName val="Greenville"/>
      <sheetName val="Customer Count Per GA"/>
      <sheetName val="Notes "/>
      <sheetName val="2021 Blending percentages CKV C"/>
    </sheetNames>
    <sheetDataSet>
      <sheetData sheetId="0">
        <row r="20">
          <cell r="L20">
            <v>2.4788790000000002E-2</v>
          </cell>
        </row>
      </sheetData>
      <sheetData sheetId="1"/>
      <sheetData sheetId="2"/>
      <sheetData sheetId="3">
        <row r="24">
          <cell r="J24">
            <v>1.559576E-2</v>
          </cell>
        </row>
      </sheetData>
      <sheetData sheetId="4"/>
      <sheetData sheetId="5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2.1"/>
    </sheetNames>
    <sheetDataSet>
      <sheetData sheetId="0">
        <row r="15">
          <cell r="C15" t="str">
            <v>Community Welfare</v>
          </cell>
          <cell r="D15">
            <v>437690.04000000004</v>
          </cell>
        </row>
        <row r="16">
          <cell r="C16" t="str">
            <v>Education</v>
          </cell>
          <cell r="D16">
            <v>43684</v>
          </cell>
        </row>
        <row r="17">
          <cell r="C17" t="str">
            <v>Health</v>
          </cell>
          <cell r="D17">
            <v>7700</v>
          </cell>
        </row>
        <row r="18">
          <cell r="C18" t="str">
            <v>Museums &amp; Arts</v>
          </cell>
          <cell r="D18">
            <v>8750</v>
          </cell>
        </row>
        <row r="19">
          <cell r="C19" t="str">
            <v>Salvation Army</v>
          </cell>
          <cell r="D19">
            <v>1500</v>
          </cell>
        </row>
        <row r="20">
          <cell r="C20" t="str">
            <v>United Way Agencies</v>
          </cell>
          <cell r="D20">
            <v>5500</v>
          </cell>
        </row>
        <row r="21">
          <cell r="C21" t="str">
            <v>Youth Clubs &amp; Centers</v>
          </cell>
          <cell r="D21">
            <v>3314.8599999999997</v>
          </cell>
        </row>
        <row r="22">
          <cell r="C22" t="str">
            <v>Heat Help Assistance Program</v>
          </cell>
          <cell r="D22">
            <v>233635.58</v>
          </cell>
        </row>
        <row r="27">
          <cell r="C27" t="str">
            <v>Community Welfare</v>
          </cell>
          <cell r="D27">
            <v>437690.04000000004</v>
          </cell>
        </row>
        <row r="28">
          <cell r="C28" t="str">
            <v>Education</v>
          </cell>
          <cell r="D28">
            <v>43684</v>
          </cell>
        </row>
        <row r="29">
          <cell r="C29" t="str">
            <v>Health</v>
          </cell>
          <cell r="D29">
            <v>7700</v>
          </cell>
        </row>
        <row r="30">
          <cell r="C30" t="str">
            <v>Museums &amp; Arts</v>
          </cell>
          <cell r="D30">
            <v>8750</v>
          </cell>
        </row>
        <row r="31">
          <cell r="C31" t="str">
            <v>Salvation Army</v>
          </cell>
          <cell r="D31">
            <v>1500</v>
          </cell>
        </row>
        <row r="32">
          <cell r="C32" t="str">
            <v>United Way Agencies</v>
          </cell>
          <cell r="D32">
            <v>5500</v>
          </cell>
        </row>
        <row r="33">
          <cell r="C33" t="str">
            <v>Youth Clubs &amp; Centers</v>
          </cell>
          <cell r="D33">
            <v>3314.8599999999997</v>
          </cell>
        </row>
        <row r="34">
          <cell r="C34" t="str">
            <v>Heat Help Assistance Program</v>
          </cell>
          <cell r="D34">
            <v>233635.58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Year Advertising Summary"/>
      <sheetName val="009 &amp; 091 Advert History"/>
      <sheetName val="002 &amp; 012 Advert History"/>
      <sheetName val="OM Budget - Advert"/>
      <sheetName val="Base Year Acct 4264"/>
      <sheetName val="009 &amp; 091 Acct 4264 History"/>
      <sheetName val="002 &amp; 012 Acct 4264 History"/>
      <sheetName val="Acct 4262 Budget"/>
      <sheetName val="Notes"/>
    </sheetNames>
    <sheetDataSet>
      <sheetData sheetId="0">
        <row r="8">
          <cell r="P8">
            <v>9901.5299999999988</v>
          </cell>
        </row>
        <row r="26">
          <cell r="P26">
            <v>150929.97000000003</v>
          </cell>
        </row>
        <row r="35">
          <cell r="P35">
            <v>1391.81</v>
          </cell>
        </row>
        <row r="47">
          <cell r="P47">
            <v>19551.62</v>
          </cell>
        </row>
        <row r="54">
          <cell r="P54">
            <v>27009.82</v>
          </cell>
        </row>
        <row r="65">
          <cell r="P65">
            <v>207988.33000000002</v>
          </cell>
        </row>
        <row r="72">
          <cell r="P72">
            <v>25573.21</v>
          </cell>
        </row>
      </sheetData>
      <sheetData sheetId="1"/>
      <sheetData sheetId="2"/>
      <sheetData sheetId="3"/>
      <sheetData sheetId="4">
        <row r="102">
          <cell r="S102">
            <v>46289.94</v>
          </cell>
        </row>
        <row r="103">
          <cell r="S103">
            <v>12719.390000000001</v>
          </cell>
        </row>
        <row r="104">
          <cell r="S104">
            <v>423588.7099999999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6"/>
      <sheetName val="Pivot"/>
      <sheetName val="2018.2019 Rate Case Expenses"/>
      <sheetName val="Sheet3"/>
    </sheetNames>
    <sheetDataSet>
      <sheetData sheetId="0">
        <row r="15">
          <cell r="D15">
            <v>22990</v>
          </cell>
        </row>
        <row r="16">
          <cell r="D16">
            <v>82440.530000000013</v>
          </cell>
        </row>
        <row r="17">
          <cell r="D17">
            <v>45856.94</v>
          </cell>
        </row>
        <row r="21">
          <cell r="E21">
            <v>132354.12</v>
          </cell>
        </row>
        <row r="24">
          <cell r="E24">
            <v>21617</v>
          </cell>
        </row>
        <row r="27">
          <cell r="E27">
            <v>93838</v>
          </cell>
        </row>
      </sheetData>
      <sheetData sheetId="1"/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Division 009 Summary "/>
      <sheetName val="WD (009)"/>
      <sheetName val="Key Words"/>
    </sheetNames>
    <sheetDataSet>
      <sheetData sheetId="0">
        <row r="19">
          <cell r="A19">
            <v>29135.08</v>
          </cell>
        </row>
      </sheetData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Division 091 Summary"/>
      <sheetName val="WD (091)"/>
      <sheetName val="Key Words"/>
    </sheetNames>
    <sheetDataSet>
      <sheetData sheetId="0">
        <row r="19">
          <cell r="A19">
            <v>23185.23</v>
          </cell>
        </row>
      </sheetData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'20-Mar'21 002 WEXP"/>
    </sheetNames>
    <sheetDataSet>
      <sheetData sheetId="0">
        <row r="3424">
          <cell r="AO3424">
            <v>219937.13116026216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'20-Mar'21 012 WEXP"/>
    </sheetNames>
    <sheetDataSet>
      <sheetData sheetId="0">
        <row r="1285">
          <cell r="AO1285">
            <v>20432.499999999996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P Forecast"/>
      <sheetName val="SERP"/>
    </sheetNames>
    <sheetDataSet>
      <sheetData sheetId="0">
        <row r="13">
          <cell r="F13">
            <v>1359794.4539999999</v>
          </cell>
        </row>
        <row r="25">
          <cell r="F25">
            <v>41062.920000000013</v>
          </cell>
        </row>
      </sheetData>
      <sheetData sheetId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"/>
      <sheetName val="X"/>
      <sheetName val="Apr20-Mar21"/>
    </sheetNames>
    <sheetDataSet>
      <sheetData sheetId="0"/>
      <sheetData sheetId="1"/>
      <sheetData sheetId="2">
        <row r="3">
          <cell r="C3">
            <v>1823106.92</v>
          </cell>
        </row>
        <row r="4">
          <cell r="C4">
            <v>190976.72999999998</v>
          </cell>
        </row>
        <row r="5">
          <cell r="C5">
            <v>991028.73</v>
          </cell>
        </row>
        <row r="6">
          <cell r="C6">
            <v>83585.36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2021 balances"/>
      <sheetName val="Apr 2021 balances"/>
      <sheetName val="Mar 2021 balances"/>
      <sheetName val="Feb 2021 balances"/>
      <sheetName val="Jan 2021 balances"/>
      <sheetName val="Dec 2020 balances"/>
      <sheetName val="Nov 2020 balances"/>
      <sheetName val="Oct 2020 balances"/>
      <sheetName val="Sep 2020 balances"/>
      <sheetName val="Aug 2020 balances"/>
      <sheetName val="Jul 2020 balances"/>
      <sheetName val="Jun 2020 balances"/>
      <sheetName val="May 2020 balances"/>
      <sheetName val="Apr 2020 balances"/>
      <sheetName val="Mar 2020 balances"/>
      <sheetName val="Feb 2020 balances"/>
      <sheetName val="Jan balances"/>
      <sheetName val="Dec balances"/>
      <sheetName val="Nov balances"/>
      <sheetName val="Oct balances"/>
      <sheetName val="Sep balances"/>
      <sheetName val="Aug balances"/>
      <sheetName val="Jul balances"/>
      <sheetName val="Jun balances"/>
      <sheetName val="May balances"/>
      <sheetName val="Apr balances"/>
      <sheetName val="Mar balances"/>
      <sheetName val="Feb balance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G18">
            <v>-57683.63860000181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Aligne Blending Rates All"/>
      <sheetName val="Aligne Blending Rates FY21 to P"/>
    </sheetNames>
    <sheetDataSet>
      <sheetData sheetId="0">
        <row r="21">
          <cell r="E21">
            <v>4.6370689999999999E-2</v>
          </cell>
        </row>
      </sheetData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istorical Ending Balances"/>
      <sheetName val="Monthly Activity"/>
      <sheetName val="Order Case No. 2018-00281"/>
    </sheetNames>
    <sheetDataSet>
      <sheetData sheetId="0"/>
      <sheetData sheetId="1">
        <row r="23">
          <cell r="I23">
            <v>-5208777.3899999997</v>
          </cell>
        </row>
        <row r="24">
          <cell r="I24">
            <v>-5515176.0599999996</v>
          </cell>
        </row>
        <row r="25">
          <cell r="I25">
            <v>-5821574.7300000004</v>
          </cell>
        </row>
        <row r="26">
          <cell r="I26">
            <v>-6127973.4000000004</v>
          </cell>
        </row>
        <row r="27">
          <cell r="I27">
            <v>-6434372.0700000003</v>
          </cell>
        </row>
        <row r="28">
          <cell r="I28">
            <v>-6740770.7400000002</v>
          </cell>
        </row>
        <row r="29">
          <cell r="I29">
            <v>-7047169.4100000001</v>
          </cell>
        </row>
        <row r="30">
          <cell r="I30">
            <v>-7353568.0800000001</v>
          </cell>
        </row>
        <row r="31">
          <cell r="I31">
            <v>-7659966.75</v>
          </cell>
        </row>
      </sheetData>
      <sheetData sheetId="2">
        <row r="18">
          <cell r="N18">
            <v>-306398.67</v>
          </cell>
        </row>
        <row r="19">
          <cell r="N19">
            <v>-306398.67</v>
          </cell>
        </row>
        <row r="20">
          <cell r="N20">
            <v>-306398.67</v>
          </cell>
        </row>
        <row r="21">
          <cell r="N21">
            <v>-306398.67</v>
          </cell>
        </row>
        <row r="22">
          <cell r="N22">
            <v>-306398.67</v>
          </cell>
        </row>
        <row r="23">
          <cell r="N23">
            <v>-306398.67</v>
          </cell>
        </row>
        <row r="24">
          <cell r="N24">
            <v>-306398.67</v>
          </cell>
        </row>
        <row r="25">
          <cell r="N25">
            <v>-306398.67</v>
          </cell>
        </row>
        <row r="26">
          <cell r="N26">
            <v>-306398.67</v>
          </cell>
        </row>
      </sheetData>
      <sheetData sheetId="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FY21"/>
      <sheetName val="Worker's Comp from PlanIt"/>
    </sheetNames>
    <sheetDataSet>
      <sheetData sheetId="0">
        <row r="60">
          <cell r="E60">
            <v>0.21293259856651253</v>
          </cell>
        </row>
        <row r="61">
          <cell r="E61">
            <v>4.061837760753291E-2</v>
          </cell>
        </row>
        <row r="62">
          <cell r="E62">
            <v>5.3163088956169113E-2</v>
          </cell>
        </row>
        <row r="63">
          <cell r="E63">
            <v>4.7406576139259082E-2</v>
          </cell>
        </row>
      </sheetData>
      <sheetData sheetId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.2"/>
      <sheetName val="KY 2021 Rate Case Tab G 2 Payro"/>
    </sheetNames>
    <sheetDataSet>
      <sheetData sheetId="0">
        <row r="17">
          <cell r="C17">
            <v>402264.18</v>
          </cell>
          <cell r="E17">
            <v>388905.54</v>
          </cell>
          <cell r="G17">
            <v>376066.79</v>
          </cell>
          <cell r="I17">
            <v>428909.94</v>
          </cell>
          <cell r="K17">
            <v>424587.96</v>
          </cell>
        </row>
        <row r="18">
          <cell r="C18">
            <v>23291.75</v>
          </cell>
          <cell r="E18">
            <v>25455.02</v>
          </cell>
          <cell r="G18">
            <v>30649.94</v>
          </cell>
          <cell r="I18">
            <v>31807.95</v>
          </cell>
          <cell r="K18">
            <v>18741.259999999998</v>
          </cell>
        </row>
        <row r="24">
          <cell r="C24">
            <v>11387043.539999999</v>
          </cell>
          <cell r="E24">
            <v>11350420.66</v>
          </cell>
          <cell r="G24">
            <v>11354438.220000001</v>
          </cell>
          <cell r="I24">
            <v>11830931.17</v>
          </cell>
          <cell r="K24">
            <v>12100004.4</v>
          </cell>
        </row>
        <row r="25">
          <cell r="C25">
            <v>913258.46</v>
          </cell>
          <cell r="E25">
            <v>1025395.66</v>
          </cell>
          <cell r="G25">
            <v>1246475.79</v>
          </cell>
          <cell r="I25">
            <v>1321264.92</v>
          </cell>
          <cell r="K25">
            <v>816954.48</v>
          </cell>
        </row>
        <row r="30">
          <cell r="C30">
            <v>5063947.18</v>
          </cell>
          <cell r="E30">
            <v>5280413.74</v>
          </cell>
          <cell r="G30">
            <v>5621116.71</v>
          </cell>
          <cell r="I30">
            <v>5432594.3200000003</v>
          </cell>
          <cell r="K30">
            <v>5104736.3600000003</v>
          </cell>
        </row>
        <row r="35">
          <cell r="C35">
            <v>4593454.8626551144</v>
          </cell>
          <cell r="E35">
            <v>4213987.9676855821</v>
          </cell>
          <cell r="G35">
            <v>4142788.8665795103</v>
          </cell>
          <cell r="I35">
            <v>4573153.9197517596</v>
          </cell>
          <cell r="K35">
            <v>4283536.9489974706</v>
          </cell>
        </row>
        <row r="36">
          <cell r="C36">
            <v>1957208.1800000004</v>
          </cell>
          <cell r="E36">
            <v>1883009.9400000006</v>
          </cell>
          <cell r="G36">
            <v>1814786.55</v>
          </cell>
          <cell r="I36">
            <v>1949161.7799999993</v>
          </cell>
          <cell r="K36">
            <v>1759955.1800000006</v>
          </cell>
        </row>
        <row r="42">
          <cell r="C42">
            <v>937780.34000000008</v>
          </cell>
          <cell r="E42">
            <v>1118350.7199999997</v>
          </cell>
          <cell r="G42">
            <v>935217.53</v>
          </cell>
          <cell r="I42">
            <v>1483579.8100000003</v>
          </cell>
          <cell r="K42">
            <v>1233010.93</v>
          </cell>
        </row>
        <row r="43">
          <cell r="C43">
            <v>352392.23999999993</v>
          </cell>
          <cell r="E43">
            <v>342144.76999999996</v>
          </cell>
          <cell r="G43">
            <v>364719.13000000012</v>
          </cell>
          <cell r="I43">
            <v>408462.87000000017</v>
          </cell>
          <cell r="K43">
            <v>335620.93</v>
          </cell>
        </row>
        <row r="49">
          <cell r="C49">
            <v>213</v>
          </cell>
          <cell r="E49">
            <v>206</v>
          </cell>
          <cell r="G49">
            <v>197.5</v>
          </cell>
          <cell r="I49">
            <v>195</v>
          </cell>
          <cell r="K49">
            <v>190.5</v>
          </cell>
        </row>
        <row r="50">
          <cell r="C50">
            <v>211</v>
          </cell>
          <cell r="E50">
            <v>200</v>
          </cell>
          <cell r="G50">
            <v>195</v>
          </cell>
          <cell r="I50">
            <v>195</v>
          </cell>
          <cell r="K50">
            <v>186</v>
          </cell>
        </row>
      </sheetData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 9"/>
      <sheetName val="009div BUDGET"/>
      <sheetName val="Div 009 O&amp;M Labor "/>
      <sheetName val="DIV 009 Labor Subacct Pivot"/>
    </sheetNames>
    <sheetDataSet>
      <sheetData sheetId="0">
        <row r="35">
          <cell r="B35">
            <v>0.43159910630644116</v>
          </cell>
        </row>
        <row r="43">
          <cell r="B43">
            <v>0.43184052882726998</v>
          </cell>
        </row>
      </sheetData>
      <sheetData sheetId="1"/>
      <sheetData sheetId="2"/>
      <sheetData sheetId="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"/>
      <sheetName val="G.3"/>
      <sheetName val="Pivot Salary and Tax"/>
      <sheetName val="Pivot Restricted Stock"/>
      <sheetName val="Load Rates"/>
      <sheetName val="SERP"/>
      <sheetName val="Apr20-Mar21 Budget MIP Accrual"/>
      <sheetName val="FY21 Budget MIP Accrual"/>
      <sheetName val="FY20 Budget MIP Accrual"/>
    </sheetNames>
    <sheetDataSet>
      <sheetData sheetId="0"/>
      <sheetData sheetId="1">
        <row r="20">
          <cell r="G20">
            <v>3266810.7099999995</v>
          </cell>
        </row>
        <row r="21">
          <cell r="G21">
            <v>9307884.7601225805</v>
          </cell>
        </row>
        <row r="24">
          <cell r="D24" t="str">
            <v>FY19</v>
          </cell>
          <cell r="E24" t="str">
            <v>FY20</v>
          </cell>
        </row>
        <row r="25">
          <cell r="D25">
            <v>3.1100000000000003E-2</v>
          </cell>
          <cell r="E25">
            <v>3.78E-2</v>
          </cell>
          <cell r="F25">
            <v>3.4450000000000001E-2</v>
          </cell>
        </row>
        <row r="26">
          <cell r="G26">
            <v>3063427</v>
          </cell>
        </row>
        <row r="27">
          <cell r="D27">
            <v>0.29730000000000001</v>
          </cell>
          <cell r="E27">
            <v>0.30759999999999998</v>
          </cell>
          <cell r="F27">
            <v>0.30245000000000005</v>
          </cell>
        </row>
        <row r="31">
          <cell r="G31">
            <v>538017.9600000002</v>
          </cell>
          <cell r="K31">
            <v>559538.67840000021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3">
          <cell r="D23">
            <v>2E-3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 9"/>
      <sheetName val="Div 009"/>
      <sheetName val="AFUDC"/>
      <sheetName val="gas rev"/>
      <sheetName val="volumes"/>
      <sheetName val="gas customers"/>
    </sheetNames>
    <sheetDataSet>
      <sheetData sheetId="0">
        <row r="12">
          <cell r="D12">
            <v>129826663.37000002</v>
          </cell>
          <cell r="E12">
            <v>144869826.65000001</v>
          </cell>
          <cell r="F12">
            <v>161584110.94</v>
          </cell>
          <cell r="G12">
            <v>157506290.86999997</v>
          </cell>
          <cell r="H12">
            <v>134241516.97</v>
          </cell>
        </row>
        <row r="13">
          <cell r="D13">
            <v>15747936.09</v>
          </cell>
          <cell r="E13">
            <v>17214913.699999999</v>
          </cell>
          <cell r="F13">
            <v>18537372.689999998</v>
          </cell>
          <cell r="G13">
            <v>18324533.030000001</v>
          </cell>
          <cell r="H13">
            <v>17179778.549999997</v>
          </cell>
        </row>
        <row r="14">
          <cell r="D14">
            <v>1073091.24</v>
          </cell>
          <cell r="E14">
            <v>1217619.83</v>
          </cell>
          <cell r="F14">
            <v>1373536.77</v>
          </cell>
          <cell r="G14">
            <v>1170706.4200000002</v>
          </cell>
          <cell r="H14">
            <v>374690.67</v>
          </cell>
        </row>
        <row r="15">
          <cell r="D15">
            <v>783510</v>
          </cell>
          <cell r="E15">
            <v>799624</v>
          </cell>
          <cell r="F15">
            <v>-640539.44999999995</v>
          </cell>
          <cell r="G15">
            <v>706980</v>
          </cell>
          <cell r="H15">
            <v>1712399.35</v>
          </cell>
        </row>
        <row r="18">
          <cell r="D18">
            <v>61180230.949999996</v>
          </cell>
          <cell r="E18">
            <v>70880021.340000004</v>
          </cell>
          <cell r="F18">
            <v>89006235.689999998</v>
          </cell>
          <cell r="G18">
            <v>83688773.439999998</v>
          </cell>
          <cell r="H18">
            <v>59995688.329999998</v>
          </cell>
        </row>
        <row r="23">
          <cell r="D23">
            <v>14027820.779999999</v>
          </cell>
          <cell r="E23">
            <v>15137831.259999998</v>
          </cell>
          <cell r="F23">
            <v>16479777.559999999</v>
          </cell>
          <cell r="G23">
            <v>17901411.93</v>
          </cell>
          <cell r="H23">
            <v>14410753.669999998</v>
          </cell>
        </row>
        <row r="24">
          <cell r="D24">
            <v>490588.54000000004</v>
          </cell>
          <cell r="E24">
            <v>893212.49</v>
          </cell>
          <cell r="F24">
            <v>923543.87</v>
          </cell>
          <cell r="G24">
            <v>1079239.76</v>
          </cell>
          <cell r="H24">
            <v>1262456.22</v>
          </cell>
        </row>
        <row r="25">
          <cell r="D25">
            <v>12708206.439999999</v>
          </cell>
          <cell r="E25">
            <v>11828783.839999998</v>
          </cell>
          <cell r="F25">
            <v>12110085.370000001</v>
          </cell>
          <cell r="G25">
            <v>13264656.6</v>
          </cell>
          <cell r="H25">
            <v>13189254.380000003</v>
          </cell>
        </row>
        <row r="26">
          <cell r="D26">
            <v>19120630.43</v>
          </cell>
          <cell r="E26">
            <v>19379359.540000007</v>
          </cell>
          <cell r="F26">
            <v>20842245.660000004</v>
          </cell>
          <cell r="G26">
            <v>20421992.340000004</v>
          </cell>
          <cell r="H26">
            <v>20474841.170000002</v>
          </cell>
        </row>
        <row r="27">
          <cell r="D27">
            <v>5919120.1500000004</v>
          </cell>
          <cell r="E27">
            <v>6335917.8899999997</v>
          </cell>
          <cell r="F27">
            <v>6454875.0500000007</v>
          </cell>
          <cell r="G27">
            <v>8673092.6400000006</v>
          </cell>
          <cell r="H27">
            <v>9400840.9299999997</v>
          </cell>
        </row>
        <row r="33">
          <cell r="D33">
            <v>42014.340000000004</v>
          </cell>
          <cell r="E33">
            <v>32014.84</v>
          </cell>
          <cell r="F33">
            <v>-2492.7299999999987</v>
          </cell>
          <cell r="G33">
            <v>31290.35</v>
          </cell>
          <cell r="H33">
            <v>38990.18</v>
          </cell>
        </row>
        <row r="34">
          <cell r="D34">
            <v>2791577.28</v>
          </cell>
          <cell r="E34">
            <v>3246148.7600000002</v>
          </cell>
          <cell r="F34">
            <v>3241395.87</v>
          </cell>
          <cell r="G34">
            <v>3425349.51</v>
          </cell>
          <cell r="H34">
            <v>3358984.57</v>
          </cell>
        </row>
        <row r="35">
          <cell r="D35">
            <v>71948.31</v>
          </cell>
          <cell r="E35">
            <v>75077.42</v>
          </cell>
          <cell r="F35">
            <v>-53788.459999999992</v>
          </cell>
          <cell r="G35">
            <v>1211861.1299999997</v>
          </cell>
          <cell r="H35">
            <v>497428.37000000005</v>
          </cell>
        </row>
        <row r="38">
          <cell r="D38">
            <v>7078294.7199999997</v>
          </cell>
          <cell r="E38">
            <v>7817928.4000000004</v>
          </cell>
          <cell r="F38">
            <v>8696510.1200000029</v>
          </cell>
          <cell r="G38">
            <v>9148805.3500000015</v>
          </cell>
          <cell r="H38">
            <v>9224616.3200000003</v>
          </cell>
        </row>
        <row r="39">
          <cell r="D39">
            <v>299158.9200000001</v>
          </cell>
          <cell r="E39">
            <v>190665.08000000002</v>
          </cell>
          <cell r="F39">
            <v>-674836.49</v>
          </cell>
          <cell r="G39">
            <v>306745.56000000023</v>
          </cell>
          <cell r="H39">
            <v>141523.13</v>
          </cell>
        </row>
        <row r="40">
          <cell r="D40">
            <v>354798.07000000007</v>
          </cell>
          <cell r="E40">
            <v>360836.7099999999</v>
          </cell>
          <cell r="F40">
            <v>455435.57000000007</v>
          </cell>
          <cell r="G40">
            <v>476971.09999999992</v>
          </cell>
          <cell r="H40">
            <v>816713.87000000011</v>
          </cell>
        </row>
        <row r="41">
          <cell r="D41">
            <v>463390.97000000003</v>
          </cell>
          <cell r="E41">
            <v>478577.09</v>
          </cell>
          <cell r="F41">
            <v>373884.81</v>
          </cell>
          <cell r="G41">
            <v>-36887.099999999948</v>
          </cell>
          <cell r="H41">
            <v>374664.64999999991</v>
          </cell>
        </row>
        <row r="48">
          <cell r="D48">
            <v>9516433.3000000007</v>
          </cell>
          <cell r="E48">
            <v>9696755</v>
          </cell>
          <cell r="F48">
            <v>8860926.5299999993</v>
          </cell>
          <cell r="G48">
            <v>6288463</v>
          </cell>
          <cell r="H48">
            <v>3380333</v>
          </cell>
        </row>
      </sheetData>
      <sheetData sheetId="1"/>
      <sheetData sheetId="2"/>
      <sheetData sheetId="3">
        <row r="12">
          <cell r="D12">
            <v>83512504.330000013</v>
          </cell>
          <cell r="E12">
            <v>89663466.729999989</v>
          </cell>
          <cell r="F12">
            <v>104140252.17000002</v>
          </cell>
          <cell r="G12">
            <v>100284890.72999999</v>
          </cell>
          <cell r="H12">
            <v>86636818.810000002</v>
          </cell>
        </row>
        <row r="13">
          <cell r="D13">
            <v>2084327.4799999995</v>
          </cell>
          <cell r="E13">
            <v>4474954.879999999</v>
          </cell>
          <cell r="F13">
            <v>-1434781.2100000014</v>
          </cell>
          <cell r="G13">
            <v>-2755811.4299999992</v>
          </cell>
          <cell r="H13">
            <v>1384288.2799999991</v>
          </cell>
        </row>
        <row r="14">
          <cell r="D14">
            <v>34032004.469999999</v>
          </cell>
          <cell r="E14">
            <v>38222731.340000004</v>
          </cell>
          <cell r="F14">
            <v>44941378.350000001</v>
          </cell>
          <cell r="G14">
            <v>43100803.260000005</v>
          </cell>
          <cell r="H14">
            <v>35926641.920000002</v>
          </cell>
        </row>
        <row r="15">
          <cell r="D15">
            <v>4441439.42</v>
          </cell>
          <cell r="E15">
            <v>6400149.6800000006</v>
          </cell>
          <cell r="F15">
            <v>6556064.4399999995</v>
          </cell>
          <cell r="G15">
            <v>9909683.3900000006</v>
          </cell>
          <cell r="H15">
            <v>4916762.0599999996</v>
          </cell>
        </row>
        <row r="16">
          <cell r="D16">
            <v>5756387.6699999999</v>
          </cell>
          <cell r="E16">
            <v>6108524.0199999996</v>
          </cell>
          <cell r="F16">
            <v>7381197.1900000013</v>
          </cell>
          <cell r="G16">
            <v>6966724.9199999999</v>
          </cell>
          <cell r="H16">
            <v>5377005.9000000004</v>
          </cell>
        </row>
      </sheetData>
      <sheetData sheetId="4">
        <row r="12">
          <cell r="E12">
            <v>8859272.2200000007</v>
          </cell>
          <cell r="F12">
            <v>8360876.4699999997</v>
          </cell>
          <cell r="G12">
            <v>10702974.620000001</v>
          </cell>
          <cell r="H12">
            <v>9987269.1599999983</v>
          </cell>
          <cell r="I12">
            <v>9097361.1899999995</v>
          </cell>
        </row>
        <row r="13">
          <cell r="E13">
            <v>4436287.6000000006</v>
          </cell>
          <cell r="F13">
            <v>4415168.33</v>
          </cell>
          <cell r="G13">
            <v>5449652.0999999996</v>
          </cell>
          <cell r="H13">
            <v>5129771.59</v>
          </cell>
          <cell r="I13">
            <v>4677889.3999999994</v>
          </cell>
        </row>
        <row r="14">
          <cell r="E14">
            <v>1021717.6900000001</v>
          </cell>
          <cell r="F14">
            <v>1517001.09</v>
          </cell>
          <cell r="G14">
            <v>1202134.0099999998</v>
          </cell>
          <cell r="H14">
            <v>1997153.74</v>
          </cell>
          <cell r="I14">
            <v>1175061.74</v>
          </cell>
        </row>
        <row r="15">
          <cell r="E15">
            <v>896168.19</v>
          </cell>
          <cell r="F15">
            <v>824971.11999999988</v>
          </cell>
          <cell r="G15">
            <v>1021093.6199999999</v>
          </cell>
          <cell r="H15">
            <v>956097.75000000012</v>
          </cell>
          <cell r="I15">
            <v>838413.99000000011</v>
          </cell>
        </row>
      </sheetData>
      <sheetData sheetId="5">
        <row r="28">
          <cell r="J28">
            <v>156173.75</v>
          </cell>
          <cell r="K28">
            <v>156811.08333333334</v>
          </cell>
          <cell r="L28">
            <v>157629</v>
          </cell>
          <cell r="M28">
            <v>158010.5</v>
          </cell>
          <cell r="N28">
            <v>159524.5</v>
          </cell>
        </row>
        <row r="42">
          <cell r="J42">
            <v>17353.666666666668</v>
          </cell>
          <cell r="K42">
            <v>17431.833333333332</v>
          </cell>
          <cell r="L42">
            <v>17509.916666666668</v>
          </cell>
          <cell r="M42">
            <v>17719.166666666668</v>
          </cell>
          <cell r="N42">
            <v>18098.416666666668</v>
          </cell>
        </row>
        <row r="56">
          <cell r="J56">
            <v>205.83333333333334</v>
          </cell>
          <cell r="K56">
            <v>214.08333333333334</v>
          </cell>
          <cell r="L56">
            <v>212.58333333333334</v>
          </cell>
          <cell r="M56">
            <v>221.58333333333334</v>
          </cell>
          <cell r="N56">
            <v>224.08333333333334</v>
          </cell>
        </row>
        <row r="70">
          <cell r="J70">
            <v>1548.5833333333333</v>
          </cell>
          <cell r="K70">
            <v>1536.75</v>
          </cell>
          <cell r="L70">
            <v>1541.5833333333333</v>
          </cell>
          <cell r="M70">
            <v>1536.5833333333333</v>
          </cell>
          <cell r="N70">
            <v>1533.3333333333333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Cap Structure"/>
      <sheetName val="Consolidated Balance Detail"/>
      <sheetName val="LTD rate"/>
      <sheetName val="Oct16_$200MM TL"/>
      <sheetName val="Apr20_$200MM TL"/>
      <sheetName val="FRN_$1.1BN"/>
      <sheetName val="2250 LTDebt Premium"/>
      <sheetName val="2260 LTDebt Discount"/>
      <sheetName val="Acct 2241 Unamort Debt Exp"/>
      <sheetName val="Acct 1650 ST Prepayments"/>
      <sheetName val="Acct 1860 Prepayments LT"/>
      <sheetName val="Acct 2240 Real Estate Lease"/>
      <sheetName val="1810 Unamort Debt exp"/>
      <sheetName val="1890 Unamort Loss on Reacq Debt"/>
      <sheetName val="20102"/>
      <sheetName val="20104"/>
      <sheetName val="20105"/>
      <sheetName val="20107"/>
      <sheetName val="20108"/>
      <sheetName val="20109"/>
      <sheetName val="20111"/>
      <sheetName val="20112"/>
      <sheetName val="March-2021"/>
    </sheetNames>
    <sheetDataSet>
      <sheetData sheetId="0">
        <row r="11">
          <cell r="C11">
            <v>6828047900.1038456</v>
          </cell>
        </row>
      </sheetData>
      <sheetData sheetId="1">
        <row r="24">
          <cell r="N24">
            <v>2156811.2666666671</v>
          </cell>
          <cell r="O24">
            <v>3147701.9099999997</v>
          </cell>
        </row>
        <row r="26">
          <cell r="I26">
            <v>21556707.437275983</v>
          </cell>
        </row>
        <row r="28">
          <cell r="K28">
            <v>5.6591759488858039E-3</v>
          </cell>
        </row>
      </sheetData>
      <sheetData sheetId="2">
        <row r="11">
          <cell r="T11">
            <v>150000000</v>
          </cell>
          <cell r="U11">
            <v>6.7500000000000004E-2</v>
          </cell>
        </row>
        <row r="17">
          <cell r="T17">
            <v>10000000</v>
          </cell>
          <cell r="U17">
            <v>6.6699999999999995E-2</v>
          </cell>
        </row>
        <row r="19">
          <cell r="T19">
            <v>200000000</v>
          </cell>
          <cell r="U19">
            <v>5.9499999999999997E-2</v>
          </cell>
        </row>
        <row r="20">
          <cell r="T20">
            <v>600000000</v>
          </cell>
          <cell r="U20">
            <v>4.2999999999999997E-2</v>
          </cell>
        </row>
        <row r="21">
          <cell r="T21">
            <v>400000000</v>
          </cell>
          <cell r="U21">
            <v>5.5E-2</v>
          </cell>
        </row>
        <row r="23">
          <cell r="T23">
            <v>500000000</v>
          </cell>
          <cell r="U23">
            <v>4.1500000000000002E-2</v>
          </cell>
        </row>
        <row r="24">
          <cell r="T24">
            <v>750000000</v>
          </cell>
          <cell r="U24">
            <v>4.1250000000000002E-2</v>
          </cell>
        </row>
        <row r="25">
          <cell r="T25">
            <v>500000000</v>
          </cell>
          <cell r="U25">
            <v>0.03</v>
          </cell>
        </row>
        <row r="26">
          <cell r="T26">
            <v>450000000</v>
          </cell>
          <cell r="U26">
            <v>4.1250000000000002E-2</v>
          </cell>
        </row>
        <row r="27">
          <cell r="T27">
            <v>300000000</v>
          </cell>
          <cell r="U27">
            <v>2.6249999999999999E-2</v>
          </cell>
        </row>
        <row r="28">
          <cell r="T28">
            <v>500000000</v>
          </cell>
          <cell r="U28">
            <v>3.3750000000000002E-2</v>
          </cell>
        </row>
        <row r="29">
          <cell r="P29">
            <v>200000000</v>
          </cell>
          <cell r="Q29">
            <v>2.4250000000000001E-2</v>
          </cell>
          <cell r="T29">
            <v>184615384.61538461</v>
          </cell>
          <cell r="U29">
            <v>2.3195208333333335E-2</v>
          </cell>
        </row>
        <row r="30">
          <cell r="P30">
            <v>600000000</v>
          </cell>
          <cell r="T30">
            <v>276923076.92307693</v>
          </cell>
          <cell r="U30">
            <v>1.4999999999999999E-2</v>
          </cell>
        </row>
        <row r="67">
          <cell r="T67">
            <v>1754949.4361538463</v>
          </cell>
        </row>
        <row r="68">
          <cell r="T68">
            <v>38307526.602307692</v>
          </cell>
        </row>
        <row r="69">
          <cell r="V69">
            <v>10293599.423859153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"/>
    </sheetNames>
    <sheetDataSet>
      <sheetData sheetId="0">
        <row r="17">
          <cell r="I17">
            <v>128</v>
          </cell>
          <cell r="J17">
            <v>128</v>
          </cell>
          <cell r="K17">
            <v>128</v>
          </cell>
          <cell r="L17">
            <v>128</v>
          </cell>
          <cell r="M17">
            <v>128</v>
          </cell>
          <cell r="N17">
            <v>128</v>
          </cell>
          <cell r="O17">
            <v>128</v>
          </cell>
          <cell r="P17">
            <v>128</v>
          </cell>
          <cell r="Q17">
            <v>128</v>
          </cell>
          <cell r="R17">
            <v>128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636</v>
          </cell>
          <cell r="P18">
            <v>901</v>
          </cell>
          <cell r="Q18">
            <v>901</v>
          </cell>
          <cell r="R18">
            <v>901</v>
          </cell>
        </row>
        <row r="19">
          <cell r="I19">
            <v>14473</v>
          </cell>
          <cell r="J19">
            <v>14471</v>
          </cell>
          <cell r="K19">
            <v>13328</v>
          </cell>
          <cell r="L19">
            <v>13329</v>
          </cell>
          <cell r="M19">
            <v>12454</v>
          </cell>
          <cell r="N19">
            <v>11560</v>
          </cell>
          <cell r="O19">
            <v>10792</v>
          </cell>
          <cell r="P19">
            <v>9630</v>
          </cell>
          <cell r="Q19">
            <v>10104</v>
          </cell>
          <cell r="R19">
            <v>9388</v>
          </cell>
        </row>
        <row r="20">
          <cell r="I20">
            <v>33002</v>
          </cell>
          <cell r="J20">
            <v>32817</v>
          </cell>
          <cell r="K20">
            <v>31462</v>
          </cell>
          <cell r="L20">
            <v>31784</v>
          </cell>
          <cell r="M20">
            <v>31814</v>
          </cell>
          <cell r="N20">
            <v>31808</v>
          </cell>
          <cell r="O20">
            <v>31877</v>
          </cell>
          <cell r="P20">
            <v>32962</v>
          </cell>
          <cell r="Q20">
            <v>32836</v>
          </cell>
          <cell r="R20">
            <v>33144</v>
          </cell>
        </row>
        <row r="21">
          <cell r="I21">
            <v>708442</v>
          </cell>
          <cell r="J21">
            <v>666530</v>
          </cell>
          <cell r="K21">
            <v>573567</v>
          </cell>
          <cell r="L21">
            <v>517179</v>
          </cell>
          <cell r="M21">
            <v>472849</v>
          </cell>
          <cell r="N21">
            <v>413302</v>
          </cell>
          <cell r="O21">
            <v>381623</v>
          </cell>
          <cell r="P21">
            <v>340200</v>
          </cell>
          <cell r="Q21">
            <v>323036</v>
          </cell>
          <cell r="R21">
            <v>296493</v>
          </cell>
        </row>
        <row r="22">
          <cell r="I22">
            <v>24782</v>
          </cell>
          <cell r="J22">
            <v>23892</v>
          </cell>
          <cell r="K22">
            <v>22758</v>
          </cell>
          <cell r="L22">
            <v>21675</v>
          </cell>
          <cell r="M22">
            <v>21271</v>
          </cell>
          <cell r="N22">
            <v>18126</v>
          </cell>
          <cell r="O22">
            <v>16683</v>
          </cell>
          <cell r="P22">
            <v>15589</v>
          </cell>
          <cell r="Q22">
            <v>15238</v>
          </cell>
          <cell r="R22">
            <v>16000</v>
          </cell>
        </row>
        <row r="23">
          <cell r="I23">
            <v>3279</v>
          </cell>
          <cell r="J23">
            <v>3279</v>
          </cell>
          <cell r="K23">
            <v>3279</v>
          </cell>
          <cell r="L23">
            <v>3279</v>
          </cell>
          <cell r="M23">
            <v>3279</v>
          </cell>
          <cell r="N23">
            <v>3279</v>
          </cell>
          <cell r="O23">
            <v>3279</v>
          </cell>
          <cell r="P23">
            <v>3279</v>
          </cell>
          <cell r="Q23">
            <v>3279</v>
          </cell>
          <cell r="R23">
            <v>3279</v>
          </cell>
        </row>
        <row r="26">
          <cell r="I26">
            <v>178144</v>
          </cell>
          <cell r="J26">
            <v>176418</v>
          </cell>
          <cell r="K26">
            <v>178946</v>
          </cell>
          <cell r="L26">
            <v>175150</v>
          </cell>
          <cell r="M26">
            <v>167228</v>
          </cell>
          <cell r="N26">
            <v>165298</v>
          </cell>
          <cell r="O26">
            <v>160839</v>
          </cell>
          <cell r="P26">
            <v>158300</v>
          </cell>
          <cell r="Q26">
            <v>151849</v>
          </cell>
          <cell r="R26">
            <v>150795</v>
          </cell>
        </row>
        <row r="29">
          <cell r="I29">
            <v>6625</v>
          </cell>
          <cell r="J29">
            <v>6557</v>
          </cell>
          <cell r="K29">
            <v>42150</v>
          </cell>
          <cell r="L29">
            <v>32838</v>
          </cell>
          <cell r="M29">
            <v>10146.378000000001</v>
          </cell>
          <cell r="N29">
            <v>26310.035</v>
          </cell>
          <cell r="O29">
            <v>12708</v>
          </cell>
          <cell r="P29">
            <v>16578</v>
          </cell>
          <cell r="Q29">
            <v>6006</v>
          </cell>
          <cell r="R29">
            <v>3306</v>
          </cell>
        </row>
        <row r="40">
          <cell r="I40">
            <v>0</v>
          </cell>
          <cell r="J40">
            <v>464915</v>
          </cell>
          <cell r="K40">
            <v>575780</v>
          </cell>
          <cell r="L40">
            <v>447745</v>
          </cell>
          <cell r="M40">
            <v>829811</v>
          </cell>
          <cell r="N40">
            <v>457927</v>
          </cell>
          <cell r="O40">
            <v>196695</v>
          </cell>
          <cell r="P40">
            <v>367984</v>
          </cell>
          <cell r="Q40">
            <v>570929</v>
          </cell>
          <cell r="R40">
            <v>206396</v>
          </cell>
        </row>
        <row r="41">
          <cell r="I41">
            <v>4531944</v>
          </cell>
          <cell r="J41">
            <v>3529452</v>
          </cell>
          <cell r="K41">
            <v>3068665</v>
          </cell>
          <cell r="L41">
            <v>3067045</v>
          </cell>
          <cell r="M41">
            <v>2438779</v>
          </cell>
          <cell r="N41">
            <v>2437515</v>
          </cell>
          <cell r="O41">
            <v>2455986</v>
          </cell>
          <cell r="P41">
            <v>2455671</v>
          </cell>
          <cell r="Q41">
            <v>1956305</v>
          </cell>
          <cell r="R41">
            <v>2206117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I43">
            <v>6791203</v>
          </cell>
          <cell r="J43">
            <v>5750223</v>
          </cell>
          <cell r="K43">
            <v>4769951</v>
          </cell>
          <cell r="L43">
            <v>3898666</v>
          </cell>
          <cell r="M43">
            <v>3463059</v>
          </cell>
          <cell r="N43">
            <v>3194797</v>
          </cell>
          <cell r="O43">
            <v>3086232</v>
          </cell>
          <cell r="P43">
            <v>2580409</v>
          </cell>
          <cell r="Q43">
            <v>2359243</v>
          </cell>
          <cell r="R43">
            <v>2255421</v>
          </cell>
        </row>
        <row r="48">
          <cell r="I48">
            <v>153508</v>
          </cell>
          <cell r="J48">
            <v>177709</v>
          </cell>
          <cell r="K48">
            <v>180855</v>
          </cell>
          <cell r="L48">
            <v>164102</v>
          </cell>
          <cell r="M48">
            <v>147431</v>
          </cell>
          <cell r="N48">
            <v>170468</v>
          </cell>
          <cell r="O48">
            <v>196882</v>
          </cell>
          <cell r="P48">
            <v>162968</v>
          </cell>
          <cell r="Q48">
            <v>134778</v>
          </cell>
          <cell r="R48">
            <v>149662</v>
          </cell>
        </row>
        <row r="50">
          <cell r="I50">
            <v>118505</v>
          </cell>
          <cell r="J50">
            <v>144252</v>
          </cell>
          <cell r="K50">
            <v>145642</v>
          </cell>
          <cell r="L50">
            <v>124455</v>
          </cell>
          <cell r="M50">
            <v>113447</v>
          </cell>
          <cell r="N50">
            <v>141526</v>
          </cell>
          <cell r="O50">
            <v>166452</v>
          </cell>
          <cell r="P50">
            <v>139358</v>
          </cell>
          <cell r="Q50">
            <v>112027</v>
          </cell>
          <cell r="R50">
            <v>126219</v>
          </cell>
        </row>
        <row r="53">
          <cell r="I53">
            <v>3380</v>
          </cell>
          <cell r="J53">
            <v>6288</v>
          </cell>
          <cell r="K53">
            <v>8861</v>
          </cell>
          <cell r="L53">
            <v>9697</v>
          </cell>
          <cell r="M53">
            <v>9516</v>
          </cell>
          <cell r="N53">
            <v>9884</v>
          </cell>
          <cell r="O53">
            <v>9671</v>
          </cell>
          <cell r="P53">
            <v>7060</v>
          </cell>
          <cell r="Q53">
            <v>8157</v>
          </cell>
          <cell r="R53">
            <v>8094</v>
          </cell>
        </row>
        <row r="56">
          <cell r="I56">
            <v>614</v>
          </cell>
          <cell r="J56">
            <v>1513</v>
          </cell>
          <cell r="K56">
            <v>1239</v>
          </cell>
          <cell r="L56">
            <v>379</v>
          </cell>
          <cell r="M56">
            <v>175</v>
          </cell>
          <cell r="N56">
            <v>182</v>
          </cell>
          <cell r="O56">
            <v>139</v>
          </cell>
          <cell r="P56">
            <v>88</v>
          </cell>
          <cell r="Q56">
            <v>101</v>
          </cell>
          <cell r="R56">
            <v>22</v>
          </cell>
        </row>
        <row r="57">
          <cell r="I57">
            <v>1861</v>
          </cell>
          <cell r="J57">
            <v>2113</v>
          </cell>
          <cell r="K57">
            <v>943</v>
          </cell>
          <cell r="L57">
            <v>2135</v>
          </cell>
          <cell r="M57">
            <v>1912</v>
          </cell>
          <cell r="N57">
            <v>2063</v>
          </cell>
          <cell r="O57">
            <v>2019</v>
          </cell>
          <cell r="P57">
            <v>2033</v>
          </cell>
          <cell r="Q57">
            <v>2046</v>
          </cell>
          <cell r="R57">
            <v>2657</v>
          </cell>
        </row>
        <row r="59">
          <cell r="I59">
            <v>9366</v>
          </cell>
          <cell r="J59">
            <v>9456</v>
          </cell>
          <cell r="K59">
            <v>8022</v>
          </cell>
          <cell r="L59">
            <v>8009</v>
          </cell>
          <cell r="M59">
            <v>7377</v>
          </cell>
          <cell r="N59">
            <v>6698</v>
          </cell>
          <cell r="O59">
            <v>6347</v>
          </cell>
          <cell r="P59">
            <v>6524</v>
          </cell>
          <cell r="Q59">
            <v>5612</v>
          </cell>
          <cell r="R59">
            <v>5792</v>
          </cell>
        </row>
        <row r="71">
          <cell r="I71" t="str">
            <v>22.46% (4)</v>
          </cell>
          <cell r="J71">
            <v>8.0600000000000005E-2</v>
          </cell>
          <cell r="K71">
            <v>3.4000000000000002E-2</v>
          </cell>
          <cell r="L71">
            <v>1.6799999999999999E-2</v>
          </cell>
          <cell r="M71">
            <v>1.12E-2</v>
          </cell>
          <cell r="N71">
            <v>1.09E-2</v>
          </cell>
          <cell r="O71">
            <v>1.49E-2</v>
          </cell>
          <cell r="P71">
            <v>1.17E-2</v>
          </cell>
          <cell r="Q71">
            <v>1.2200000000000001E-2</v>
          </cell>
          <cell r="R71">
            <v>1.03E-2</v>
          </cell>
        </row>
        <row r="72">
          <cell r="I72">
            <v>4.2599999999999999E-2</v>
          </cell>
          <cell r="J72">
            <v>4.6899999999999997E-2</v>
          </cell>
          <cell r="K72">
            <v>5.1900000000000002E-2</v>
          </cell>
          <cell r="L72">
            <v>5.45E-2</v>
          </cell>
          <cell r="M72">
            <v>5.8900000000000001E-2</v>
          </cell>
          <cell r="N72">
            <v>5.8999999999999997E-2</v>
          </cell>
          <cell r="O72">
            <v>6.0299999999999999E-2</v>
          </cell>
          <cell r="P72">
            <v>6.2600000000000003E-2</v>
          </cell>
          <cell r="Q72">
            <v>6.5100000000000005E-2</v>
          </cell>
          <cell r="R72">
            <v>6.7500000000000004E-2</v>
          </cell>
        </row>
        <row r="73">
          <cell r="I73" t="str">
            <v>N/A</v>
          </cell>
          <cell r="J73" t="str">
            <v>N/A</v>
          </cell>
          <cell r="K73" t="str">
            <v>N/A</v>
          </cell>
          <cell r="L73" t="str">
            <v>N/A</v>
          </cell>
          <cell r="M73" t="str">
            <v>N/A</v>
          </cell>
          <cell r="N73" t="str">
            <v>N/A</v>
          </cell>
          <cell r="O73" t="str">
            <v>N/A</v>
          </cell>
          <cell r="P73" t="str">
            <v>N/A</v>
          </cell>
          <cell r="Q73" t="str">
            <v>N/A</v>
          </cell>
          <cell r="R73" t="str">
            <v>N/A</v>
          </cell>
        </row>
        <row r="76">
          <cell r="I76">
            <v>8.9</v>
          </cell>
          <cell r="J76">
            <v>6.98</v>
          </cell>
          <cell r="K76">
            <v>6.14</v>
          </cell>
          <cell r="L76">
            <v>5.85</v>
          </cell>
          <cell r="M76">
            <v>5.6</v>
          </cell>
          <cell r="N76">
            <v>5.15</v>
          </cell>
          <cell r="O76">
            <v>4.62</v>
          </cell>
          <cell r="P76">
            <v>3.86</v>
          </cell>
          <cell r="Q76">
            <v>3.01</v>
          </cell>
          <cell r="R76">
            <v>2.9660460457804634</v>
          </cell>
        </row>
        <row r="77">
          <cell r="I77">
            <v>9.84</v>
          </cell>
          <cell r="J77">
            <v>7.3</v>
          </cell>
          <cell r="K77">
            <v>6.73</v>
          </cell>
          <cell r="L77">
            <v>6.03</v>
          </cell>
          <cell r="M77">
            <v>5.72</v>
          </cell>
          <cell r="N77">
            <v>5.26</v>
          </cell>
          <cell r="O77">
            <v>4.6900000000000004</v>
          </cell>
          <cell r="P77">
            <v>3.91</v>
          </cell>
          <cell r="Q77">
            <v>3.06</v>
          </cell>
          <cell r="R77">
            <v>2.9527909831987955</v>
          </cell>
        </row>
        <row r="78">
          <cell r="I78">
            <v>7.34</v>
          </cell>
          <cell r="J78">
            <v>5.69</v>
          </cell>
          <cell r="K78">
            <v>6.07</v>
          </cell>
          <cell r="L78">
            <v>4.0599999999999996</v>
          </cell>
          <cell r="M78">
            <v>3.92</v>
          </cell>
          <cell r="N78">
            <v>3.56</v>
          </cell>
          <cell r="O78">
            <v>3.2</v>
          </cell>
          <cell r="P78">
            <v>2.86</v>
          </cell>
          <cell r="Q78">
            <v>2.3199999999999998</v>
          </cell>
          <cell r="R78">
            <v>2.2575233976506173</v>
          </cell>
        </row>
        <row r="79">
          <cell r="I79" t="str">
            <v>N/A</v>
          </cell>
          <cell r="J79" t="str">
            <v>N/A</v>
          </cell>
          <cell r="K79" t="str">
            <v>N/A</v>
          </cell>
          <cell r="L79">
            <v>5.45</v>
          </cell>
          <cell r="M79">
            <v>5.16</v>
          </cell>
          <cell r="N79">
            <v>4.7699999999999996</v>
          </cell>
          <cell r="O79">
            <v>4.1100000000000003</v>
          </cell>
          <cell r="P79">
            <v>3.63</v>
          </cell>
          <cell r="Q79">
            <v>2.84</v>
          </cell>
          <cell r="R79">
            <v>2.78</v>
          </cell>
        </row>
        <row r="80">
          <cell r="I80">
            <v>8.1199999999999992</v>
          </cell>
          <cell r="J80">
            <v>5.96</v>
          </cell>
          <cell r="K80">
            <v>6.65</v>
          </cell>
          <cell r="L80">
            <v>4.18</v>
          </cell>
          <cell r="M80">
            <v>4.01</v>
          </cell>
          <cell r="N80">
            <v>3.63</v>
          </cell>
          <cell r="O80">
            <v>3.24</v>
          </cell>
          <cell r="P80">
            <v>2.9</v>
          </cell>
          <cell r="Q80">
            <v>2.36</v>
          </cell>
          <cell r="R80">
            <v>2.244268335068949</v>
          </cell>
        </row>
        <row r="81">
          <cell r="I81" t="str">
            <v>N/A</v>
          </cell>
          <cell r="J81" t="str">
            <v>N/A</v>
          </cell>
          <cell r="K81" t="str">
            <v>N/A</v>
          </cell>
          <cell r="L81" t="str">
            <v>N/A</v>
          </cell>
          <cell r="M81" t="str">
            <v>N/A</v>
          </cell>
          <cell r="N81" t="str">
            <v>N/A</v>
          </cell>
          <cell r="O81" t="str">
            <v>N/A</v>
          </cell>
          <cell r="P81" t="str">
            <v>N/A</v>
          </cell>
          <cell r="Q81" t="str">
            <v>N/A</v>
          </cell>
          <cell r="R81" t="str">
            <v>N/A</v>
          </cell>
        </row>
        <row r="82">
          <cell r="I82" t="str">
            <v>N/A</v>
          </cell>
          <cell r="J82" t="str">
            <v>N/A</v>
          </cell>
          <cell r="K82" t="str">
            <v>N/A</v>
          </cell>
          <cell r="L82">
            <v>3.81</v>
          </cell>
          <cell r="M82">
            <v>3.64</v>
          </cell>
          <cell r="N82">
            <v>3.32</v>
          </cell>
          <cell r="O82">
            <v>3.02</v>
          </cell>
          <cell r="P82">
            <v>2.7</v>
          </cell>
          <cell r="Q82">
            <v>2.2116799519301451</v>
          </cell>
          <cell r="R82">
            <v>2.1340881930445068</v>
          </cell>
        </row>
        <row r="85">
          <cell r="I85" t="str">
            <v>A1</v>
          </cell>
          <cell r="J85" t="str">
            <v>A2</v>
          </cell>
          <cell r="K85" t="str">
            <v>A2</v>
          </cell>
          <cell r="L85" t="str">
            <v>A2</v>
          </cell>
          <cell r="M85" t="str">
            <v>A2</v>
          </cell>
          <cell r="N85" t="str">
            <v>A2</v>
          </cell>
          <cell r="O85" t="str">
            <v>A2</v>
          </cell>
          <cell r="P85" t="str">
            <v>Baa1</v>
          </cell>
          <cell r="Q85" t="str">
            <v>Baa1</v>
          </cell>
          <cell r="R85" t="str">
            <v>Baa1</v>
          </cell>
        </row>
        <row r="86">
          <cell r="I86" t="str">
            <v>A</v>
          </cell>
          <cell r="J86" t="str">
            <v>A</v>
          </cell>
          <cell r="K86" t="str">
            <v>A</v>
          </cell>
          <cell r="L86" t="str">
            <v>A</v>
          </cell>
          <cell r="M86" t="str">
            <v>A</v>
          </cell>
          <cell r="N86" t="str">
            <v>A-</v>
          </cell>
          <cell r="O86" t="str">
            <v>A-</v>
          </cell>
          <cell r="P86" t="str">
            <v>A-</v>
          </cell>
          <cell r="Q86" t="str">
            <v>BBB+</v>
          </cell>
          <cell r="R86" t="str">
            <v>BBB+</v>
          </cell>
        </row>
        <row r="87">
          <cell r="I87" t="str">
            <v>N/A</v>
          </cell>
          <cell r="J87" t="str">
            <v>N/A</v>
          </cell>
          <cell r="K87" t="str">
            <v>N/A</v>
          </cell>
          <cell r="L87" t="str">
            <v>N/A</v>
          </cell>
          <cell r="M87" t="str">
            <v>N/A</v>
          </cell>
          <cell r="N87" t="str">
            <v>N/A</v>
          </cell>
          <cell r="O87" t="str">
            <v>N/A</v>
          </cell>
          <cell r="P87" t="str">
            <v>N/A</v>
          </cell>
          <cell r="Q87" t="str">
            <v>N/A</v>
          </cell>
          <cell r="R87" t="str">
            <v>N/A</v>
          </cell>
        </row>
        <row r="88">
          <cell r="I88" t="str">
            <v>N/A</v>
          </cell>
          <cell r="J88" t="str">
            <v>N/A</v>
          </cell>
          <cell r="K88" t="str">
            <v>N/A</v>
          </cell>
          <cell r="L88" t="str">
            <v>N/A</v>
          </cell>
          <cell r="M88" t="str">
            <v>N/A</v>
          </cell>
          <cell r="N88" t="str">
            <v>N/A</v>
          </cell>
          <cell r="O88" t="str">
            <v>N/A</v>
          </cell>
          <cell r="P88" t="str">
            <v>N/A</v>
          </cell>
          <cell r="Q88" t="str">
            <v>N/A</v>
          </cell>
          <cell r="R88" t="str">
            <v>N/A</v>
          </cell>
        </row>
        <row r="91">
          <cell r="I91">
            <v>125882</v>
          </cell>
          <cell r="J91">
            <v>119339</v>
          </cell>
          <cell r="K91">
            <v>111274</v>
          </cell>
          <cell r="L91">
            <v>106105</v>
          </cell>
          <cell r="M91">
            <v>103931</v>
          </cell>
          <cell r="N91">
            <v>101479</v>
          </cell>
          <cell r="O91">
            <v>100388</v>
          </cell>
          <cell r="P91">
            <v>90640</v>
          </cell>
          <cell r="Q91">
            <v>90240</v>
          </cell>
          <cell r="R91">
            <v>90296</v>
          </cell>
        </row>
        <row r="93">
          <cell r="I93">
            <v>122872</v>
          </cell>
          <cell r="J93">
            <v>117461</v>
          </cell>
          <cell r="K93">
            <v>111012</v>
          </cell>
          <cell r="L93">
            <v>106100</v>
          </cell>
          <cell r="M93">
            <v>103524</v>
          </cell>
          <cell r="N93">
            <v>101892</v>
          </cell>
          <cell r="O93">
            <v>97608</v>
          </cell>
          <cell r="P93">
            <v>91711</v>
          </cell>
          <cell r="Q93">
            <v>91172</v>
          </cell>
          <cell r="R93">
            <v>90652</v>
          </cell>
        </row>
        <row r="94">
          <cell r="I94">
            <v>4.8899999999999997</v>
          </cell>
          <cell r="J94">
            <v>4.3499999999999996</v>
          </cell>
          <cell r="K94">
            <v>5.43</v>
          </cell>
          <cell r="L94">
            <v>3.73</v>
          </cell>
          <cell r="M94">
            <v>3.38</v>
          </cell>
          <cell r="N94">
            <v>3.09</v>
          </cell>
          <cell r="O94">
            <v>2.96</v>
          </cell>
          <cell r="P94">
            <v>2.64</v>
          </cell>
          <cell r="Q94">
            <v>2.37</v>
          </cell>
          <cell r="R94">
            <v>2.27</v>
          </cell>
        </row>
        <row r="95">
          <cell r="I95">
            <v>2.2999999999999998</v>
          </cell>
          <cell r="J95">
            <v>2.1</v>
          </cell>
          <cell r="K95">
            <v>1.94</v>
          </cell>
          <cell r="L95">
            <v>1.8</v>
          </cell>
          <cell r="M95">
            <v>1.68</v>
          </cell>
          <cell r="N95">
            <v>1.56</v>
          </cell>
          <cell r="O95">
            <v>1.48</v>
          </cell>
          <cell r="P95">
            <v>1.4</v>
          </cell>
          <cell r="Q95">
            <v>1.38</v>
          </cell>
          <cell r="R95">
            <v>1.36</v>
          </cell>
        </row>
        <row r="96">
          <cell r="I96">
            <v>2.2999999999999998</v>
          </cell>
          <cell r="J96">
            <v>2.1</v>
          </cell>
          <cell r="K96">
            <v>1.94</v>
          </cell>
          <cell r="L96">
            <v>1.8</v>
          </cell>
          <cell r="M96">
            <v>1.68</v>
          </cell>
          <cell r="N96">
            <v>1.56</v>
          </cell>
          <cell r="O96">
            <v>1.48</v>
          </cell>
          <cell r="P96">
            <v>1.4</v>
          </cell>
          <cell r="Q96">
            <v>1.38</v>
          </cell>
          <cell r="R96">
            <v>1.36</v>
          </cell>
        </row>
        <row r="100">
          <cell r="I100">
            <v>113.42</v>
          </cell>
          <cell r="J100">
            <v>99.5</v>
          </cell>
          <cell r="K100">
            <v>92.29</v>
          </cell>
          <cell r="L100">
            <v>74.73</v>
          </cell>
          <cell r="M100">
            <v>64.25</v>
          </cell>
          <cell r="N100">
            <v>58.08</v>
          </cell>
          <cell r="O100">
            <v>47.06</v>
          </cell>
          <cell r="P100">
            <v>36.86</v>
          </cell>
          <cell r="Q100">
            <v>35.4</v>
          </cell>
          <cell r="R100">
            <v>31.72</v>
          </cell>
        </row>
        <row r="101">
          <cell r="I101">
            <v>105.47</v>
          </cell>
          <cell r="J101">
            <v>89.33</v>
          </cell>
          <cell r="K101">
            <v>84.41</v>
          </cell>
          <cell r="L101">
            <v>68.959999999999994</v>
          </cell>
          <cell r="M101">
            <v>57.82</v>
          </cell>
          <cell r="N101">
            <v>47.35</v>
          </cell>
          <cell r="O101">
            <v>41.08</v>
          </cell>
          <cell r="P101">
            <v>33.200000000000003</v>
          </cell>
          <cell r="Q101">
            <v>30.97</v>
          </cell>
          <cell r="R101">
            <v>29.1</v>
          </cell>
        </row>
        <row r="102">
          <cell r="I102">
            <v>120.57</v>
          </cell>
          <cell r="J102">
            <v>103.72</v>
          </cell>
          <cell r="K102">
            <v>85.89</v>
          </cell>
          <cell r="L102">
            <v>80.400000000000006</v>
          </cell>
          <cell r="M102">
            <v>74.33</v>
          </cell>
          <cell r="N102">
            <v>58.81</v>
          </cell>
          <cell r="O102">
            <v>48.01</v>
          </cell>
          <cell r="P102">
            <v>42.69</v>
          </cell>
          <cell r="Q102">
            <v>33.15</v>
          </cell>
          <cell r="R102">
            <v>34.979999999999997</v>
          </cell>
        </row>
        <row r="103">
          <cell r="I103">
            <v>80.5</v>
          </cell>
          <cell r="J103">
            <v>89.85</v>
          </cell>
          <cell r="K103">
            <v>78.03</v>
          </cell>
          <cell r="L103">
            <v>73.209999999999994</v>
          </cell>
          <cell r="M103">
            <v>61.74</v>
          </cell>
          <cell r="N103">
            <v>52.02</v>
          </cell>
          <cell r="O103">
            <v>44.19</v>
          </cell>
          <cell r="P103">
            <v>35.11</v>
          </cell>
          <cell r="Q103">
            <v>30.6</v>
          </cell>
          <cell r="R103">
            <v>31.51</v>
          </cell>
        </row>
        <row r="104">
          <cell r="I104">
            <v>110.7</v>
          </cell>
          <cell r="J104">
            <v>107.93</v>
          </cell>
          <cell r="K104">
            <v>90.53</v>
          </cell>
          <cell r="L104">
            <v>85.54</v>
          </cell>
          <cell r="M104">
            <v>81.319999999999993</v>
          </cell>
          <cell r="N104">
            <v>56.41</v>
          </cell>
          <cell r="O104">
            <v>53.4</v>
          </cell>
          <cell r="P104">
            <v>44.87</v>
          </cell>
          <cell r="Q104">
            <v>35.07</v>
          </cell>
          <cell r="R104">
            <v>34.94</v>
          </cell>
        </row>
        <row r="105">
          <cell r="I105">
            <v>94.16</v>
          </cell>
          <cell r="J105">
            <v>99.07</v>
          </cell>
          <cell r="K105">
            <v>82.68</v>
          </cell>
          <cell r="L105">
            <v>78.900000000000006</v>
          </cell>
          <cell r="M105">
            <v>70.599999999999994</v>
          </cell>
          <cell r="N105">
            <v>51.28</v>
          </cell>
          <cell r="O105">
            <v>46.94</v>
          </cell>
          <cell r="P105">
            <v>38.590000000000003</v>
          </cell>
          <cell r="Q105">
            <v>30.91</v>
          </cell>
          <cell r="R105">
            <v>31.34</v>
          </cell>
        </row>
        <row r="106">
          <cell r="I106">
            <v>106.04</v>
          </cell>
          <cell r="J106">
            <v>114.65</v>
          </cell>
          <cell r="K106">
            <v>94.77</v>
          </cell>
          <cell r="L106">
            <v>88.69</v>
          </cell>
          <cell r="M106">
            <v>81.16</v>
          </cell>
          <cell r="N106">
            <v>58.18</v>
          </cell>
          <cell r="O106">
            <v>52.68</v>
          </cell>
          <cell r="P106">
            <v>45.19</v>
          </cell>
          <cell r="Q106">
            <v>36.94</v>
          </cell>
          <cell r="R106">
            <v>34.32</v>
          </cell>
        </row>
        <row r="107">
          <cell r="I107">
            <v>92</v>
          </cell>
          <cell r="J107">
            <v>105.27</v>
          </cell>
          <cell r="K107">
            <v>89.81</v>
          </cell>
          <cell r="L107">
            <v>82.42</v>
          </cell>
          <cell r="M107">
            <v>71.88</v>
          </cell>
          <cell r="N107">
            <v>51.48</v>
          </cell>
          <cell r="O107">
            <v>47.01</v>
          </cell>
          <cell r="P107">
            <v>39.4</v>
          </cell>
          <cell r="Q107">
            <v>34.94</v>
          </cell>
          <cell r="R107">
            <v>28.87</v>
          </cell>
        </row>
        <row r="108">
          <cell r="I108">
            <v>55.270549840484406</v>
          </cell>
          <cell r="J108">
            <v>48.954316751943196</v>
          </cell>
          <cell r="K108">
            <v>42.967886354628327</v>
          </cell>
          <cell r="L108">
            <v>36.745202639019794</v>
          </cell>
          <cell r="M108">
            <v>33.450000000000003</v>
          </cell>
          <cell r="N108">
            <v>31.35</v>
          </cell>
          <cell r="O108">
            <v>31.62</v>
          </cell>
          <cell r="P108">
            <v>28.14</v>
          </cell>
          <cell r="Q108">
            <v>25.876837186855614</v>
          </cell>
          <cell r="R108">
            <v>24.879991616290869</v>
          </cell>
        </row>
        <row r="113">
          <cell r="I113">
            <v>9.5913016589979486E-2</v>
          </cell>
          <cell r="J113">
            <v>9.7223867209800904E-2</v>
          </cell>
          <cell r="K113">
            <v>0.13913730413974917</v>
          </cell>
          <cell r="L113">
            <v>0.108</v>
          </cell>
          <cell r="M113">
            <v>0.105</v>
          </cell>
          <cell r="N113">
            <v>0.1</v>
          </cell>
          <cell r="O113">
            <v>0.10199999999999999</v>
          </cell>
          <cell r="P113">
            <v>9.8000000000000004E-2</v>
          </cell>
          <cell r="Q113">
            <v>8.3297938918196424E-2</v>
          </cell>
          <cell r="R113">
            <v>8.5520016942695926E-2</v>
          </cell>
        </row>
        <row r="114">
          <cell r="I114">
            <v>5.7096118107037318E-2</v>
          </cell>
          <cell r="J114">
            <v>5.6325391737181804E-2</v>
          </cell>
          <cell r="K114">
            <v>7.6202885900120879E-2</v>
          </cell>
          <cell r="L114">
            <v>5.6000000000000001E-2</v>
          </cell>
          <cell r="M114">
            <v>5.5E-2</v>
          </cell>
          <cell r="N114">
            <v>5.1999999999999998E-2</v>
          </cell>
          <cell r="O114">
            <v>5.1999999999999998E-2</v>
          </cell>
          <cell r="P114">
            <v>4.8000000000000001E-2</v>
          </cell>
          <cell r="Q114">
            <v>4.0231888705646007E-2</v>
          </cell>
          <cell r="R114">
            <v>4.3176826787451009E-2</v>
          </cell>
        </row>
        <row r="115">
          <cell r="I115">
            <v>4.7841754545278101E-2</v>
          </cell>
          <cell r="J115">
            <v>4.6158242389846102E-2</v>
          </cell>
          <cell r="K115">
            <v>6.1442067527243176E-2</v>
          </cell>
          <cell r="L115">
            <v>4.4999999999999998E-2</v>
          </cell>
          <cell r="M115">
            <v>4.4999999999999998E-2</v>
          </cell>
          <cell r="N115">
            <v>4.4999999999999998E-2</v>
          </cell>
          <cell r="O115">
            <v>4.4999999999999998E-2</v>
          </cell>
          <cell r="P115">
            <v>4.2999999999999997E-2</v>
          </cell>
          <cell r="Q115">
            <v>3.618310387082551E-2</v>
          </cell>
          <cell r="R115">
            <v>3.8142668443685655E-2</v>
          </cell>
        </row>
        <row r="119">
          <cell r="I119">
            <v>9388.74</v>
          </cell>
          <cell r="J119">
            <v>9886.8850000000002</v>
          </cell>
          <cell r="K119">
            <v>10416.026</v>
          </cell>
          <cell r="L119">
            <v>8723.7250000000004</v>
          </cell>
          <cell r="M119">
            <v>9093.8050000000003</v>
          </cell>
          <cell r="N119">
            <v>9826</v>
          </cell>
          <cell r="O119">
            <v>11729</v>
          </cell>
          <cell r="P119">
            <v>10695</v>
          </cell>
          <cell r="Q119">
            <v>8433</v>
          </cell>
          <cell r="R119">
            <v>10187</v>
          </cell>
        </row>
        <row r="120">
          <cell r="I120">
            <v>4747.9250000000002</v>
          </cell>
          <cell r="J120">
            <v>5104.8639999999996</v>
          </cell>
          <cell r="K120">
            <v>5346.1440000000002</v>
          </cell>
          <cell r="L120">
            <v>4575.0360000000001</v>
          </cell>
          <cell r="M120">
            <v>4537.6940000000004</v>
          </cell>
          <cell r="N120">
            <v>4845</v>
          </cell>
          <cell r="O120">
            <v>5650</v>
          </cell>
          <cell r="P120">
            <v>5143</v>
          </cell>
          <cell r="Q120">
            <v>3972</v>
          </cell>
          <cell r="R120">
            <v>4642</v>
          </cell>
        </row>
        <row r="121">
          <cell r="I121">
            <v>1139.357</v>
          </cell>
          <cell r="J121">
            <v>1918.8630000000001</v>
          </cell>
          <cell r="K121">
            <v>1286.2380000000001</v>
          </cell>
          <cell r="L121">
            <v>1516.7629999999999</v>
          </cell>
          <cell r="M121">
            <v>1047.8109999999999</v>
          </cell>
          <cell r="N121">
            <v>693</v>
          </cell>
          <cell r="O121">
            <v>810</v>
          </cell>
          <cell r="P121">
            <v>811</v>
          </cell>
          <cell r="Q121">
            <v>995</v>
          </cell>
          <cell r="R121">
            <v>821</v>
          </cell>
        </row>
        <row r="122">
          <cell r="I122">
            <v>858.57600000000002</v>
          </cell>
          <cell r="J122">
            <v>945.27599999999995</v>
          </cell>
          <cell r="K122">
            <v>994.47199999999998</v>
          </cell>
          <cell r="L122">
            <v>858.65499999999997</v>
          </cell>
          <cell r="M122">
            <v>916.029</v>
          </cell>
          <cell r="N122">
            <v>1025</v>
          </cell>
          <cell r="O122">
            <v>1234</v>
          </cell>
          <cell r="P122">
            <v>1179</v>
          </cell>
          <cell r="Q122">
            <v>980</v>
          </cell>
          <cell r="R122">
            <v>1111</v>
          </cell>
        </row>
        <row r="130">
          <cell r="I130">
            <v>16662</v>
          </cell>
          <cell r="J130">
            <v>18711</v>
          </cell>
          <cell r="K130">
            <v>19087</v>
          </cell>
          <cell r="L130">
            <v>16060</v>
          </cell>
          <cell r="M130">
            <v>15417</v>
          </cell>
          <cell r="N130">
            <v>18606</v>
          </cell>
          <cell r="O130">
            <v>21324</v>
          </cell>
          <cell r="P130">
            <v>18367</v>
          </cell>
          <cell r="Q130">
            <v>17441</v>
          </cell>
          <cell r="R130">
            <v>16748</v>
          </cell>
        </row>
        <row r="132">
          <cell r="I132">
            <v>2.47E-2</v>
          </cell>
          <cell r="J132">
            <v>2.6100000000000002E-2</v>
          </cell>
          <cell r="K132">
            <v>3.0700000000000002E-2</v>
          </cell>
          <cell r="L132">
            <v>3.1199999999999999E-2</v>
          </cell>
          <cell r="M132">
            <v>3.3300000000000003E-2</v>
          </cell>
          <cell r="N132">
            <v>3.6578607167145429E-2</v>
          </cell>
          <cell r="O132">
            <v>3.5000000000000003E-2</v>
          </cell>
          <cell r="P132">
            <v>3.3099999999999997E-2</v>
          </cell>
          <cell r="Q132">
            <v>3.49E-2</v>
          </cell>
          <cell r="R132">
            <v>3.5799999999999998E-2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ss Plant"/>
      <sheetName val="Reserve"/>
      <sheetName val="Net Plant"/>
      <sheetName val="Capital Spending"/>
    </sheetNames>
    <sheetDataSet>
      <sheetData sheetId="0">
        <row r="7">
          <cell r="C7">
            <v>6312288.2092535179</v>
          </cell>
          <cell r="D7">
            <v>10693274.910112919</v>
          </cell>
          <cell r="Q7">
            <v>7841340.0624209978</v>
          </cell>
          <cell r="AF7">
            <v>13031590.317659751</v>
          </cell>
        </row>
        <row r="8">
          <cell r="C8">
            <v>9187141.9700000007</v>
          </cell>
          <cell r="D8">
            <v>9187141.9700000007</v>
          </cell>
          <cell r="Q8">
            <v>9187141.9700000007</v>
          </cell>
          <cell r="AF8">
            <v>9187141.9700000007</v>
          </cell>
        </row>
        <row r="9">
          <cell r="C9">
            <v>9868212.7130769268</v>
          </cell>
          <cell r="D9">
            <v>9873726.9300000034</v>
          </cell>
          <cell r="Q9">
            <v>9873726.9299999997</v>
          </cell>
          <cell r="AF9">
            <v>9873726.9299999997</v>
          </cell>
        </row>
        <row r="10">
          <cell r="C10">
            <v>2116.0800000000008</v>
          </cell>
          <cell r="D10">
            <v>2116.0800000000008</v>
          </cell>
          <cell r="Q10">
            <v>2116.08</v>
          </cell>
          <cell r="AF10">
            <v>2116.08</v>
          </cell>
        </row>
        <row r="11">
          <cell r="C11">
            <v>31824.46999999999</v>
          </cell>
          <cell r="D11">
            <v>31824.46999999999</v>
          </cell>
          <cell r="Q11">
            <v>31824.47</v>
          </cell>
          <cell r="AF11">
            <v>31824.47</v>
          </cell>
        </row>
        <row r="12">
          <cell r="C12">
            <v>6115922.1316354116</v>
          </cell>
          <cell r="D12">
            <v>7100962.3026373964</v>
          </cell>
          <cell r="Q12">
            <v>6477289.9806964314</v>
          </cell>
          <cell r="AF12">
            <v>7612314.306641032</v>
          </cell>
        </row>
        <row r="13">
          <cell r="C13">
            <v>0</v>
          </cell>
          <cell r="D13">
            <v>0</v>
          </cell>
          <cell r="Q13">
            <v>0</v>
          </cell>
          <cell r="AF13">
            <v>0</v>
          </cell>
        </row>
        <row r="14">
          <cell r="C14">
            <v>0</v>
          </cell>
          <cell r="D14">
            <v>0</v>
          </cell>
          <cell r="Q14">
            <v>0</v>
          </cell>
          <cell r="AF14">
            <v>0</v>
          </cell>
        </row>
        <row r="15">
          <cell r="C15">
            <v>71036.469999999987</v>
          </cell>
          <cell r="D15">
            <v>71036.469999999987</v>
          </cell>
          <cell r="Q15">
            <v>71036.47</v>
          </cell>
          <cell r="AF15">
            <v>71036.47</v>
          </cell>
        </row>
        <row r="16">
          <cell r="C16">
            <v>263337.89000000007</v>
          </cell>
          <cell r="D16">
            <v>263337.89000000007</v>
          </cell>
          <cell r="Q16">
            <v>263337.89</v>
          </cell>
          <cell r="AF16">
            <v>263337.89</v>
          </cell>
        </row>
        <row r="17">
          <cell r="C17">
            <v>315693.22134086373</v>
          </cell>
          <cell r="D17">
            <v>325977.58351206628</v>
          </cell>
          <cell r="Q17">
            <v>319639.12136500108</v>
          </cell>
          <cell r="AF17">
            <v>331174.51979924343</v>
          </cell>
        </row>
        <row r="18">
          <cell r="C18">
            <v>0</v>
          </cell>
          <cell r="D18">
            <v>0</v>
          </cell>
          <cell r="Q18">
            <v>0</v>
          </cell>
          <cell r="AF18">
            <v>0</v>
          </cell>
        </row>
        <row r="19">
          <cell r="C19">
            <v>76071.339999999982</v>
          </cell>
          <cell r="D19">
            <v>76071.339999999982</v>
          </cell>
          <cell r="Q19">
            <v>76071.34</v>
          </cell>
          <cell r="AF19">
            <v>76071.34</v>
          </cell>
        </row>
        <row r="20">
          <cell r="C20">
            <v>0</v>
          </cell>
          <cell r="D20">
            <v>0</v>
          </cell>
          <cell r="Q20">
            <v>0</v>
          </cell>
          <cell r="AF20">
            <v>0</v>
          </cell>
        </row>
        <row r="21">
          <cell r="C21">
            <v>0</v>
          </cell>
          <cell r="D21">
            <v>0</v>
          </cell>
          <cell r="Q21">
            <v>0</v>
          </cell>
          <cell r="AF21">
            <v>0</v>
          </cell>
        </row>
        <row r="22">
          <cell r="C22">
            <v>386230.97944670415</v>
          </cell>
          <cell r="D22">
            <v>400192.75507852877</v>
          </cell>
          <cell r="Q22">
            <v>391906.18642114871</v>
          </cell>
          <cell r="AF22">
            <v>406986.95347437501</v>
          </cell>
        </row>
        <row r="23">
          <cell r="C23">
            <v>8824.3399999999983</v>
          </cell>
          <cell r="D23">
            <v>8824.3399999999983</v>
          </cell>
          <cell r="Q23">
            <v>8824.34</v>
          </cell>
          <cell r="AF23">
            <v>8824.34</v>
          </cell>
        </row>
        <row r="24">
          <cell r="C24">
            <v>136509.51999999999</v>
          </cell>
          <cell r="D24">
            <v>136509.51999999999</v>
          </cell>
          <cell r="Q24">
            <v>136509.51999999999</v>
          </cell>
          <cell r="AF24">
            <v>136509.51999999999</v>
          </cell>
        </row>
        <row r="25">
          <cell r="C25">
            <v>7388.39</v>
          </cell>
          <cell r="D25">
            <v>7388.39</v>
          </cell>
          <cell r="Q25">
            <v>7388.39</v>
          </cell>
          <cell r="AF25">
            <v>7388.39</v>
          </cell>
        </row>
        <row r="26">
          <cell r="C26">
            <v>0</v>
          </cell>
          <cell r="D26">
            <v>0</v>
          </cell>
          <cell r="Q26">
            <v>0</v>
          </cell>
          <cell r="AF26">
            <v>0</v>
          </cell>
        </row>
        <row r="27">
          <cell r="C27">
            <v>27914291.802981719</v>
          </cell>
          <cell r="D27">
            <v>45700408.94908046</v>
          </cell>
          <cell r="Q27">
            <v>34545850.866917543</v>
          </cell>
          <cell r="AF27">
            <v>54846085.979187392</v>
          </cell>
        </row>
        <row r="28">
          <cell r="C28">
            <v>7739524.6613385035</v>
          </cell>
          <cell r="D28">
            <v>8188351.2452536887</v>
          </cell>
          <cell r="Q28">
            <v>7837679.81226971</v>
          </cell>
          <cell r="AF28">
            <v>8475868.4777727202</v>
          </cell>
        </row>
        <row r="29">
          <cell r="C29">
            <v>3812947.0656002737</v>
          </cell>
          <cell r="D29">
            <v>3869910.3540864806</v>
          </cell>
          <cell r="Q29">
            <v>3834802.7176738707</v>
          </cell>
          <cell r="AF29">
            <v>3898695.2778418721</v>
          </cell>
        </row>
        <row r="30">
          <cell r="C30">
            <v>0</v>
          </cell>
          <cell r="D30">
            <v>0</v>
          </cell>
          <cell r="Q30">
            <v>0</v>
          </cell>
          <cell r="AF30">
            <v>0</v>
          </cell>
        </row>
        <row r="31">
          <cell r="C31">
            <v>0</v>
          </cell>
          <cell r="D31">
            <v>0</v>
          </cell>
          <cell r="Q31">
            <v>0</v>
          </cell>
          <cell r="AF31">
            <v>0</v>
          </cell>
        </row>
        <row r="32">
          <cell r="C32">
            <v>3039546.8994305944</v>
          </cell>
          <cell r="D32">
            <v>5156128.7535976414</v>
          </cell>
          <cell r="Q32">
            <v>3814702.3171132891</v>
          </cell>
          <cell r="AF32">
            <v>6255970.8860574756</v>
          </cell>
        </row>
        <row r="33">
          <cell r="C33">
            <v>1182201.3799999994</v>
          </cell>
          <cell r="D33">
            <v>1182201.3799999994</v>
          </cell>
          <cell r="Q33">
            <v>1182201.3799999999</v>
          </cell>
          <cell r="AF33">
            <v>1182201.3799999999</v>
          </cell>
        </row>
        <row r="34">
          <cell r="C34">
            <v>85673034.759044513</v>
          </cell>
          <cell r="D34">
            <v>101939114.22763841</v>
          </cell>
          <cell r="Q34">
            <v>91725060.514534011</v>
          </cell>
          <cell r="AF34">
            <v>110313667.10011797</v>
          </cell>
        </row>
        <row r="35">
          <cell r="C35">
            <v>5514.2169230769223</v>
          </cell>
          <cell r="D35">
            <v>0</v>
          </cell>
          <cell r="Q35">
            <v>0</v>
          </cell>
          <cell r="AF35">
            <v>0</v>
          </cell>
        </row>
        <row r="36">
          <cell r="C36">
            <v>1370171.6381158042</v>
          </cell>
          <cell r="D36">
            <v>2089375.8612933806</v>
          </cell>
          <cell r="Q36">
            <v>1633844.2676205935</v>
          </cell>
          <cell r="AF36">
            <v>2462868.4552674289</v>
          </cell>
        </row>
        <row r="37">
          <cell r="C37">
            <v>5698666.9478630405</v>
          </cell>
          <cell r="D37">
            <v>10014221.798251178</v>
          </cell>
          <cell r="Q37">
            <v>7280786.1590518532</v>
          </cell>
          <cell r="AF37">
            <v>12255379.121971305</v>
          </cell>
        </row>
        <row r="38">
          <cell r="C38">
            <v>199987.15019597823</v>
          </cell>
          <cell r="D38">
            <v>658562.38575463369</v>
          </cell>
          <cell r="Q38">
            <v>376000.76504480396</v>
          </cell>
          <cell r="AF38">
            <v>890236.04822343751</v>
          </cell>
        </row>
        <row r="39">
          <cell r="C39">
            <v>0</v>
          </cell>
          <cell r="D39">
            <v>0</v>
          </cell>
          <cell r="Q39">
            <v>0</v>
          </cell>
          <cell r="AF39">
            <v>0</v>
          </cell>
        </row>
        <row r="40">
          <cell r="C40">
            <v>331824.96461538452</v>
          </cell>
          <cell r="D40">
            <v>333278.75999999989</v>
          </cell>
          <cell r="Q40">
            <v>333278.76</v>
          </cell>
          <cell r="AF40">
            <v>333278.76</v>
          </cell>
        </row>
        <row r="41">
          <cell r="C41">
            <v>25221034.38041592</v>
          </cell>
          <cell r="D41">
            <v>31516843.544329364</v>
          </cell>
          <cell r="Q41">
            <v>27590578.657617185</v>
          </cell>
          <cell r="AF41">
            <v>34736007.434464946</v>
          </cell>
        </row>
        <row r="42">
          <cell r="C42">
            <v>297266.60999999993</v>
          </cell>
          <cell r="D42">
            <v>297266.60999999993</v>
          </cell>
          <cell r="Q42">
            <v>297266.61</v>
          </cell>
          <cell r="AF42">
            <v>297266.61</v>
          </cell>
        </row>
        <row r="43">
          <cell r="C43">
            <v>783916.61</v>
          </cell>
          <cell r="D43">
            <v>783916.61</v>
          </cell>
          <cell r="Q43">
            <v>783916.61</v>
          </cell>
          <cell r="AF43">
            <v>783916.61</v>
          </cell>
        </row>
        <row r="44">
          <cell r="C44">
            <v>20268360.731602356</v>
          </cell>
          <cell r="D44">
            <v>21501470.062287454</v>
          </cell>
          <cell r="Q44">
            <v>20720277.031978484</v>
          </cell>
          <cell r="AF44">
            <v>22141974.069774859</v>
          </cell>
        </row>
        <row r="50">
          <cell r="C50">
            <v>2874239.86</v>
          </cell>
          <cell r="D50">
            <v>2874239.86</v>
          </cell>
          <cell r="Q50">
            <v>2874239.86</v>
          </cell>
          <cell r="AF50">
            <v>2874239.86</v>
          </cell>
        </row>
        <row r="51">
          <cell r="C51">
            <v>1886442.9200000006</v>
          </cell>
          <cell r="D51">
            <v>1886442.9200000006</v>
          </cell>
          <cell r="Q51">
            <v>1886442.92</v>
          </cell>
          <cell r="AF51">
            <v>1886442.92</v>
          </cell>
        </row>
        <row r="52">
          <cell r="C52">
            <v>13223022.926730799</v>
          </cell>
          <cell r="D52">
            <v>13290384.895116856</v>
          </cell>
          <cell r="Q52">
            <v>13238061.850676714</v>
          </cell>
          <cell r="AF52">
            <v>13325625.312547309</v>
          </cell>
        </row>
        <row r="53">
          <cell r="C53">
            <v>2820613.55</v>
          </cell>
          <cell r="D53">
            <v>2820613.55</v>
          </cell>
          <cell r="Q53">
            <v>2820613.55</v>
          </cell>
          <cell r="AF53">
            <v>2820613.55</v>
          </cell>
        </row>
        <row r="54">
          <cell r="C54">
            <v>12562619.01</v>
          </cell>
          <cell r="D54">
            <v>12562619.01</v>
          </cell>
          <cell r="Q54">
            <v>12562619.01</v>
          </cell>
          <cell r="AF54">
            <v>12562619.01</v>
          </cell>
        </row>
        <row r="55">
          <cell r="C55">
            <v>2640949.9600000004</v>
          </cell>
          <cell r="D55">
            <v>2640949.9600000004</v>
          </cell>
          <cell r="Q55">
            <v>2640949.96</v>
          </cell>
          <cell r="AF55">
            <v>2640949.96</v>
          </cell>
        </row>
        <row r="56">
          <cell r="C56">
            <v>0</v>
          </cell>
          <cell r="D56">
            <v>0</v>
          </cell>
          <cell r="Q56">
            <v>0</v>
          </cell>
          <cell r="AF56">
            <v>0</v>
          </cell>
        </row>
        <row r="57">
          <cell r="C57">
            <v>0</v>
          </cell>
          <cell r="D57">
            <v>0</v>
          </cell>
          <cell r="Q57">
            <v>0</v>
          </cell>
          <cell r="AF57">
            <v>0</v>
          </cell>
        </row>
        <row r="58">
          <cell r="C58">
            <v>0</v>
          </cell>
          <cell r="D58">
            <v>0</v>
          </cell>
          <cell r="Q58">
            <v>0</v>
          </cell>
          <cell r="AF58">
            <v>0</v>
          </cell>
        </row>
        <row r="59">
          <cell r="C59">
            <v>534049.42999999993</v>
          </cell>
          <cell r="D59">
            <v>534049.42999999993</v>
          </cell>
          <cell r="Q59">
            <v>534049.43000000005</v>
          </cell>
          <cell r="AF59">
            <v>534049.43000000005</v>
          </cell>
        </row>
        <row r="60">
          <cell r="C60">
            <v>96290.219999999987</v>
          </cell>
          <cell r="D60">
            <v>96290.219999999987</v>
          </cell>
          <cell r="Q60">
            <v>96290.22</v>
          </cell>
          <cell r="AF60">
            <v>96290.22</v>
          </cell>
        </row>
        <row r="61">
          <cell r="C61">
            <v>595549.01999999979</v>
          </cell>
          <cell r="D61">
            <v>595549.01999999979</v>
          </cell>
          <cell r="Q61">
            <v>595549.02</v>
          </cell>
          <cell r="AF61">
            <v>595549.02</v>
          </cell>
        </row>
        <row r="62">
          <cell r="C62">
            <v>23632.070000000003</v>
          </cell>
          <cell r="D62">
            <v>23632.070000000003</v>
          </cell>
          <cell r="Q62">
            <v>23632.07</v>
          </cell>
          <cell r="AF62">
            <v>23632.07</v>
          </cell>
        </row>
        <row r="63">
          <cell r="C63">
            <v>1913117.1099999996</v>
          </cell>
          <cell r="D63">
            <v>1913117.1099999996</v>
          </cell>
          <cell r="Q63">
            <v>1913117.11</v>
          </cell>
          <cell r="AF63">
            <v>1913117.11</v>
          </cell>
        </row>
        <row r="64">
          <cell r="C64">
            <v>327905.48000000004</v>
          </cell>
          <cell r="D64">
            <v>327905.48000000004</v>
          </cell>
          <cell r="Q64">
            <v>327905.48</v>
          </cell>
          <cell r="AF64">
            <v>327905.48</v>
          </cell>
        </row>
        <row r="65">
          <cell r="C65">
            <v>71376.73</v>
          </cell>
          <cell r="D65">
            <v>71376.73</v>
          </cell>
          <cell r="Q65">
            <v>71376.73</v>
          </cell>
          <cell r="AF65">
            <v>71376.73</v>
          </cell>
        </row>
        <row r="66">
          <cell r="C66">
            <v>545395.62</v>
          </cell>
          <cell r="D66">
            <v>545395.62</v>
          </cell>
          <cell r="Q66">
            <v>545395.62</v>
          </cell>
          <cell r="AF66">
            <v>545395.62</v>
          </cell>
        </row>
        <row r="67">
          <cell r="C67">
            <v>0</v>
          </cell>
          <cell r="D67">
            <v>0</v>
          </cell>
          <cell r="Q67">
            <v>0</v>
          </cell>
          <cell r="AF67">
            <v>0</v>
          </cell>
        </row>
        <row r="68">
          <cell r="C68">
            <v>9947992.6486887503</v>
          </cell>
          <cell r="D68">
            <v>10170923.932946468</v>
          </cell>
          <cell r="Q68">
            <v>10026915.400844557</v>
          </cell>
          <cell r="AF68">
            <v>10267916.010512277</v>
          </cell>
        </row>
        <row r="69">
          <cell r="C69">
            <v>2208691.4400000004</v>
          </cell>
          <cell r="D69">
            <v>2208691.4400000004</v>
          </cell>
          <cell r="Q69">
            <v>2208691.44</v>
          </cell>
          <cell r="AF69">
            <v>2208691.44</v>
          </cell>
        </row>
        <row r="70">
          <cell r="C70">
            <v>338087.79</v>
          </cell>
          <cell r="D70">
            <v>338087.79</v>
          </cell>
          <cell r="Q70">
            <v>338087.79</v>
          </cell>
          <cell r="AF70">
            <v>338087.79</v>
          </cell>
        </row>
        <row r="71">
          <cell r="C71">
            <v>742504.32397239492</v>
          </cell>
          <cell r="D71">
            <v>1352730.9251759718</v>
          </cell>
          <cell r="Q71">
            <v>922187.19206502289</v>
          </cell>
          <cell r="AF71">
            <v>1642709.0990234707</v>
          </cell>
        </row>
        <row r="72">
          <cell r="C72">
            <v>0</v>
          </cell>
          <cell r="D72">
            <v>0</v>
          </cell>
          <cell r="Q72">
            <v>0</v>
          </cell>
          <cell r="AF72">
            <v>0</v>
          </cell>
        </row>
        <row r="73">
          <cell r="C73">
            <v>97901400.279069602</v>
          </cell>
          <cell r="D73">
            <v>99397820.40599148</v>
          </cell>
          <cell r="Q73">
            <v>98380551.41641371</v>
          </cell>
          <cell r="AF73">
            <v>100082967.53791699</v>
          </cell>
        </row>
        <row r="74">
          <cell r="C74">
            <v>301110.64000000007</v>
          </cell>
          <cell r="D74">
            <v>301110.64000000007</v>
          </cell>
          <cell r="Q74">
            <v>301110.64</v>
          </cell>
          <cell r="AF74">
            <v>301110.64</v>
          </cell>
        </row>
        <row r="75">
          <cell r="C75">
            <v>72356.719999999987</v>
          </cell>
          <cell r="D75">
            <v>72356.719999999987</v>
          </cell>
          <cell r="Q75">
            <v>72356.72</v>
          </cell>
          <cell r="AF75">
            <v>72356.72</v>
          </cell>
        </row>
        <row r="76">
          <cell r="C76">
            <v>3299.0400000000004</v>
          </cell>
          <cell r="D76">
            <v>3299.0400000000004</v>
          </cell>
          <cell r="Q76">
            <v>3299.04</v>
          </cell>
          <cell r="AF76">
            <v>3299.04</v>
          </cell>
        </row>
        <row r="77">
          <cell r="C77">
            <v>0</v>
          </cell>
          <cell r="D77">
            <v>0</v>
          </cell>
          <cell r="Q77">
            <v>0</v>
          </cell>
          <cell r="AF77">
            <v>0</v>
          </cell>
        </row>
        <row r="78">
          <cell r="C78">
            <v>0</v>
          </cell>
          <cell r="D78">
            <v>0</v>
          </cell>
          <cell r="Q78">
            <v>0</v>
          </cell>
          <cell r="AF78">
            <v>0</v>
          </cell>
        </row>
        <row r="84">
          <cell r="C84">
            <v>185309.27</v>
          </cell>
          <cell r="D84">
            <v>185309.27</v>
          </cell>
          <cell r="Q84">
            <v>185309.27</v>
          </cell>
          <cell r="AF84">
            <v>185309.27</v>
          </cell>
        </row>
        <row r="85">
          <cell r="C85">
            <v>1109551.68</v>
          </cell>
          <cell r="D85">
            <v>1109551.68</v>
          </cell>
          <cell r="Q85">
            <v>1109551.68</v>
          </cell>
          <cell r="AF85">
            <v>1109551.68</v>
          </cell>
        </row>
        <row r="86">
          <cell r="C86">
            <v>179338.52</v>
          </cell>
          <cell r="D86">
            <v>179338.52</v>
          </cell>
          <cell r="Q86">
            <v>179338.52</v>
          </cell>
          <cell r="AF86">
            <v>179338.52</v>
          </cell>
        </row>
        <row r="87">
          <cell r="C87">
            <v>15383.910000000002</v>
          </cell>
          <cell r="D87">
            <v>15383.910000000002</v>
          </cell>
          <cell r="Q87">
            <v>15383.91</v>
          </cell>
          <cell r="AF87">
            <v>15383.91</v>
          </cell>
        </row>
        <row r="88">
          <cell r="C88">
            <v>38834</v>
          </cell>
          <cell r="D88">
            <v>38834</v>
          </cell>
          <cell r="Q88">
            <v>38834</v>
          </cell>
          <cell r="AF88">
            <v>38834</v>
          </cell>
        </row>
        <row r="89">
          <cell r="C89">
            <v>27866.233076923068</v>
          </cell>
          <cell r="D89">
            <v>26927.929999999997</v>
          </cell>
          <cell r="Q89">
            <v>26927.929999999997</v>
          </cell>
          <cell r="AF89">
            <v>26927.929999999997</v>
          </cell>
        </row>
        <row r="90">
          <cell r="C90">
            <v>0</v>
          </cell>
          <cell r="D90">
            <v>0</v>
          </cell>
          <cell r="Q90">
            <v>0</v>
          </cell>
          <cell r="AF90">
            <v>0</v>
          </cell>
        </row>
        <row r="91">
          <cell r="C91">
            <v>0</v>
          </cell>
          <cell r="D91">
            <v>0</v>
          </cell>
          <cell r="Q91">
            <v>0</v>
          </cell>
          <cell r="AF91">
            <v>0</v>
          </cell>
        </row>
        <row r="92">
          <cell r="C92">
            <v>27284.69</v>
          </cell>
          <cell r="D92">
            <v>27284.69</v>
          </cell>
          <cell r="Q92">
            <v>27284.69</v>
          </cell>
          <cell r="AF92">
            <v>27284.69</v>
          </cell>
        </row>
        <row r="93">
          <cell r="C93">
            <v>0</v>
          </cell>
          <cell r="D93">
            <v>0</v>
          </cell>
          <cell r="Q93">
            <v>0</v>
          </cell>
          <cell r="AF93">
            <v>0</v>
          </cell>
        </row>
        <row r="94">
          <cell r="C94">
            <v>121910.39384615388</v>
          </cell>
          <cell r="D94">
            <v>151738.97076923068</v>
          </cell>
          <cell r="Q94">
            <v>125287.07999999993</v>
          </cell>
          <cell r="AF94">
            <v>170907.22999999984</v>
          </cell>
        </row>
        <row r="95">
          <cell r="C95">
            <v>20515.689999999999</v>
          </cell>
          <cell r="D95">
            <v>20515.689999999999</v>
          </cell>
          <cell r="Q95">
            <v>20515.689999999999</v>
          </cell>
          <cell r="AF95">
            <v>20515.689999999999</v>
          </cell>
        </row>
        <row r="96">
          <cell r="C96">
            <v>8663.3076923076915</v>
          </cell>
          <cell r="D96">
            <v>0</v>
          </cell>
          <cell r="Q96">
            <v>0</v>
          </cell>
          <cell r="AF96">
            <v>0</v>
          </cell>
        </row>
        <row r="97">
          <cell r="C97">
            <v>0</v>
          </cell>
          <cell r="D97">
            <v>0</v>
          </cell>
          <cell r="Q97">
            <v>0</v>
          </cell>
          <cell r="AF97">
            <v>0</v>
          </cell>
        </row>
        <row r="98">
          <cell r="C98">
            <v>0</v>
          </cell>
          <cell r="D98">
            <v>0</v>
          </cell>
          <cell r="Q98">
            <v>0</v>
          </cell>
          <cell r="AF98">
            <v>0</v>
          </cell>
        </row>
        <row r="99">
          <cell r="C99">
            <v>1046.7553846153846</v>
          </cell>
          <cell r="D99">
            <v>0</v>
          </cell>
          <cell r="Q99">
            <v>0</v>
          </cell>
          <cell r="AF99">
            <v>0</v>
          </cell>
        </row>
        <row r="100">
          <cell r="C100">
            <v>0</v>
          </cell>
          <cell r="D100">
            <v>0</v>
          </cell>
          <cell r="Q100">
            <v>0</v>
          </cell>
          <cell r="AF100">
            <v>0</v>
          </cell>
        </row>
        <row r="101">
          <cell r="C101">
            <v>0</v>
          </cell>
          <cell r="D101">
            <v>0</v>
          </cell>
          <cell r="Q101">
            <v>0</v>
          </cell>
          <cell r="AF101">
            <v>0</v>
          </cell>
        </row>
        <row r="102">
          <cell r="C102">
            <v>0</v>
          </cell>
          <cell r="D102">
            <v>0</v>
          </cell>
          <cell r="Q102">
            <v>0</v>
          </cell>
          <cell r="AF102">
            <v>0</v>
          </cell>
        </row>
        <row r="103">
          <cell r="C103">
            <v>28266.44</v>
          </cell>
          <cell r="D103">
            <v>28266.44</v>
          </cell>
          <cell r="Q103">
            <v>28266.44</v>
          </cell>
          <cell r="AF103">
            <v>28266.44</v>
          </cell>
        </row>
        <row r="104">
          <cell r="C104">
            <v>6677.6192307692299</v>
          </cell>
          <cell r="D104">
            <v>0</v>
          </cell>
          <cell r="Q104">
            <v>0</v>
          </cell>
          <cell r="AF104">
            <v>0</v>
          </cell>
        </row>
        <row r="105">
          <cell r="C105">
            <v>78585.679999999964</v>
          </cell>
          <cell r="D105">
            <v>78585.679999999964</v>
          </cell>
          <cell r="Q105">
            <v>78585.679999999993</v>
          </cell>
          <cell r="AF105">
            <v>78585.679999999993</v>
          </cell>
        </row>
        <row r="106">
          <cell r="C106">
            <v>374175.09076923074</v>
          </cell>
          <cell r="D106">
            <v>237874.81000000003</v>
          </cell>
          <cell r="Q106">
            <v>237874.80999999994</v>
          </cell>
          <cell r="AF106">
            <v>237874.80999999994</v>
          </cell>
        </row>
        <row r="112">
          <cell r="C112">
            <v>8329.7199999999993</v>
          </cell>
          <cell r="D112">
            <v>8329.7199999999993</v>
          </cell>
          <cell r="Q112">
            <v>8329.7199999999993</v>
          </cell>
          <cell r="AF112">
            <v>8329.7199999999993</v>
          </cell>
        </row>
        <row r="113">
          <cell r="C113">
            <v>119852.68999999996</v>
          </cell>
          <cell r="D113">
            <v>119852.68999999996</v>
          </cell>
          <cell r="Q113">
            <v>119852.69</v>
          </cell>
          <cell r="AF113">
            <v>119852.69</v>
          </cell>
        </row>
        <row r="114">
          <cell r="C114">
            <v>0</v>
          </cell>
          <cell r="D114">
            <v>0</v>
          </cell>
          <cell r="Q114">
            <v>0</v>
          </cell>
          <cell r="AF114">
            <v>0</v>
          </cell>
        </row>
        <row r="115">
          <cell r="C115">
            <v>0</v>
          </cell>
          <cell r="D115">
            <v>0</v>
          </cell>
          <cell r="Q115">
            <v>0</v>
          </cell>
          <cell r="AF115">
            <v>0</v>
          </cell>
        </row>
        <row r="116">
          <cell r="C116">
            <v>0</v>
          </cell>
          <cell r="D116">
            <v>0</v>
          </cell>
          <cell r="Q116">
            <v>0</v>
          </cell>
          <cell r="AF116">
            <v>0</v>
          </cell>
        </row>
        <row r="117">
          <cell r="C117">
            <v>261126.68999999997</v>
          </cell>
          <cell r="D117">
            <v>261126.68999999997</v>
          </cell>
          <cell r="Q117">
            <v>261126.69</v>
          </cell>
          <cell r="AF117">
            <v>261126.69</v>
          </cell>
        </row>
        <row r="118">
          <cell r="C118">
            <v>4681.5800000000008</v>
          </cell>
          <cell r="D118">
            <v>4681.5800000000008</v>
          </cell>
          <cell r="Q118">
            <v>4681.58</v>
          </cell>
          <cell r="AF118">
            <v>4681.58</v>
          </cell>
        </row>
        <row r="119">
          <cell r="C119">
            <v>17916.189999999999</v>
          </cell>
          <cell r="D119">
            <v>17916.189999999999</v>
          </cell>
          <cell r="Q119">
            <v>17916.189999999999</v>
          </cell>
          <cell r="AF119">
            <v>17916.189999999999</v>
          </cell>
        </row>
        <row r="120">
          <cell r="C120">
            <v>153261.30000000002</v>
          </cell>
          <cell r="D120">
            <v>153261.30000000002</v>
          </cell>
          <cell r="Q120">
            <v>153261.29999999999</v>
          </cell>
          <cell r="AF120">
            <v>153261.29999999999</v>
          </cell>
        </row>
        <row r="121">
          <cell r="C121">
            <v>23138.38</v>
          </cell>
          <cell r="D121">
            <v>23138.38</v>
          </cell>
          <cell r="Q121">
            <v>23138.38</v>
          </cell>
          <cell r="AF121">
            <v>23138.38</v>
          </cell>
        </row>
        <row r="122">
          <cell r="C122">
            <v>137442.53</v>
          </cell>
          <cell r="D122">
            <v>137442.53</v>
          </cell>
          <cell r="Q122">
            <v>137442.53</v>
          </cell>
          <cell r="AF122">
            <v>137442.53</v>
          </cell>
        </row>
        <row r="123">
          <cell r="C123">
            <v>9083125.5699999966</v>
          </cell>
          <cell r="D123">
            <v>9083125.5699999966</v>
          </cell>
          <cell r="Q123">
            <v>9083125.5700000003</v>
          </cell>
          <cell r="AF123">
            <v>9083125.5700000003</v>
          </cell>
        </row>
        <row r="124">
          <cell r="C124">
            <v>1699998.5399999993</v>
          </cell>
          <cell r="D124">
            <v>1699998.5399999993</v>
          </cell>
          <cell r="Q124">
            <v>1699998.54</v>
          </cell>
          <cell r="AF124">
            <v>1699998.54</v>
          </cell>
        </row>
        <row r="125">
          <cell r="C125">
            <v>449309.05999999988</v>
          </cell>
          <cell r="D125">
            <v>449309.05999999988</v>
          </cell>
          <cell r="Q125">
            <v>449309.06</v>
          </cell>
          <cell r="AF125">
            <v>449309.06</v>
          </cell>
        </row>
        <row r="126">
          <cell r="C126">
            <v>1694832.9600000007</v>
          </cell>
          <cell r="D126">
            <v>1694832.9600000007</v>
          </cell>
          <cell r="Q126">
            <v>1694832.96</v>
          </cell>
          <cell r="AF126">
            <v>1694832.96</v>
          </cell>
        </row>
        <row r="127">
          <cell r="C127">
            <v>178530.09000000003</v>
          </cell>
          <cell r="D127">
            <v>178530.09000000003</v>
          </cell>
          <cell r="Q127">
            <v>178530.09</v>
          </cell>
          <cell r="AF127">
            <v>178530.09</v>
          </cell>
        </row>
        <row r="128">
          <cell r="C128">
            <v>54614.270000000011</v>
          </cell>
          <cell r="D128">
            <v>54614.270000000011</v>
          </cell>
          <cell r="Q128">
            <v>54614.27</v>
          </cell>
          <cell r="AF128">
            <v>54614.27</v>
          </cell>
        </row>
        <row r="129">
          <cell r="C129">
            <v>175350.37000000005</v>
          </cell>
          <cell r="D129">
            <v>175350.37000000005</v>
          </cell>
          <cell r="Q129">
            <v>175350.37</v>
          </cell>
          <cell r="AF129">
            <v>175350.37</v>
          </cell>
        </row>
        <row r="130">
          <cell r="C130">
            <v>209318.89999999994</v>
          </cell>
          <cell r="D130">
            <v>209318.89999999994</v>
          </cell>
          <cell r="Q130">
            <v>209318.9</v>
          </cell>
          <cell r="AF130">
            <v>209318.9</v>
          </cell>
        </row>
        <row r="131">
          <cell r="C131">
            <v>923446.05000000016</v>
          </cell>
          <cell r="D131">
            <v>923446.05000000016</v>
          </cell>
          <cell r="Q131">
            <v>923446.05</v>
          </cell>
          <cell r="AF131">
            <v>923446.05</v>
          </cell>
        </row>
        <row r="132">
          <cell r="C132">
            <v>273084.37999999995</v>
          </cell>
          <cell r="D132">
            <v>273084.37999999995</v>
          </cell>
          <cell r="Q132">
            <v>273084.38</v>
          </cell>
          <cell r="AF132">
            <v>273084.38</v>
          </cell>
        </row>
        <row r="133">
          <cell r="C133">
            <v>829029.81000000029</v>
          </cell>
          <cell r="D133">
            <v>829029.81000000029</v>
          </cell>
          <cell r="Q133">
            <v>829029.81</v>
          </cell>
          <cell r="AF133">
            <v>829029.81</v>
          </cell>
        </row>
        <row r="134">
          <cell r="C134">
            <v>26970.37</v>
          </cell>
          <cell r="D134">
            <v>26970.37</v>
          </cell>
          <cell r="Q134">
            <v>26970.37</v>
          </cell>
          <cell r="AF134">
            <v>26970.37</v>
          </cell>
        </row>
        <row r="135">
          <cell r="C135">
            <v>867772</v>
          </cell>
          <cell r="D135">
            <v>867772</v>
          </cell>
          <cell r="Q135">
            <v>867772</v>
          </cell>
          <cell r="AF135">
            <v>867772</v>
          </cell>
        </row>
        <row r="136">
          <cell r="C136">
            <v>49001.719999999987</v>
          </cell>
          <cell r="D136">
            <v>49001.719999999987</v>
          </cell>
          <cell r="Q136">
            <v>49001.72</v>
          </cell>
          <cell r="AF136">
            <v>49001.72</v>
          </cell>
        </row>
        <row r="137">
          <cell r="C137">
            <v>60826.290000000008</v>
          </cell>
          <cell r="D137">
            <v>60826.290000000008</v>
          </cell>
          <cell r="Q137">
            <v>60826.29</v>
          </cell>
          <cell r="AF137">
            <v>60826.29</v>
          </cell>
        </row>
        <row r="138">
          <cell r="C138">
            <v>47232.930000000008</v>
          </cell>
          <cell r="D138">
            <v>47232.930000000008</v>
          </cell>
          <cell r="Q138">
            <v>47232.93</v>
          </cell>
          <cell r="AF138">
            <v>47232.93</v>
          </cell>
        </row>
        <row r="139">
          <cell r="C139">
            <v>27828360.870000001</v>
          </cell>
          <cell r="D139">
            <v>27828360.870000001</v>
          </cell>
          <cell r="Q139">
            <v>27828360.870000001</v>
          </cell>
          <cell r="AF139">
            <v>27828360.870000001</v>
          </cell>
        </row>
        <row r="140">
          <cell r="C140">
            <v>51177.42</v>
          </cell>
          <cell r="D140">
            <v>51177.42</v>
          </cell>
          <cell r="Q140">
            <v>51177.42</v>
          </cell>
          <cell r="AF140">
            <v>51177.42</v>
          </cell>
        </row>
        <row r="141">
          <cell r="C141">
            <v>1999587.3900000004</v>
          </cell>
          <cell r="D141">
            <v>1999587.3900000004</v>
          </cell>
          <cell r="Q141">
            <v>1999587.39</v>
          </cell>
          <cell r="AF141">
            <v>1999587.39</v>
          </cell>
        </row>
        <row r="142">
          <cell r="C142">
            <v>2269499.2899999996</v>
          </cell>
          <cell r="D142">
            <v>2269499.2899999996</v>
          </cell>
          <cell r="Q142">
            <v>2269499.29</v>
          </cell>
          <cell r="AF142">
            <v>2269499.29</v>
          </cell>
        </row>
        <row r="143">
          <cell r="C143">
            <v>531166.79</v>
          </cell>
          <cell r="D143">
            <v>531166.79</v>
          </cell>
          <cell r="Q143">
            <v>531166.79</v>
          </cell>
          <cell r="AF143">
            <v>531166.79</v>
          </cell>
        </row>
        <row r="144">
          <cell r="C144">
            <v>428640.46</v>
          </cell>
          <cell r="D144">
            <v>428640.46</v>
          </cell>
          <cell r="Q144">
            <v>428640.46</v>
          </cell>
          <cell r="AF144">
            <v>428640.46</v>
          </cell>
        </row>
        <row r="145">
          <cell r="C145">
            <v>3561926.3299999987</v>
          </cell>
          <cell r="D145">
            <v>3561926.3299999987</v>
          </cell>
          <cell r="Q145">
            <v>3561926.33</v>
          </cell>
          <cell r="AF145">
            <v>3561926.33</v>
          </cell>
        </row>
        <row r="146">
          <cell r="C146">
            <v>2783.89</v>
          </cell>
          <cell r="D146">
            <v>2783.89</v>
          </cell>
          <cell r="Q146">
            <v>2783.89</v>
          </cell>
          <cell r="AF146">
            <v>2783.89</v>
          </cell>
        </row>
        <row r="147">
          <cell r="C147">
            <v>336167.54</v>
          </cell>
          <cell r="D147">
            <v>336167.54</v>
          </cell>
          <cell r="Q147">
            <v>336167.54</v>
          </cell>
          <cell r="AF147">
            <v>336167.54</v>
          </cell>
        </row>
        <row r="148">
          <cell r="C148">
            <v>99818.12999999999</v>
          </cell>
          <cell r="D148">
            <v>99818.12999999999</v>
          </cell>
          <cell r="Q148">
            <v>99818.13</v>
          </cell>
          <cell r="AF148">
            <v>99818.13</v>
          </cell>
        </row>
        <row r="149">
          <cell r="C149">
            <v>46264.189999999995</v>
          </cell>
          <cell r="D149">
            <v>46264.189999999995</v>
          </cell>
          <cell r="Q149">
            <v>46264.19</v>
          </cell>
          <cell r="AF149">
            <v>46264.19</v>
          </cell>
        </row>
        <row r="150">
          <cell r="C150">
            <v>4005.0800000000013</v>
          </cell>
          <cell r="D150">
            <v>4005.0800000000013</v>
          </cell>
          <cell r="Q150">
            <v>4005.08</v>
          </cell>
          <cell r="AF150">
            <v>4005.08</v>
          </cell>
        </row>
        <row r="151">
          <cell r="C151">
            <v>3038232.6160787982</v>
          </cell>
          <cell r="D151">
            <v>3501544.5425740299</v>
          </cell>
          <cell r="Q151">
            <v>3207248.113778342</v>
          </cell>
          <cell r="AF151">
            <v>3650459.8242798918</v>
          </cell>
        </row>
        <row r="152">
          <cell r="C152">
            <v>207619414.29454848</v>
          </cell>
          <cell r="D152">
            <v>206849853.81083393</v>
          </cell>
          <cell r="Q152">
            <v>207358889.91344732</v>
          </cell>
          <cell r="AF152">
            <v>206592279.31382313</v>
          </cell>
        </row>
        <row r="153">
          <cell r="C153">
            <v>179103056.86933357</v>
          </cell>
          <cell r="D153">
            <v>208225451.31272393</v>
          </cell>
          <cell r="Q153">
            <v>190174254.55873442</v>
          </cell>
          <cell r="AF153">
            <v>217359435.91711915</v>
          </cell>
        </row>
        <row r="154">
          <cell r="C154">
            <v>3779341.2559170625</v>
          </cell>
          <cell r="D154">
            <v>3567921.9186763312</v>
          </cell>
          <cell r="Q154">
            <v>3699723.6753650834</v>
          </cell>
          <cell r="AF154">
            <v>3501229.652626921</v>
          </cell>
        </row>
        <row r="155">
          <cell r="C155">
            <v>10705338.530769231</v>
          </cell>
          <cell r="D155">
            <v>10571511.840000002</v>
          </cell>
          <cell r="Q155">
            <v>10571511.840000002</v>
          </cell>
          <cell r="AF155">
            <v>10571511.840000002</v>
          </cell>
        </row>
        <row r="156">
          <cell r="C156">
            <v>22692460.626004133</v>
          </cell>
          <cell r="D156">
            <v>23019538.103403393</v>
          </cell>
          <cell r="Q156">
            <v>22815490.154152837</v>
          </cell>
          <cell r="AF156">
            <v>23122787.259257894</v>
          </cell>
        </row>
        <row r="157">
          <cell r="C157">
            <v>4927691.1663013482</v>
          </cell>
          <cell r="D157">
            <v>4548555.2487816606</v>
          </cell>
          <cell r="Q157">
            <v>4790857.9581055371</v>
          </cell>
          <cell r="AF157">
            <v>4425949.0168110104</v>
          </cell>
        </row>
        <row r="158">
          <cell r="C158">
            <v>1724872.5996302865</v>
          </cell>
          <cell r="D158">
            <v>1721572.8990013897</v>
          </cell>
          <cell r="Q158">
            <v>1723567.7349804058</v>
          </cell>
          <cell r="AF158">
            <v>1720563.5032605454</v>
          </cell>
        </row>
        <row r="159">
          <cell r="C159">
            <v>165660240.76667559</v>
          </cell>
          <cell r="D159">
            <v>186094700.787117</v>
          </cell>
          <cell r="Q159">
            <v>173203520.65037173</v>
          </cell>
          <cell r="AF159">
            <v>192617694.38727775</v>
          </cell>
        </row>
        <row r="160">
          <cell r="C160">
            <v>46845919.596373193</v>
          </cell>
          <cell r="D160">
            <v>50260826.223040834</v>
          </cell>
          <cell r="Q160">
            <v>48089444.620903425</v>
          </cell>
          <cell r="AF160">
            <v>51359554.8222849</v>
          </cell>
        </row>
        <row r="161">
          <cell r="C161">
            <v>57018115.534302302</v>
          </cell>
          <cell r="D161">
            <v>58099827.343816116</v>
          </cell>
          <cell r="Q161">
            <v>57371213.714886084</v>
          </cell>
          <cell r="AF161">
            <v>58468509.030681483</v>
          </cell>
        </row>
        <row r="162">
          <cell r="C162">
            <v>3740576.8070402062</v>
          </cell>
          <cell r="D162">
            <v>2625436.8919019899</v>
          </cell>
          <cell r="Q162">
            <v>3309601.0356617197</v>
          </cell>
          <cell r="AF162">
            <v>2279246.8391787852</v>
          </cell>
        </row>
        <row r="163">
          <cell r="C163">
            <v>277461.38580407336</v>
          </cell>
          <cell r="D163">
            <v>335834.73480208585</v>
          </cell>
          <cell r="Q163">
            <v>298681.36846847145</v>
          </cell>
          <cell r="AF163">
            <v>354634.50086289761</v>
          </cell>
        </row>
        <row r="164">
          <cell r="C164">
            <v>5292272.2407675879</v>
          </cell>
          <cell r="D164">
            <v>5367015.0566078871</v>
          </cell>
          <cell r="Q164">
            <v>5318879.4721106309</v>
          </cell>
          <cell r="AF164">
            <v>5391371.8731510518</v>
          </cell>
        </row>
        <row r="165">
          <cell r="C165">
            <v>1211697.3000000003</v>
          </cell>
          <cell r="D165">
            <v>1211697.3000000003</v>
          </cell>
          <cell r="Q165">
            <v>1211697.3</v>
          </cell>
          <cell r="AF165">
            <v>1211697.3</v>
          </cell>
        </row>
        <row r="166">
          <cell r="C166">
            <v>8627518.9842080697</v>
          </cell>
          <cell r="D166">
            <v>9181838.437586356</v>
          </cell>
          <cell r="Q166">
            <v>8820208.2810155917</v>
          </cell>
          <cell r="AF166">
            <v>9364824.8804033585</v>
          </cell>
        </row>
        <row r="167">
          <cell r="C167">
            <v>173114.85000000003</v>
          </cell>
          <cell r="D167">
            <v>173114.85000000003</v>
          </cell>
          <cell r="Q167">
            <v>173114.85</v>
          </cell>
          <cell r="AF167">
            <v>173114.85</v>
          </cell>
        </row>
        <row r="168">
          <cell r="C168">
            <v>709199.17999999982</v>
          </cell>
          <cell r="D168">
            <v>709199.17999999982</v>
          </cell>
          <cell r="Q168">
            <v>709199.18</v>
          </cell>
          <cell r="AF168">
            <v>709199.18</v>
          </cell>
        </row>
        <row r="169">
          <cell r="C169">
            <v>12954.74</v>
          </cell>
          <cell r="D169">
            <v>12954.74</v>
          </cell>
          <cell r="Q169">
            <v>12954.74</v>
          </cell>
          <cell r="AF169">
            <v>12954.74</v>
          </cell>
        </row>
        <row r="170">
          <cell r="C170">
            <v>1246194.18</v>
          </cell>
          <cell r="D170">
            <v>1246194.18</v>
          </cell>
          <cell r="Q170">
            <v>1246194.18</v>
          </cell>
          <cell r="AF170">
            <v>1246194.18</v>
          </cell>
        </row>
        <row r="171">
          <cell r="C171">
            <v>1753372.7300000002</v>
          </cell>
          <cell r="D171">
            <v>1753372.7300000002</v>
          </cell>
          <cell r="Q171">
            <v>1753372.73</v>
          </cell>
          <cell r="AF171">
            <v>1753372.73</v>
          </cell>
        </row>
        <row r="172">
          <cell r="C172">
            <v>0</v>
          </cell>
          <cell r="D172">
            <v>0</v>
          </cell>
          <cell r="Q172">
            <v>0</v>
          </cell>
          <cell r="AF172">
            <v>0</v>
          </cell>
        </row>
        <row r="173">
          <cell r="C173">
            <v>191968.60999999993</v>
          </cell>
          <cell r="D173">
            <v>191968.60999999993</v>
          </cell>
          <cell r="Q173">
            <v>191968.61</v>
          </cell>
          <cell r="AF173">
            <v>191968.61</v>
          </cell>
        </row>
        <row r="174">
          <cell r="C174">
            <v>30698.52461538462</v>
          </cell>
          <cell r="D174">
            <v>27063.960000000003</v>
          </cell>
          <cell r="Q174">
            <v>27063.96</v>
          </cell>
          <cell r="AF174">
            <v>27063.96</v>
          </cell>
        </row>
        <row r="175">
          <cell r="C175">
            <v>5733659.4122599373</v>
          </cell>
          <cell r="D175">
            <v>8593396.4055907559</v>
          </cell>
          <cell r="Q175">
            <v>6736611.979334726</v>
          </cell>
          <cell r="AF175">
            <v>9532937.4562058616</v>
          </cell>
        </row>
        <row r="176">
          <cell r="C176">
            <v>0</v>
          </cell>
          <cell r="D176">
            <v>0</v>
          </cell>
          <cell r="Q176">
            <v>0</v>
          </cell>
          <cell r="AF176">
            <v>0</v>
          </cell>
        </row>
        <row r="177">
          <cell r="C177">
            <v>0</v>
          </cell>
          <cell r="D177">
            <v>0</v>
          </cell>
          <cell r="Q177">
            <v>0</v>
          </cell>
          <cell r="AF177">
            <v>0</v>
          </cell>
        </row>
        <row r="178">
          <cell r="C178">
            <v>2714.4923076923078</v>
          </cell>
          <cell r="D178">
            <v>0</v>
          </cell>
          <cell r="Q178">
            <v>0</v>
          </cell>
          <cell r="AF178">
            <v>0</v>
          </cell>
        </row>
        <row r="179">
          <cell r="C179">
            <v>425326.37000000005</v>
          </cell>
          <cell r="D179">
            <v>425326.37000000005</v>
          </cell>
          <cell r="Q179">
            <v>425326.37</v>
          </cell>
          <cell r="AF179">
            <v>425326.37</v>
          </cell>
        </row>
        <row r="180">
          <cell r="C180">
            <v>0</v>
          </cell>
          <cell r="D180">
            <v>0</v>
          </cell>
          <cell r="Q180">
            <v>0</v>
          </cell>
          <cell r="AF180">
            <v>0</v>
          </cell>
        </row>
        <row r="181">
          <cell r="C181">
            <v>0</v>
          </cell>
          <cell r="D181">
            <v>0</v>
          </cell>
          <cell r="Q181">
            <v>0</v>
          </cell>
          <cell r="AF181">
            <v>0</v>
          </cell>
        </row>
        <row r="182">
          <cell r="C182">
            <v>0</v>
          </cell>
          <cell r="D182">
            <v>0</v>
          </cell>
          <cell r="Q182">
            <v>0</v>
          </cell>
          <cell r="AF182">
            <v>0</v>
          </cell>
        </row>
        <row r="183">
          <cell r="C183">
            <v>3889123.0200000009</v>
          </cell>
          <cell r="D183">
            <v>3889123.0200000009</v>
          </cell>
          <cell r="Q183">
            <v>3889123.02</v>
          </cell>
          <cell r="AF183">
            <v>3889123.02</v>
          </cell>
        </row>
        <row r="184">
          <cell r="C184">
            <v>35814.99</v>
          </cell>
          <cell r="D184">
            <v>35814.99</v>
          </cell>
          <cell r="Q184">
            <v>35814.99</v>
          </cell>
          <cell r="AF184">
            <v>35814.99</v>
          </cell>
        </row>
        <row r="185">
          <cell r="C185">
            <v>0</v>
          </cell>
          <cell r="D185">
            <v>0</v>
          </cell>
          <cell r="Q185">
            <v>0</v>
          </cell>
          <cell r="AF185">
            <v>0</v>
          </cell>
        </row>
        <row r="186">
          <cell r="C186">
            <v>134598.85999999993</v>
          </cell>
          <cell r="D186">
            <v>134598.85999999993</v>
          </cell>
          <cell r="Q186">
            <v>134598.85999999999</v>
          </cell>
          <cell r="AF186">
            <v>134598.85999999999</v>
          </cell>
        </row>
        <row r="187">
          <cell r="C187">
            <v>805395.67863452132</v>
          </cell>
          <cell r="D187">
            <v>38248.546473140545</v>
          </cell>
          <cell r="Q187">
            <v>491338.04887792497</v>
          </cell>
          <cell r="AF187">
            <v>-191016.72583982738</v>
          </cell>
        </row>
        <row r="188">
          <cell r="C188">
            <v>0</v>
          </cell>
          <cell r="D188">
            <v>0</v>
          </cell>
          <cell r="Q188">
            <v>0</v>
          </cell>
          <cell r="AF188">
            <v>0</v>
          </cell>
        </row>
        <row r="189">
          <cell r="C189">
            <v>65605.800000000017</v>
          </cell>
          <cell r="D189">
            <v>65605.800000000017</v>
          </cell>
          <cell r="Q189">
            <v>65605.8</v>
          </cell>
          <cell r="AF189">
            <v>65605.8</v>
          </cell>
        </row>
        <row r="211">
          <cell r="C211">
            <v>11335005.331538461</v>
          </cell>
          <cell r="D211">
            <v>9646514.3700000048</v>
          </cell>
          <cell r="Q211">
            <v>9646514.3700000048</v>
          </cell>
          <cell r="AF211">
            <v>9646514.3700000048</v>
          </cell>
        </row>
        <row r="215">
          <cell r="C215">
            <v>801940.25</v>
          </cell>
          <cell r="D215">
            <v>463343.83999999991</v>
          </cell>
          <cell r="Q215">
            <v>463343.83999999997</v>
          </cell>
          <cell r="AF215">
            <v>463343.83999999997</v>
          </cell>
        </row>
        <row r="219">
          <cell r="C219">
            <v>-295752.80230769224</v>
          </cell>
          <cell r="D219">
            <v>-36798.729999999763</v>
          </cell>
          <cell r="Q219">
            <v>-36798.729999999778</v>
          </cell>
          <cell r="AF219">
            <v>-36798.729999999778</v>
          </cell>
        </row>
        <row r="223">
          <cell r="C223">
            <v>6846490.4530769223</v>
          </cell>
          <cell r="D223">
            <v>8127182.6599999974</v>
          </cell>
          <cell r="Q223">
            <v>8127182.6599999992</v>
          </cell>
          <cell r="AF223">
            <v>8127182.6599999992</v>
          </cell>
        </row>
      </sheetData>
      <sheetData sheetId="1">
        <row r="7">
          <cell r="C7">
            <v>727669.31028437673</v>
          </cell>
          <cell r="D7">
            <v>1048465.2741859489</v>
          </cell>
          <cell r="Q7">
            <v>828284.9344432418</v>
          </cell>
          <cell r="AF7">
            <v>1219884.94345489</v>
          </cell>
          <cell r="BM7">
            <v>324959.33021929167</v>
          </cell>
        </row>
        <row r="8">
          <cell r="C8">
            <v>4383353.6456361376</v>
          </cell>
          <cell r="D8">
            <v>4729701.2566212574</v>
          </cell>
          <cell r="Q8">
            <v>4522301.5266485047</v>
          </cell>
          <cell r="AF8">
            <v>4867967.7432697592</v>
          </cell>
          <cell r="BM8">
            <v>276532.97329700005</v>
          </cell>
        </row>
        <row r="9">
          <cell r="C9">
            <v>9438804.9899341334</v>
          </cell>
          <cell r="D9">
            <v>9817388.939874988</v>
          </cell>
          <cell r="Q9">
            <v>9607572.2426124942</v>
          </cell>
          <cell r="AF9">
            <v>9874985.680299988</v>
          </cell>
          <cell r="BM9">
            <v>187189.40638125001</v>
          </cell>
        </row>
        <row r="10">
          <cell r="C10">
            <v>188.44880876923077</v>
          </cell>
          <cell r="D10">
            <v>268.66751000000022</v>
          </cell>
          <cell r="Q10">
            <v>220.89700400000009</v>
          </cell>
          <cell r="AF10">
            <v>300.5145140000003</v>
          </cell>
          <cell r="BM10">
            <v>63.694007999999997</v>
          </cell>
        </row>
        <row r="11">
          <cell r="C11">
            <v>2465.3143639423074</v>
          </cell>
          <cell r="D11">
            <v>3783.3490937499982</v>
          </cell>
          <cell r="Q11">
            <v>3007.6276374999993</v>
          </cell>
          <cell r="AF11">
            <v>4300.4967312499984</v>
          </cell>
          <cell r="BM11">
            <v>1034.2952750000002</v>
          </cell>
        </row>
        <row r="12">
          <cell r="C12">
            <v>2473686.069959098</v>
          </cell>
          <cell r="D12">
            <v>2801840.2536219093</v>
          </cell>
          <cell r="Q12">
            <v>2597046.8455611588</v>
          </cell>
          <cell r="AF12">
            <v>2945456.1350195082</v>
          </cell>
          <cell r="BM12">
            <v>282087.61689352721</v>
          </cell>
        </row>
        <row r="13">
          <cell r="C13">
            <v>1.26</v>
          </cell>
          <cell r="D13">
            <v>1.26</v>
          </cell>
          <cell r="Q13">
            <v>1.26</v>
          </cell>
          <cell r="AF13">
            <v>1.26</v>
          </cell>
          <cell r="BM13">
            <v>0</v>
          </cell>
        </row>
        <row r="14">
          <cell r="C14">
            <v>0.45000000000000012</v>
          </cell>
          <cell r="D14">
            <v>0.45000000000000012</v>
          </cell>
          <cell r="Q14">
            <v>0.45</v>
          </cell>
          <cell r="AF14">
            <v>0.45</v>
          </cell>
          <cell r="BM14">
            <v>0</v>
          </cell>
        </row>
        <row r="15">
          <cell r="C15">
            <v>39297.513643923077</v>
          </cell>
          <cell r="D15">
            <v>42815.385265000004</v>
          </cell>
          <cell r="Q15">
            <v>40705.602105999998</v>
          </cell>
          <cell r="AF15">
            <v>44221.907371000008</v>
          </cell>
          <cell r="BM15">
            <v>2813.0442120000007</v>
          </cell>
        </row>
        <row r="16">
          <cell r="C16">
            <v>131156.56736746151</v>
          </cell>
          <cell r="D16">
            <v>144214.71555500006</v>
          </cell>
          <cell r="Q16">
            <v>136393.58022200002</v>
          </cell>
          <cell r="AF16">
            <v>149428.80577700009</v>
          </cell>
          <cell r="BM16">
            <v>10428.180444000001</v>
          </cell>
        </row>
        <row r="17">
          <cell r="C17">
            <v>56099.069647059907</v>
          </cell>
          <cell r="D17">
            <v>93313.295705042852</v>
          </cell>
          <cell r="Q17">
            <v>73054.073973647042</v>
          </cell>
          <cell r="AF17">
            <v>106971.13361832604</v>
          </cell>
          <cell r="BM17">
            <v>27205.569677697207</v>
          </cell>
        </row>
        <row r="18">
          <cell r="C18">
            <v>0</v>
          </cell>
          <cell r="D18">
            <v>0</v>
          </cell>
          <cell r="Q18">
            <v>0</v>
          </cell>
          <cell r="AF18">
            <v>0</v>
          </cell>
          <cell r="BM18">
            <v>0</v>
          </cell>
        </row>
        <row r="19">
          <cell r="C19">
            <v>48820.285348192316</v>
          </cell>
          <cell r="D19">
            <v>56756.023947500049</v>
          </cell>
          <cell r="Q19">
            <v>51980.645579000025</v>
          </cell>
          <cell r="AF19">
            <v>59939.609526500077</v>
          </cell>
          <cell r="BM19">
            <v>6367.1711579999983</v>
          </cell>
        </row>
        <row r="20">
          <cell r="C20">
            <v>388.07</v>
          </cell>
          <cell r="D20">
            <v>388.07</v>
          </cell>
          <cell r="Q20">
            <v>388.07</v>
          </cell>
          <cell r="AF20">
            <v>388.07</v>
          </cell>
          <cell r="BM20">
            <v>0</v>
          </cell>
        </row>
        <row r="21">
          <cell r="C21">
            <v>0</v>
          </cell>
          <cell r="D21">
            <v>0</v>
          </cell>
          <cell r="Q21">
            <v>0</v>
          </cell>
          <cell r="AF21">
            <v>0</v>
          </cell>
          <cell r="BM21">
            <v>0</v>
          </cell>
        </row>
        <row r="22">
          <cell r="C22">
            <v>-3842.4015669200307</v>
          </cell>
          <cell r="D22">
            <v>26598.868896146072</v>
          </cell>
          <cell r="Q22">
            <v>7425.6161624348788</v>
          </cell>
          <cell r="AF22">
            <v>40113.366444720989</v>
          </cell>
          <cell r="BM22">
            <v>26913.009082218825</v>
          </cell>
        </row>
        <row r="23">
          <cell r="C23">
            <v>5140.2586005769217</v>
          </cell>
          <cell r="D23">
            <v>5821.4557414999999</v>
          </cell>
          <cell r="Q23">
            <v>5395.9019449999978</v>
          </cell>
          <cell r="AF23">
            <v>6117.9535655000009</v>
          </cell>
          <cell r="BM23">
            <v>592.99564799999985</v>
          </cell>
        </row>
        <row r="24">
          <cell r="C24">
            <v>57464.058370307677</v>
          </cell>
          <cell r="D24">
            <v>67425.079830000002</v>
          </cell>
          <cell r="Q24">
            <v>60678.096803999986</v>
          </cell>
          <cell r="AF24">
            <v>72366.724454000039</v>
          </cell>
          <cell r="BM24">
            <v>9883.289248000001</v>
          </cell>
        </row>
        <row r="25">
          <cell r="C25">
            <v>1419.915400326923</v>
          </cell>
          <cell r="D25">
            <v>1956.2940912500001</v>
          </cell>
          <cell r="Q25">
            <v>1591.1229154999999</v>
          </cell>
          <cell r="AF25">
            <v>2223.7538092499999</v>
          </cell>
          <cell r="BM25">
            <v>534.91943600000002</v>
          </cell>
        </row>
        <row r="26">
          <cell r="C26">
            <v>-6.0000000000000019E-2</v>
          </cell>
          <cell r="D26">
            <v>-6.0000000000000019E-2</v>
          </cell>
          <cell r="Q26">
            <v>-0.06</v>
          </cell>
          <cell r="AF26">
            <v>-0.06</v>
          </cell>
          <cell r="BM26">
            <v>0</v>
          </cell>
        </row>
        <row r="27">
          <cell r="C27">
            <v>1079759.9493909674</v>
          </cell>
          <cell r="D27">
            <v>6106645.9834783264</v>
          </cell>
          <cell r="Q27">
            <v>2399975.9065431622</v>
          </cell>
          <cell r="AF27">
            <v>9230682.1983735431</v>
          </cell>
          <cell r="BM27">
            <v>6131586.5890181847</v>
          </cell>
        </row>
        <row r="28">
          <cell r="C28">
            <v>7461594.8226942522</v>
          </cell>
          <cell r="D28">
            <v>8177290.6087893983</v>
          </cell>
          <cell r="Q28">
            <v>7793993.7509781569</v>
          </cell>
          <cell r="AF28">
            <v>8408446.789689932</v>
          </cell>
          <cell r="BM28">
            <v>436691.79492856248</v>
          </cell>
        </row>
        <row r="29">
          <cell r="C29">
            <v>899517.18876566074</v>
          </cell>
          <cell r="D29">
            <v>1305267.9975451964</v>
          </cell>
          <cell r="Q29">
            <v>1038274.8845493306</v>
          </cell>
          <cell r="AF29">
            <v>1505785.7886902255</v>
          </cell>
          <cell r="BM29">
            <v>400279.4744316396</v>
          </cell>
        </row>
        <row r="30">
          <cell r="C30">
            <v>0</v>
          </cell>
          <cell r="D30">
            <v>0</v>
          </cell>
          <cell r="Q30">
            <v>0</v>
          </cell>
          <cell r="AF30">
            <v>0</v>
          </cell>
          <cell r="BM30">
            <v>0</v>
          </cell>
        </row>
        <row r="31">
          <cell r="C31">
            <v>0</v>
          </cell>
          <cell r="D31">
            <v>0</v>
          </cell>
          <cell r="Q31">
            <v>0</v>
          </cell>
          <cell r="AF31">
            <v>0</v>
          </cell>
          <cell r="BM31">
            <v>0</v>
          </cell>
        </row>
        <row r="32">
          <cell r="C32">
            <v>-156905.52469088227</v>
          </cell>
          <cell r="D32">
            <v>563728.30976570444</v>
          </cell>
          <cell r="Q32">
            <v>9889.3494596250348</v>
          </cell>
          <cell r="AF32">
            <v>1055080.6696568588</v>
          </cell>
          <cell r="BM32">
            <v>932635.999946189</v>
          </cell>
        </row>
        <row r="33">
          <cell r="C33">
            <v>175384.55577803848</v>
          </cell>
          <cell r="D33">
            <v>297815.36779549986</v>
          </cell>
          <cell r="Q33">
            <v>214677.05574699998</v>
          </cell>
          <cell r="AF33">
            <v>361358.6919704997</v>
          </cell>
          <cell r="BM33">
            <v>127086.64835000002</v>
          </cell>
        </row>
        <row r="34">
          <cell r="C34">
            <v>40121619.286095455</v>
          </cell>
          <cell r="D34">
            <v>48303547.662687063</v>
          </cell>
          <cell r="Q34">
            <v>42967423.93887718</v>
          </cell>
          <cell r="AF34">
            <v>52245947.717667349</v>
          </cell>
          <cell r="BM34">
            <v>7724177.4883233756</v>
          </cell>
        </row>
        <row r="35">
          <cell r="C35">
            <v>1894.0500000000002</v>
          </cell>
          <cell r="D35">
            <v>0</v>
          </cell>
          <cell r="Q35">
            <v>0</v>
          </cell>
          <cell r="AF35">
            <v>0</v>
          </cell>
          <cell r="BM35">
            <v>0</v>
          </cell>
        </row>
        <row r="36">
          <cell r="C36">
            <v>598153.79884472361</v>
          </cell>
          <cell r="D36">
            <v>841625.96949302661</v>
          </cell>
          <cell r="Q36">
            <v>665338.26071849314</v>
          </cell>
          <cell r="AF36">
            <v>987970.09968166717</v>
          </cell>
          <cell r="BM36">
            <v>280069.06207243551</v>
          </cell>
        </row>
        <row r="37">
          <cell r="C37">
            <v>1027744.3529936088</v>
          </cell>
          <cell r="D37">
            <v>1990990.8224559242</v>
          </cell>
          <cell r="Q37">
            <v>1299510.1759615168</v>
          </cell>
          <cell r="AF37">
            <v>2558739.5699281092</v>
          </cell>
          <cell r="BM37">
            <v>1074976.8234302471</v>
          </cell>
        </row>
        <row r="38">
          <cell r="C38">
            <v>17235.371348604127</v>
          </cell>
          <cell r="D38">
            <v>66161.086237649302</v>
          </cell>
          <cell r="Q38">
            <v>26302.80989134045</v>
          </cell>
          <cell r="AF38">
            <v>103777.64677159616</v>
          </cell>
          <cell r="BM38">
            <v>69147.634155725667</v>
          </cell>
        </row>
        <row r="39">
          <cell r="C39">
            <v>0</v>
          </cell>
          <cell r="D39">
            <v>0</v>
          </cell>
          <cell r="Q39">
            <v>0</v>
          </cell>
          <cell r="AF39">
            <v>0</v>
          </cell>
          <cell r="BM39">
            <v>0</v>
          </cell>
        </row>
        <row r="40">
          <cell r="C40">
            <v>137305.44448976923</v>
          </cell>
          <cell r="D40">
            <v>192861.35333900011</v>
          </cell>
          <cell r="Q40">
            <v>154259.34096200005</v>
          </cell>
          <cell r="AF40">
            <v>222723.13023500022</v>
          </cell>
          <cell r="BM40">
            <v>59723.553791999999</v>
          </cell>
        </row>
        <row r="41">
          <cell r="C41">
            <v>14944127.711625755</v>
          </cell>
          <cell r="D41">
            <v>17424608.564165786</v>
          </cell>
          <cell r="Q41">
            <v>15787887.543220043</v>
          </cell>
          <cell r="AF41">
            <v>18650579.148522828</v>
          </cell>
          <cell r="BM41">
            <v>2390198.1059635221</v>
          </cell>
        </row>
        <row r="42">
          <cell r="C42">
            <v>131055.82850761538</v>
          </cell>
          <cell r="D42">
            <v>171976.66553599987</v>
          </cell>
          <cell r="Q42">
            <v>145163.21731399995</v>
          </cell>
          <cell r="AF42">
            <v>191744.8951009998</v>
          </cell>
          <cell r="BM42">
            <v>39536.459130000003</v>
          </cell>
        </row>
        <row r="43">
          <cell r="C43">
            <v>172781.80986367309</v>
          </cell>
          <cell r="D43">
            <v>267058.14277624985</v>
          </cell>
          <cell r="Q43">
            <v>207892.03663649995</v>
          </cell>
          <cell r="AF43">
            <v>308723.31059774995</v>
          </cell>
          <cell r="BM43">
            <v>83330.335643000013</v>
          </cell>
        </row>
        <row r="44">
          <cell r="C44">
            <v>6956770.9266151451</v>
          </cell>
          <cell r="D44">
            <v>8771187.190986976</v>
          </cell>
          <cell r="Q44">
            <v>7622316.5710678454</v>
          </cell>
          <cell r="AF44">
            <v>9590072.1913339738</v>
          </cell>
          <cell r="BM44">
            <v>1625485.2334451259</v>
          </cell>
        </row>
        <row r="45">
          <cell r="C45">
            <v>0</v>
          </cell>
          <cell r="D45">
            <v>0</v>
          </cell>
          <cell r="Q45">
            <v>0</v>
          </cell>
          <cell r="AF45">
            <v>0</v>
          </cell>
        </row>
        <row r="50">
          <cell r="C50">
            <v>0</v>
          </cell>
          <cell r="D50">
            <v>0</v>
          </cell>
          <cell r="Q50">
            <v>0</v>
          </cell>
          <cell r="AF50">
            <v>0</v>
          </cell>
          <cell r="BM50">
            <v>0</v>
          </cell>
        </row>
        <row r="51">
          <cell r="C51">
            <v>0</v>
          </cell>
          <cell r="D51">
            <v>0</v>
          </cell>
          <cell r="Q51">
            <v>0</v>
          </cell>
          <cell r="AF51">
            <v>0</v>
          </cell>
          <cell r="BM51">
            <v>0</v>
          </cell>
        </row>
        <row r="52">
          <cell r="C52">
            <v>2962991.0998761365</v>
          </cell>
          <cell r="D52">
            <v>3423208.4441748341</v>
          </cell>
          <cell r="Q52">
            <v>3165475.5770774493</v>
          </cell>
          <cell r="AF52">
            <v>3581469.7894776734</v>
          </cell>
          <cell r="BM52">
            <v>316360.80588221969</v>
          </cell>
        </row>
        <row r="53">
          <cell r="C53">
            <v>1946614.3812043266</v>
          </cell>
          <cell r="D53">
            <v>2089895.5328387504</v>
          </cell>
          <cell r="Q53">
            <v>1994629.3101874995</v>
          </cell>
          <cell r="AF53">
            <v>2162244.2703962508</v>
          </cell>
          <cell r="BM53">
            <v>144697.47511499998</v>
          </cell>
        </row>
        <row r="54">
          <cell r="C54">
            <v>3884958.9958732128</v>
          </cell>
          <cell r="D54">
            <v>4322574.8203697493</v>
          </cell>
          <cell r="Q54">
            <v>4078545.9461004995</v>
          </cell>
          <cell r="AF54">
            <v>4472069.9865887491</v>
          </cell>
          <cell r="BM54">
            <v>298990.33243800001</v>
          </cell>
        </row>
        <row r="55">
          <cell r="C55">
            <v>1106063.1747867686</v>
          </cell>
          <cell r="D55">
            <v>1271853.072491999</v>
          </cell>
          <cell r="Q55">
            <v>1158556.3192079989</v>
          </cell>
          <cell r="AF55">
            <v>1359004.4211719993</v>
          </cell>
          <cell r="BM55">
            <v>174302.69735999999</v>
          </cell>
        </row>
        <row r="56">
          <cell r="C56">
            <v>0</v>
          </cell>
          <cell r="D56">
            <v>0</v>
          </cell>
          <cell r="Q56">
            <v>0</v>
          </cell>
          <cell r="AF56">
            <v>0</v>
          </cell>
          <cell r="BM56">
            <v>0</v>
          </cell>
        </row>
        <row r="57">
          <cell r="C57">
            <v>0</v>
          </cell>
          <cell r="D57">
            <v>0</v>
          </cell>
          <cell r="Q57">
            <v>0</v>
          </cell>
          <cell r="AF57">
            <v>0</v>
          </cell>
          <cell r="BM57">
            <v>0</v>
          </cell>
        </row>
        <row r="58">
          <cell r="C58">
            <v>0</v>
          </cell>
          <cell r="D58">
            <v>0</v>
          </cell>
          <cell r="Q58">
            <v>0</v>
          </cell>
          <cell r="AF58">
            <v>0</v>
          </cell>
          <cell r="BM58">
            <v>0</v>
          </cell>
        </row>
        <row r="59">
          <cell r="C59">
            <v>96403.959653769241</v>
          </cell>
          <cell r="D59">
            <v>129934.20926100003</v>
          </cell>
          <cell r="Q59">
            <v>107023.48871400002</v>
          </cell>
          <cell r="AF59">
            <v>147557.84045099997</v>
          </cell>
          <cell r="BM59">
            <v>35247.262380000015</v>
          </cell>
        </row>
        <row r="60">
          <cell r="C60">
            <v>96243.764013384629</v>
          </cell>
          <cell r="D60">
            <v>96686.997029000035</v>
          </cell>
          <cell r="Q60">
            <v>96686.997029000035</v>
          </cell>
          <cell r="AF60">
            <v>96686.997029000035</v>
          </cell>
          <cell r="BM60">
            <v>0</v>
          </cell>
        </row>
        <row r="61">
          <cell r="C61">
            <v>216593.89713111534</v>
          </cell>
          <cell r="D61">
            <v>293171.43583450012</v>
          </cell>
          <cell r="Q61">
            <v>241879.77648700002</v>
          </cell>
          <cell r="AF61">
            <v>332001.23193850019</v>
          </cell>
          <cell r="BM61">
            <v>77659.592207999987</v>
          </cell>
        </row>
        <row r="62">
          <cell r="C62">
            <v>21819.418485480768</v>
          </cell>
          <cell r="D62">
            <v>23747.598875480784</v>
          </cell>
          <cell r="Q62">
            <v>22977.511517500006</v>
          </cell>
          <cell r="AF62">
            <v>23762.293175416678</v>
          </cell>
          <cell r="BM62">
            <v>191.02589916666668</v>
          </cell>
        </row>
        <row r="63">
          <cell r="C63">
            <v>1329992.8018566354</v>
          </cell>
          <cell r="D63">
            <v>1477652.4880972514</v>
          </cell>
          <cell r="Q63">
            <v>1385392.4154675012</v>
          </cell>
          <cell r="AF63">
            <v>1541933.2229932514</v>
          </cell>
          <cell r="BM63">
            <v>128561.469792</v>
          </cell>
        </row>
        <row r="64">
          <cell r="C64">
            <v>198807.50642423081</v>
          </cell>
          <cell r="D64">
            <v>224094.17706299998</v>
          </cell>
          <cell r="Q64">
            <v>208280.93529000005</v>
          </cell>
          <cell r="AF64">
            <v>235111.80119099992</v>
          </cell>
          <cell r="BM64">
            <v>22035.248256000003</v>
          </cell>
        </row>
        <row r="65">
          <cell r="C65">
            <v>17598.758521519227</v>
          </cell>
          <cell r="D65">
            <v>22776.469388749996</v>
          </cell>
          <cell r="Q65">
            <v>19248.674508499997</v>
          </cell>
          <cell r="AF65">
            <v>25360.307014749997</v>
          </cell>
          <cell r="BM65">
            <v>5167.675252</v>
          </cell>
        </row>
        <row r="66">
          <cell r="C66">
            <v>170774.92534780764</v>
          </cell>
          <cell r="D66">
            <v>209910.30266749996</v>
          </cell>
          <cell r="Q66">
            <v>182954.12414899998</v>
          </cell>
          <cell r="AF66">
            <v>229653.62411149987</v>
          </cell>
          <cell r="BM66">
            <v>39486.642888000002</v>
          </cell>
        </row>
        <row r="67">
          <cell r="C67">
            <v>-154264.62999999995</v>
          </cell>
          <cell r="D67">
            <v>-154264.62999999995</v>
          </cell>
          <cell r="Q67">
            <v>-154264.63</v>
          </cell>
          <cell r="AF67">
            <v>-154264.63</v>
          </cell>
          <cell r="BM67">
            <v>0</v>
          </cell>
        </row>
        <row r="68">
          <cell r="C68">
            <v>6163505.824550054</v>
          </cell>
          <cell r="D68">
            <v>7541174.9210031861</v>
          </cell>
          <cell r="Q68">
            <v>6627886.447047662</v>
          </cell>
          <cell r="AF68">
            <v>8219168.0798418261</v>
          </cell>
          <cell r="BM68">
            <v>1353496.4528540529</v>
          </cell>
        </row>
        <row r="69">
          <cell r="C69">
            <v>1663107.3549835384</v>
          </cell>
          <cell r="D69">
            <v>1927929.9492300001</v>
          </cell>
          <cell r="Q69">
            <v>1761228.9627960003</v>
          </cell>
          <cell r="AF69">
            <v>2045321.8992660004</v>
          </cell>
          <cell r="BM69">
            <v>234783.90007200002</v>
          </cell>
        </row>
        <row r="70">
          <cell r="C70">
            <v>178484.25530090384</v>
          </cell>
          <cell r="D70">
            <v>214248.86113374995</v>
          </cell>
          <cell r="Q70">
            <v>190861.63826049995</v>
          </cell>
          <cell r="AF70">
            <v>231727.99987675002</v>
          </cell>
          <cell r="BM70">
            <v>34958.277485999999</v>
          </cell>
        </row>
        <row r="71">
          <cell r="C71">
            <v>-187460.10192934566</v>
          </cell>
          <cell r="D71">
            <v>-4667.9156808679691</v>
          </cell>
          <cell r="Q71">
            <v>-147067.25272037211</v>
          </cell>
          <cell r="AF71">
            <v>123089.58403767468</v>
          </cell>
          <cell r="BM71">
            <v>245485.22462358244</v>
          </cell>
        </row>
        <row r="72">
          <cell r="C72">
            <v>-57199.469999999979</v>
          </cell>
          <cell r="D72">
            <v>-57199.469999999979</v>
          </cell>
          <cell r="Q72">
            <v>-57199.47</v>
          </cell>
          <cell r="AF72">
            <v>-57199.47</v>
          </cell>
          <cell r="BM72">
            <v>0</v>
          </cell>
        </row>
        <row r="73">
          <cell r="C73">
            <v>45635047.344762444</v>
          </cell>
          <cell r="D73">
            <v>54182313.193701185</v>
          </cell>
          <cell r="Q73">
            <v>48829188.1365081</v>
          </cell>
          <cell r="AF73">
            <v>57941104.028163306</v>
          </cell>
          <cell r="BM73">
            <v>7507597.3450051798</v>
          </cell>
        </row>
        <row r="74">
          <cell r="C74">
            <v>186069.1328286154</v>
          </cell>
          <cell r="D74">
            <v>238357.10306000017</v>
          </cell>
          <cell r="Q74">
            <v>206002.76479200009</v>
          </cell>
          <cell r="AF74">
            <v>260880.17893200027</v>
          </cell>
          <cell r="BM74">
            <v>45046.151743999995</v>
          </cell>
        </row>
        <row r="75">
          <cell r="C75">
            <v>49347.898836461543</v>
          </cell>
          <cell r="D75">
            <v>61355.797057999982</v>
          </cell>
          <cell r="Q75">
            <v>52975.079963999982</v>
          </cell>
          <cell r="AF75">
            <v>67838.959169999973</v>
          </cell>
          <cell r="BM75">
            <v>12966.324224000004</v>
          </cell>
        </row>
        <row r="76">
          <cell r="C76">
            <v>-27794.299144923079</v>
          </cell>
          <cell r="D76">
            <v>-27452.861836</v>
          </cell>
          <cell r="Q76">
            <v>-27684.866823999997</v>
          </cell>
          <cell r="AF76">
            <v>-27275.53843600001</v>
          </cell>
          <cell r="BM76">
            <v>354.64679999999998</v>
          </cell>
        </row>
        <row r="77">
          <cell r="C77">
            <v>-9966.4100000000017</v>
          </cell>
          <cell r="D77">
            <v>-9966.4100000000017</v>
          </cell>
          <cell r="Q77">
            <v>-9966.41</v>
          </cell>
          <cell r="AF77">
            <v>-9966.41</v>
          </cell>
          <cell r="BM77">
            <v>0</v>
          </cell>
        </row>
        <row r="78">
          <cell r="C78">
            <v>0</v>
          </cell>
          <cell r="D78">
            <v>0</v>
          </cell>
          <cell r="Q78">
            <v>0</v>
          </cell>
          <cell r="AF78">
            <v>0</v>
          </cell>
          <cell r="BM78">
            <v>0</v>
          </cell>
        </row>
        <row r="79">
          <cell r="C79">
            <v>0</v>
          </cell>
          <cell r="D79">
            <v>0</v>
          </cell>
          <cell r="Q79">
            <v>0</v>
          </cell>
          <cell r="AF79">
            <v>0</v>
          </cell>
        </row>
        <row r="84">
          <cell r="C84">
            <v>0</v>
          </cell>
          <cell r="D84">
            <v>0</v>
          </cell>
          <cell r="Q84">
            <v>0</v>
          </cell>
          <cell r="AF84">
            <v>0</v>
          </cell>
          <cell r="BM84">
            <v>0</v>
          </cell>
        </row>
        <row r="85">
          <cell r="D85">
            <v>0</v>
          </cell>
          <cell r="Q85">
            <v>0</v>
          </cell>
          <cell r="AF85">
            <v>0</v>
          </cell>
          <cell r="BM85">
            <v>0</v>
          </cell>
        </row>
        <row r="86">
          <cell r="C86">
            <v>96452.777502076933</v>
          </cell>
          <cell r="D86">
            <v>101989.85680500012</v>
          </cell>
          <cell r="Q86">
            <v>98667.610722000041</v>
          </cell>
          <cell r="AF86">
            <v>104204.68752700015</v>
          </cell>
          <cell r="BM86">
            <v>4429.6614439999985</v>
          </cell>
        </row>
        <row r="87">
          <cell r="C87">
            <v>11368.833420980771</v>
          </cell>
          <cell r="D87">
            <v>12605.31176625001</v>
          </cell>
          <cell r="Q87">
            <v>11863.422706500005</v>
          </cell>
          <cell r="AF87">
            <v>13099.904472750013</v>
          </cell>
          <cell r="BM87">
            <v>989.18541299999981</v>
          </cell>
        </row>
        <row r="88">
          <cell r="C88">
            <v>38834</v>
          </cell>
          <cell r="D88">
            <v>38834</v>
          </cell>
          <cell r="Q88">
            <v>38834</v>
          </cell>
          <cell r="AF88">
            <v>38834</v>
          </cell>
          <cell r="BM88">
            <v>0</v>
          </cell>
        </row>
        <row r="89">
          <cell r="C89">
            <v>2971.0610673076926</v>
          </cell>
          <cell r="D89">
            <v>3726.0856250000038</v>
          </cell>
          <cell r="Q89">
            <v>2716.2882500000014</v>
          </cell>
          <cell r="AF89">
            <v>4399.2838750000046</v>
          </cell>
          <cell r="BM89">
            <v>1346.3964999999998</v>
          </cell>
        </row>
        <row r="90">
          <cell r="C90">
            <v>0</v>
          </cell>
          <cell r="D90">
            <v>0</v>
          </cell>
          <cell r="Q90">
            <v>0</v>
          </cell>
          <cell r="AF90">
            <v>0</v>
          </cell>
          <cell r="BM90">
            <v>0</v>
          </cell>
        </row>
        <row r="91">
          <cell r="C91">
            <v>0</v>
          </cell>
          <cell r="D91">
            <v>0</v>
          </cell>
          <cell r="Q91">
            <v>0</v>
          </cell>
          <cell r="AF91">
            <v>0</v>
          </cell>
          <cell r="BM91">
            <v>0</v>
          </cell>
        </row>
        <row r="92">
          <cell r="C92">
            <v>16058.207540442307</v>
          </cell>
          <cell r="D92">
            <v>17903.337161250016</v>
          </cell>
          <cell r="Q92">
            <v>16796.260864500004</v>
          </cell>
          <cell r="AF92">
            <v>18641.388025750024</v>
          </cell>
          <cell r="BM92">
            <v>1476.101729</v>
          </cell>
        </row>
        <row r="93">
          <cell r="C93">
            <v>0</v>
          </cell>
          <cell r="D93">
            <v>0</v>
          </cell>
          <cell r="Q93">
            <v>0</v>
          </cell>
          <cell r="AF93">
            <v>0</v>
          </cell>
          <cell r="BM93">
            <v>0</v>
          </cell>
        </row>
        <row r="94">
          <cell r="C94">
            <v>43818.04552801283</v>
          </cell>
          <cell r="D94">
            <v>51967.830032935912</v>
          </cell>
          <cell r="Q94">
            <v>46764.43758366668</v>
          </cell>
          <cell r="AF94">
            <v>55701.137003999997</v>
          </cell>
          <cell r="BM94">
            <v>7328.4464113333297</v>
          </cell>
        </row>
        <row r="95">
          <cell r="C95">
            <v>11338.306412807688</v>
          </cell>
          <cell r="D95">
            <v>12625.65954749999</v>
          </cell>
          <cell r="Q95">
            <v>11853.243818999994</v>
          </cell>
          <cell r="AF95">
            <v>13140.603366499985</v>
          </cell>
          <cell r="BM95">
            <v>1029.8876379999999</v>
          </cell>
        </row>
        <row r="96">
          <cell r="C96">
            <v>-14226.329230769234</v>
          </cell>
          <cell r="D96">
            <v>-22686.890000000007</v>
          </cell>
          <cell r="Q96">
            <v>-22686.89</v>
          </cell>
          <cell r="AF96">
            <v>-22686.89</v>
          </cell>
          <cell r="BM96">
            <v>0</v>
          </cell>
        </row>
        <row r="97">
          <cell r="C97">
            <v>0</v>
          </cell>
          <cell r="D97">
            <v>0</v>
          </cell>
          <cell r="Q97">
            <v>0</v>
          </cell>
          <cell r="AF97">
            <v>0</v>
          </cell>
          <cell r="BM97">
            <v>0</v>
          </cell>
        </row>
        <row r="98">
          <cell r="C98">
            <v>0</v>
          </cell>
          <cell r="D98">
            <v>0</v>
          </cell>
          <cell r="Q98">
            <v>0</v>
          </cell>
          <cell r="AF98">
            <v>0</v>
          </cell>
          <cell r="BM98">
            <v>0</v>
          </cell>
        </row>
        <row r="99">
          <cell r="C99">
            <v>-125979.59999999999</v>
          </cell>
          <cell r="D99">
            <v>-127018.46999999999</v>
          </cell>
          <cell r="Q99">
            <v>-127018.46999999999</v>
          </cell>
          <cell r="AF99">
            <v>-127018.46999999999</v>
          </cell>
          <cell r="BM99">
            <v>0</v>
          </cell>
        </row>
        <row r="100">
          <cell r="C100">
            <v>0</v>
          </cell>
          <cell r="D100">
            <v>0</v>
          </cell>
          <cell r="Q100">
            <v>0</v>
          </cell>
          <cell r="AF100">
            <v>0</v>
          </cell>
          <cell r="BM100">
            <v>0</v>
          </cell>
        </row>
        <row r="101">
          <cell r="C101">
            <v>0</v>
          </cell>
          <cell r="D101">
            <v>0</v>
          </cell>
          <cell r="Q101">
            <v>0</v>
          </cell>
          <cell r="AF101">
            <v>0</v>
          </cell>
          <cell r="BM101">
            <v>0</v>
          </cell>
        </row>
        <row r="102">
          <cell r="C102">
            <v>0</v>
          </cell>
          <cell r="D102">
            <v>0</v>
          </cell>
          <cell r="Q102">
            <v>0</v>
          </cell>
          <cell r="AF102">
            <v>0</v>
          </cell>
          <cell r="BM102">
            <v>0</v>
          </cell>
        </row>
        <row r="103">
          <cell r="C103">
            <v>6509.0259230769252</v>
          </cell>
          <cell r="D103">
            <v>10042.325000000001</v>
          </cell>
          <cell r="Q103">
            <v>7922.3420000000015</v>
          </cell>
          <cell r="AF103">
            <v>11455.647000000001</v>
          </cell>
          <cell r="BM103">
            <v>2826.6440000000002</v>
          </cell>
        </row>
        <row r="104">
          <cell r="C104">
            <v>6425.0630769230775</v>
          </cell>
          <cell r="D104">
            <v>1.0089706847793423E-12</v>
          </cell>
          <cell r="Q104">
            <v>1.0089706847793423E-12</v>
          </cell>
          <cell r="AF104">
            <v>1.0089706847793423E-12</v>
          </cell>
          <cell r="BM104">
            <v>0</v>
          </cell>
        </row>
        <row r="105">
          <cell r="C105">
            <v>52100.464233076935</v>
          </cell>
          <cell r="D105">
            <v>64330.366450000023</v>
          </cell>
          <cell r="Q105">
            <v>56992.428580000014</v>
          </cell>
          <cell r="AF105">
            <v>69222.325030000022</v>
          </cell>
          <cell r="BM105">
            <v>9783.9171599999991</v>
          </cell>
        </row>
        <row r="106">
          <cell r="C106">
            <v>374175.09076923074</v>
          </cell>
          <cell r="D106">
            <v>237874.81000000003</v>
          </cell>
          <cell r="Q106">
            <v>237874.80999999994</v>
          </cell>
          <cell r="AF106">
            <v>237874.80999999994</v>
          </cell>
          <cell r="BM106">
            <v>0</v>
          </cell>
        </row>
        <row r="107">
          <cell r="C107">
            <v>52517.30000000001</v>
          </cell>
          <cell r="D107">
            <v>52517.30000000001</v>
          </cell>
          <cell r="Q107">
            <v>52517.30000000001</v>
          </cell>
          <cell r="AF107">
            <v>52517.30000000001</v>
          </cell>
        </row>
        <row r="112">
          <cell r="C112">
            <v>8329.7199999999993</v>
          </cell>
          <cell r="D112">
            <v>8329.7199999999993</v>
          </cell>
          <cell r="Q112">
            <v>8329.7199999999993</v>
          </cell>
          <cell r="AF112">
            <v>8329.7199999999993</v>
          </cell>
          <cell r="BM112">
            <v>0</v>
          </cell>
        </row>
        <row r="113">
          <cell r="C113">
            <v>119852.68999999996</v>
          </cell>
          <cell r="D113">
            <v>119852.68999999996</v>
          </cell>
          <cell r="Q113">
            <v>119852.69</v>
          </cell>
          <cell r="AF113">
            <v>119852.69</v>
          </cell>
          <cell r="BM113">
            <v>0</v>
          </cell>
        </row>
        <row r="114">
          <cell r="C114">
            <v>0</v>
          </cell>
          <cell r="D114">
            <v>0</v>
          </cell>
          <cell r="Q114">
            <v>0</v>
          </cell>
          <cell r="AF114">
            <v>0</v>
          </cell>
          <cell r="BM114">
            <v>0</v>
          </cell>
        </row>
        <row r="115">
          <cell r="D115">
            <v>0</v>
          </cell>
          <cell r="Q115">
            <v>0</v>
          </cell>
          <cell r="AF115">
            <v>0</v>
          </cell>
          <cell r="BM115">
            <v>0</v>
          </cell>
        </row>
        <row r="116">
          <cell r="D116">
            <v>0</v>
          </cell>
          <cell r="Q116">
            <v>0</v>
          </cell>
          <cell r="AF116">
            <v>0</v>
          </cell>
          <cell r="BM116">
            <v>0</v>
          </cell>
        </row>
        <row r="117">
          <cell r="C117">
            <v>0</v>
          </cell>
          <cell r="D117">
            <v>0</v>
          </cell>
          <cell r="Q117">
            <v>0</v>
          </cell>
          <cell r="AF117">
            <v>0</v>
          </cell>
          <cell r="BM117">
            <v>0</v>
          </cell>
        </row>
        <row r="118">
          <cell r="C118">
            <v>4096.9172272307705</v>
          </cell>
          <cell r="D118">
            <v>4125.4676380000019</v>
          </cell>
          <cell r="Q118">
            <v>4105.3368440000004</v>
          </cell>
          <cell r="AF118">
            <v>4141.3850100000036</v>
          </cell>
          <cell r="BM118">
            <v>31.834743999999997</v>
          </cell>
        </row>
        <row r="119">
          <cell r="C119">
            <v>6593.8633323076929</v>
          </cell>
          <cell r="D119">
            <v>6955.7570380000006</v>
          </cell>
          <cell r="Q119">
            <v>6737.1795200000015</v>
          </cell>
          <cell r="AF119">
            <v>7102.6697959999992</v>
          </cell>
          <cell r="BM119">
            <v>293.82551599999994</v>
          </cell>
        </row>
        <row r="120">
          <cell r="C120">
            <v>111758.65506500004</v>
          </cell>
          <cell r="D120">
            <v>114164.86241</v>
          </cell>
          <cell r="Q120">
            <v>112662.90167000002</v>
          </cell>
          <cell r="AF120">
            <v>115214.70231500002</v>
          </cell>
          <cell r="BM120">
            <v>2099.6798100000005</v>
          </cell>
        </row>
        <row r="121">
          <cell r="C121">
            <v>19974.974469499997</v>
          </cell>
          <cell r="D121">
            <v>20239.325991500002</v>
          </cell>
          <cell r="Q121">
            <v>20066.366601000005</v>
          </cell>
          <cell r="AF121">
            <v>20366.587081499994</v>
          </cell>
          <cell r="BM121">
            <v>254.52218000000002</v>
          </cell>
        </row>
        <row r="122">
          <cell r="C122">
            <v>98838.524086923106</v>
          </cell>
          <cell r="D122">
            <v>101023.85622700004</v>
          </cell>
          <cell r="Q122">
            <v>99663.17518000002</v>
          </cell>
          <cell r="AF122">
            <v>101972.20968400006</v>
          </cell>
          <cell r="BM122">
            <v>1896.7069140000001</v>
          </cell>
        </row>
        <row r="123">
          <cell r="C123">
            <v>1639625.5488617311</v>
          </cell>
          <cell r="D123">
            <v>1855803.928566</v>
          </cell>
          <cell r="Q123">
            <v>1725915.2329150001</v>
          </cell>
          <cell r="AF123">
            <v>1942547.7777595005</v>
          </cell>
          <cell r="BM123">
            <v>173487.69838699998</v>
          </cell>
        </row>
        <row r="124">
          <cell r="C124">
            <v>1404757.4718245382</v>
          </cell>
          <cell r="D124">
            <v>1436462.4527709996</v>
          </cell>
          <cell r="Q124">
            <v>1416827.4696339997</v>
          </cell>
          <cell r="AF124">
            <v>1450062.4410909999</v>
          </cell>
          <cell r="BM124">
            <v>27199.976640000004</v>
          </cell>
        </row>
        <row r="125">
          <cell r="C125">
            <v>446942.10387073079</v>
          </cell>
          <cell r="D125">
            <v>449390.83437700005</v>
          </cell>
          <cell r="Q125">
            <v>449390.83437699999</v>
          </cell>
          <cell r="AF125">
            <v>449390.83437699999</v>
          </cell>
          <cell r="BM125">
            <v>0</v>
          </cell>
        </row>
        <row r="126">
          <cell r="C126">
            <v>602635.0711113849</v>
          </cell>
          <cell r="D126">
            <v>631786.196912001</v>
          </cell>
          <cell r="Q126">
            <v>614159.93412800063</v>
          </cell>
          <cell r="AF126">
            <v>643650.02763200121</v>
          </cell>
          <cell r="BM126">
            <v>23727.661440000007</v>
          </cell>
        </row>
        <row r="127">
          <cell r="C127">
            <v>163540.40396048079</v>
          </cell>
          <cell r="D127">
            <v>164241.1406032501</v>
          </cell>
          <cell r="Q127">
            <v>163674.30756750004</v>
          </cell>
          <cell r="AF127">
            <v>164741.0248552502</v>
          </cell>
          <cell r="BM127">
            <v>999.76850399999978</v>
          </cell>
        </row>
        <row r="128">
          <cell r="C128">
            <v>42932.278829653835</v>
          </cell>
          <cell r="D128">
            <v>43530.306256500007</v>
          </cell>
          <cell r="Q128">
            <v>43145.27565299999</v>
          </cell>
          <cell r="AF128">
            <v>43808.839033500015</v>
          </cell>
          <cell r="BM128">
            <v>557.06555399999991</v>
          </cell>
        </row>
        <row r="129">
          <cell r="C129">
            <v>99095.120557846181</v>
          </cell>
          <cell r="D129">
            <v>101672.77043900004</v>
          </cell>
          <cell r="Q129">
            <v>100077.08207200005</v>
          </cell>
          <cell r="AF129">
            <v>102777.47777000003</v>
          </cell>
          <cell r="BM129">
            <v>2209.4146619999997</v>
          </cell>
        </row>
        <row r="130">
          <cell r="C130">
            <v>148261.55695692298</v>
          </cell>
          <cell r="D130">
            <v>151338.53782999978</v>
          </cell>
          <cell r="Q130">
            <v>149433.73583999986</v>
          </cell>
          <cell r="AF130">
            <v>152657.24689999968</v>
          </cell>
          <cell r="BM130">
            <v>2637.4181399999998</v>
          </cell>
        </row>
        <row r="131">
          <cell r="C131">
            <v>486380.05474115373</v>
          </cell>
          <cell r="D131">
            <v>505633.90014249959</v>
          </cell>
          <cell r="Q131">
            <v>493952.30760999973</v>
          </cell>
          <cell r="AF131">
            <v>513529.36386999954</v>
          </cell>
          <cell r="BM131">
            <v>15790.927455000005</v>
          </cell>
        </row>
        <row r="132">
          <cell r="C132">
            <v>151888.98231319225</v>
          </cell>
          <cell r="D132">
            <v>157944.63612650003</v>
          </cell>
          <cell r="Q132">
            <v>154223.86144899993</v>
          </cell>
          <cell r="AF132">
            <v>160497.97507950009</v>
          </cell>
          <cell r="BM132">
            <v>5106.6779060000008</v>
          </cell>
        </row>
        <row r="133">
          <cell r="C133">
            <v>207611.10555894233</v>
          </cell>
          <cell r="D133">
            <v>230098.53359625002</v>
          </cell>
          <cell r="Q133">
            <v>215694.14064750003</v>
          </cell>
          <cell r="AF133">
            <v>240461.40622125004</v>
          </cell>
          <cell r="BM133">
            <v>20725.745249999996</v>
          </cell>
        </row>
        <row r="134">
          <cell r="C134">
            <v>0</v>
          </cell>
          <cell r="D134">
            <v>0</v>
          </cell>
          <cell r="Q134">
            <v>0</v>
          </cell>
          <cell r="AF134">
            <v>0</v>
          </cell>
          <cell r="BM134">
            <v>0</v>
          </cell>
        </row>
        <row r="135">
          <cell r="C135">
            <v>579657.50364615384</v>
          </cell>
          <cell r="D135">
            <v>588161.67560000008</v>
          </cell>
          <cell r="Q135">
            <v>582868.26640000008</v>
          </cell>
          <cell r="AF135">
            <v>591849.70660000003</v>
          </cell>
          <cell r="BM135">
            <v>7376.0620000000026</v>
          </cell>
        </row>
        <row r="136">
          <cell r="C136">
            <v>23324.274336230781</v>
          </cell>
          <cell r="D136">
            <v>23862.063877000011</v>
          </cell>
          <cell r="Q136">
            <v>23498.226106000016</v>
          </cell>
          <cell r="AF136">
            <v>24138.923595000004</v>
          </cell>
          <cell r="BM136">
            <v>553.71943599999997</v>
          </cell>
        </row>
        <row r="137">
          <cell r="C137">
            <v>65485.020000000011</v>
          </cell>
          <cell r="D137">
            <v>65485.020000000011</v>
          </cell>
          <cell r="Q137">
            <v>65485.02</v>
          </cell>
          <cell r="AF137">
            <v>65485.02</v>
          </cell>
          <cell r="BM137">
            <v>0</v>
          </cell>
        </row>
        <row r="138">
          <cell r="C138">
            <v>24012.465398615379</v>
          </cell>
          <cell r="D138">
            <v>25913.585432499971</v>
          </cell>
          <cell r="Q138">
            <v>24787.080051999983</v>
          </cell>
          <cell r="AF138">
            <v>26652.780786999963</v>
          </cell>
          <cell r="BM138">
            <v>1478.3907090000002</v>
          </cell>
        </row>
        <row r="139">
          <cell r="C139">
            <v>16307435.49812777</v>
          </cell>
          <cell r="D139">
            <v>16741557.929572005</v>
          </cell>
          <cell r="Q139">
            <v>16468839.993046004</v>
          </cell>
          <cell r="AF139">
            <v>16933573.619575009</v>
          </cell>
          <cell r="BM139">
            <v>384031.38000599999</v>
          </cell>
        </row>
        <row r="140">
          <cell r="C140">
            <v>46005.548788461521</v>
          </cell>
          <cell r="D140">
            <v>49204.138749999969</v>
          </cell>
          <cell r="Q140">
            <v>47284.985499999981</v>
          </cell>
          <cell r="AF140">
            <v>50483.574249999961</v>
          </cell>
          <cell r="BM140">
            <v>2558.8710000000005</v>
          </cell>
        </row>
        <row r="141">
          <cell r="C141">
            <v>409058.54955048062</v>
          </cell>
          <cell r="D141">
            <v>445700.99892175006</v>
          </cell>
          <cell r="Q141">
            <v>421555.98118749994</v>
          </cell>
          <cell r="AF141">
            <v>463597.30606225011</v>
          </cell>
          <cell r="BM141">
            <v>35792.614281000002</v>
          </cell>
        </row>
        <row r="142">
          <cell r="C142">
            <v>1974308.6628437503</v>
          </cell>
          <cell r="D142">
            <v>2015897.2344892507</v>
          </cell>
          <cell r="Q142">
            <v>1988493.0305625007</v>
          </cell>
          <cell r="AF142">
            <v>2036209.2531347505</v>
          </cell>
          <cell r="BM142">
            <v>40624.037291000008</v>
          </cell>
        </row>
        <row r="143">
          <cell r="C143">
            <v>0</v>
          </cell>
          <cell r="D143">
            <v>0</v>
          </cell>
          <cell r="Q143">
            <v>0</v>
          </cell>
          <cell r="AF143">
            <v>0</v>
          </cell>
          <cell r="BM143">
            <v>0</v>
          </cell>
        </row>
        <row r="144">
          <cell r="C144">
            <v>0</v>
          </cell>
          <cell r="D144">
            <v>0</v>
          </cell>
          <cell r="Q144">
            <v>0</v>
          </cell>
          <cell r="AF144">
            <v>0</v>
          </cell>
          <cell r="BM144">
            <v>0</v>
          </cell>
        </row>
        <row r="145">
          <cell r="C145">
            <v>409512.54129998095</v>
          </cell>
          <cell r="D145">
            <v>467304.79470425029</v>
          </cell>
          <cell r="Q145">
            <v>432486.96482850017</v>
          </cell>
          <cell r="AF145">
            <v>490635.41216575023</v>
          </cell>
          <cell r="BM145">
            <v>46661.234922999989</v>
          </cell>
        </row>
        <row r="146">
          <cell r="C146">
            <v>0</v>
          </cell>
          <cell r="D146">
            <v>0</v>
          </cell>
          <cell r="Q146">
            <v>0</v>
          </cell>
          <cell r="AF146">
            <v>0</v>
          </cell>
          <cell r="BM146">
            <v>0</v>
          </cell>
        </row>
        <row r="147">
          <cell r="C147">
            <v>134628.06730288468</v>
          </cell>
          <cell r="D147">
            <v>140200.03697550006</v>
          </cell>
          <cell r="Q147">
            <v>136729.10712500007</v>
          </cell>
          <cell r="AF147">
            <v>142620.44326350006</v>
          </cell>
          <cell r="BM147">
            <v>4840.8125759999984</v>
          </cell>
        </row>
        <row r="148">
          <cell r="C148">
            <v>89903.555507211509</v>
          </cell>
          <cell r="D148">
            <v>91558.04550475</v>
          </cell>
          <cell r="Q148">
            <v>90527.423312500003</v>
          </cell>
          <cell r="AF148">
            <v>92276.73604074998</v>
          </cell>
          <cell r="BM148">
            <v>1437.3810720000004</v>
          </cell>
        </row>
        <row r="149">
          <cell r="C149">
            <v>45294.503012019246</v>
          </cell>
          <cell r="D149">
            <v>46048.51732740389</v>
          </cell>
          <cell r="Q149">
            <v>45583.651187500029</v>
          </cell>
          <cell r="AF149">
            <v>46283.397061250056</v>
          </cell>
          <cell r="BM149">
            <v>555.17027999999993</v>
          </cell>
        </row>
        <row r="150">
          <cell r="C150">
            <v>3362.0131634615382</v>
          </cell>
          <cell r="D150">
            <v>3428.3942009999987</v>
          </cell>
          <cell r="Q150">
            <v>3387.0417500000003</v>
          </cell>
          <cell r="AF150">
            <v>3457.2307769999979</v>
          </cell>
          <cell r="BM150">
            <v>57.67315199999998</v>
          </cell>
        </row>
        <row r="151">
          <cell r="C151">
            <v>1070547.6442800839</v>
          </cell>
          <cell r="D151">
            <v>1232142.9648947881</v>
          </cell>
          <cell r="Q151">
            <v>1123391.8590872192</v>
          </cell>
          <cell r="AF151">
            <v>1315310.4681985781</v>
          </cell>
          <cell r="BM151">
            <v>163906.5869907912</v>
          </cell>
        </row>
        <row r="152">
          <cell r="C152">
            <v>24680053.654809061</v>
          </cell>
          <cell r="D152">
            <v>24831671.178000007</v>
          </cell>
          <cell r="Q152">
            <v>24762236.08994627</v>
          </cell>
          <cell r="AF152">
            <v>25277575.995357566</v>
          </cell>
          <cell r="BM152">
            <v>3185067.8388914466</v>
          </cell>
        </row>
        <row r="153">
          <cell r="C153">
            <v>16994937.629065141</v>
          </cell>
          <cell r="D153">
            <v>20292484.793292549</v>
          </cell>
          <cell r="Q153">
            <v>18189112.632607847</v>
          </cell>
          <cell r="AF153">
            <v>21837909.253346913</v>
          </cell>
          <cell r="BM153">
            <v>3221562.5921501918</v>
          </cell>
        </row>
        <row r="154">
          <cell r="C154">
            <v>2528269.840574807</v>
          </cell>
          <cell r="D154">
            <v>2541354.7289809622</v>
          </cell>
          <cell r="Q154">
            <v>2536610.346808407</v>
          </cell>
          <cell r="AF154">
            <v>2568474.4231230468</v>
          </cell>
          <cell r="BM154">
            <v>197983.91978842852</v>
          </cell>
        </row>
        <row r="155">
          <cell r="C155">
            <v>7839709.3112307703</v>
          </cell>
          <cell r="D155">
            <v>8368387.7400000012</v>
          </cell>
          <cell r="Q155">
            <v>7971956.046000001</v>
          </cell>
          <cell r="AF155">
            <v>8632675.5360000003</v>
          </cell>
          <cell r="BM155">
            <v>528575.59200000006</v>
          </cell>
        </row>
        <row r="156">
          <cell r="C156">
            <v>2860167.1210372527</v>
          </cell>
          <cell r="D156">
            <v>3476301.5915876646</v>
          </cell>
          <cell r="Q156">
            <v>3098732.4919190938</v>
          </cell>
          <cell r="AF156">
            <v>3734647.5059296773</v>
          </cell>
          <cell r="BM156">
            <v>515882.48482403765</v>
          </cell>
        </row>
        <row r="157">
          <cell r="C157">
            <v>1007387.8395029625</v>
          </cell>
          <cell r="D157">
            <v>655016.24323047267</v>
          </cell>
          <cell r="Q157">
            <v>884898.52007793693</v>
          </cell>
          <cell r="AF157">
            <v>550386.40921149112</v>
          </cell>
          <cell r="BM157">
            <v>98422.00217468667</v>
          </cell>
        </row>
        <row r="158">
          <cell r="C158">
            <v>1068825.9558724554</v>
          </cell>
          <cell r="D158">
            <v>1101134.7008334526</v>
          </cell>
          <cell r="Q158">
            <v>1081197.5641259302</v>
          </cell>
          <cell r="AF158">
            <v>1116106.3283091874</v>
          </cell>
          <cell r="BM158">
            <v>37355.81315993594</v>
          </cell>
        </row>
        <row r="159">
          <cell r="C159">
            <v>43704429.221960142</v>
          </cell>
          <cell r="D159">
            <v>39052235.393643729</v>
          </cell>
          <cell r="Q159">
            <v>41982227.062868841</v>
          </cell>
          <cell r="AF159">
            <v>38254847.131651685</v>
          </cell>
          <cell r="BM159">
            <v>4632273.5983511461</v>
          </cell>
        </row>
        <row r="160">
          <cell r="C160">
            <v>17665566.008327179</v>
          </cell>
          <cell r="D160">
            <v>19847641.300832935</v>
          </cell>
          <cell r="Q160">
            <v>18498575.153043564</v>
          </cell>
          <cell r="AF160">
            <v>20868694.989251688</v>
          </cell>
          <cell r="BM160">
            <v>2443291.1821256573</v>
          </cell>
        </row>
        <row r="161">
          <cell r="C161">
            <v>26266344.091657463</v>
          </cell>
          <cell r="D161">
            <v>27765269.163531892</v>
          </cell>
          <cell r="Q161">
            <v>26810398.382154733</v>
          </cell>
          <cell r="AF161">
            <v>28526829.353499524</v>
          </cell>
          <cell r="BM161">
            <v>1906954.4779561651</v>
          </cell>
        </row>
        <row r="162">
          <cell r="C162">
            <v>-7457932.0859522736</v>
          </cell>
          <cell r="D162">
            <v>-10249939.525555925</v>
          </cell>
          <cell r="Q162">
            <v>-8522211.8342981897</v>
          </cell>
          <cell r="AF162">
            <v>-11117958.879553134</v>
          </cell>
          <cell r="BM162">
            <v>81287.979868652328</v>
          </cell>
        </row>
        <row r="163">
          <cell r="C163">
            <v>133185.60311840798</v>
          </cell>
          <cell r="D163">
            <v>143956.28162508336</v>
          </cell>
          <cell r="Q163">
            <v>136648.74515675433</v>
          </cell>
          <cell r="AF163">
            <v>149604.50305574815</v>
          </cell>
          <cell r="BM163">
            <v>11080.656080006911</v>
          </cell>
        </row>
        <row r="164">
          <cell r="C164">
            <v>3374688.3745123702</v>
          </cell>
          <cell r="D164">
            <v>3475215.6343409624</v>
          </cell>
          <cell r="Q164">
            <v>3411257.4631019752</v>
          </cell>
          <cell r="AF164">
            <v>3520929.628791031</v>
          </cell>
          <cell r="BM164">
            <v>91283.089030498988</v>
          </cell>
        </row>
        <row r="165">
          <cell r="C165">
            <v>0</v>
          </cell>
          <cell r="D165">
            <v>0</v>
          </cell>
          <cell r="Q165">
            <v>0</v>
          </cell>
          <cell r="AF165">
            <v>0</v>
          </cell>
          <cell r="BM165">
            <v>0</v>
          </cell>
        </row>
        <row r="166">
          <cell r="C166">
            <v>1470664.65924679</v>
          </cell>
          <cell r="D166">
            <v>1745163.7957468631</v>
          </cell>
          <cell r="Q166">
            <v>1578713.4416857632</v>
          </cell>
          <cell r="AF166">
            <v>1857736.5153713017</v>
          </cell>
          <cell r="BM166">
            <v>223589.38857253166</v>
          </cell>
        </row>
        <row r="167">
          <cell r="C167">
            <v>147386.6991991346</v>
          </cell>
          <cell r="D167">
            <v>152722.97525125</v>
          </cell>
          <cell r="Q167">
            <v>149541.98988249997</v>
          </cell>
          <cell r="AF167">
            <v>154826.32067875011</v>
          </cell>
          <cell r="BM167">
            <v>4206.6908549999998</v>
          </cell>
        </row>
        <row r="168">
          <cell r="C168">
            <v>361258.4272514233</v>
          </cell>
          <cell r="D168">
            <v>383119.49472350004</v>
          </cell>
          <cell r="Q168">
            <v>370087.95979100012</v>
          </cell>
          <cell r="AF168">
            <v>391736.26476049999</v>
          </cell>
          <cell r="BM168">
            <v>17233.540073999997</v>
          </cell>
        </row>
        <row r="169">
          <cell r="C169">
            <v>10040.713602269232</v>
          </cell>
          <cell r="D169">
            <v>10804.078054499996</v>
          </cell>
          <cell r="Q169">
            <v>10365.236237000001</v>
          </cell>
          <cell r="AF169">
            <v>11080.661753499991</v>
          </cell>
          <cell r="BM169">
            <v>553.16739800000005</v>
          </cell>
        </row>
        <row r="170">
          <cell r="C170">
            <v>1246194.18</v>
          </cell>
          <cell r="D170">
            <v>1246194.18</v>
          </cell>
          <cell r="Q170">
            <v>1246194.18</v>
          </cell>
          <cell r="AF170">
            <v>1246194.18</v>
          </cell>
          <cell r="BM170">
            <v>0</v>
          </cell>
        </row>
        <row r="171">
          <cell r="C171">
            <v>1078420.1195288459</v>
          </cell>
          <cell r="D171">
            <v>1188005.9156249987</v>
          </cell>
          <cell r="Q171">
            <v>1122254.4382499994</v>
          </cell>
          <cell r="AF171">
            <v>1231840.2338749983</v>
          </cell>
          <cell r="BM171">
            <v>87668.636499999979</v>
          </cell>
        </row>
        <row r="172">
          <cell r="C172"/>
          <cell r="D172"/>
          <cell r="Q172">
            <v>0</v>
          </cell>
          <cell r="AF172">
            <v>0</v>
          </cell>
          <cell r="BM172">
            <v>0</v>
          </cell>
        </row>
        <row r="173">
          <cell r="C173">
            <v>91137.745244038495</v>
          </cell>
          <cell r="D173">
            <v>102175.94507500008</v>
          </cell>
          <cell r="Q173">
            <v>95649.012335000036</v>
          </cell>
          <cell r="AF173">
            <v>106447.2466475001</v>
          </cell>
          <cell r="BM173">
            <v>8542.6031449999973</v>
          </cell>
        </row>
        <row r="174">
          <cell r="C174">
            <v>3267.4623623076914</v>
          </cell>
          <cell r="D174">
            <v>4226.8376999999973</v>
          </cell>
          <cell r="Q174">
            <v>3306.663059999998</v>
          </cell>
          <cell r="AF174">
            <v>4829.010809999997</v>
          </cell>
          <cell r="BM174">
            <v>1204.3462199999997</v>
          </cell>
        </row>
        <row r="175">
          <cell r="C175">
            <v>1678849.3218359051</v>
          </cell>
          <cell r="D175">
            <v>2184300.0389655191</v>
          </cell>
          <cell r="Q175">
            <v>1846773.5096131465</v>
          </cell>
          <cell r="AF175">
            <v>2448053.9923950536</v>
          </cell>
          <cell r="BM175">
            <v>543303.52148044819</v>
          </cell>
        </row>
        <row r="176">
          <cell r="C176">
            <v>-6489.75</v>
          </cell>
          <cell r="D176">
            <v>-6489.75</v>
          </cell>
          <cell r="Q176">
            <v>-6489.75</v>
          </cell>
          <cell r="AF176">
            <v>-6489.75</v>
          </cell>
          <cell r="BM176">
            <v>0</v>
          </cell>
        </row>
        <row r="177">
          <cell r="C177">
            <v>3201.2900000000004</v>
          </cell>
          <cell r="D177">
            <v>3201.2900000000004</v>
          </cell>
          <cell r="Q177">
            <v>3201.29</v>
          </cell>
          <cell r="AF177">
            <v>3201.29</v>
          </cell>
          <cell r="BM177">
            <v>0</v>
          </cell>
        </row>
        <row r="178">
          <cell r="C178">
            <v>1568.3384615384616</v>
          </cell>
          <cell r="D178">
            <v>0</v>
          </cell>
          <cell r="Q178">
            <v>0</v>
          </cell>
          <cell r="AF178">
            <v>0</v>
          </cell>
          <cell r="BM178">
            <v>0</v>
          </cell>
        </row>
        <row r="179">
          <cell r="C179">
            <v>240060.18311832688</v>
          </cell>
          <cell r="D179">
            <v>275521.77609875001</v>
          </cell>
          <cell r="Q179">
            <v>254244.82443949996</v>
          </cell>
          <cell r="AF179">
            <v>289706.41053825006</v>
          </cell>
          <cell r="BM179">
            <v>28369.268879000007</v>
          </cell>
        </row>
        <row r="180">
          <cell r="C180">
            <v>0</v>
          </cell>
          <cell r="D180">
            <v>0</v>
          </cell>
          <cell r="Q180">
            <v>0</v>
          </cell>
          <cell r="AF180">
            <v>0</v>
          </cell>
          <cell r="BM180">
            <v>0</v>
          </cell>
        </row>
        <row r="181">
          <cell r="C181">
            <v>0</v>
          </cell>
          <cell r="D181">
            <v>0</v>
          </cell>
          <cell r="Q181">
            <v>0</v>
          </cell>
          <cell r="AF181">
            <v>0</v>
          </cell>
          <cell r="BM181">
            <v>0</v>
          </cell>
        </row>
        <row r="182">
          <cell r="C182">
            <v>0</v>
          </cell>
          <cell r="D182">
            <v>0</v>
          </cell>
          <cell r="Q182">
            <v>0</v>
          </cell>
          <cell r="AF182">
            <v>0</v>
          </cell>
          <cell r="BM182">
            <v>0</v>
          </cell>
        </row>
        <row r="183">
          <cell r="C183">
            <v>2622375.4487884631</v>
          </cell>
          <cell r="D183">
            <v>2897919.8159670029</v>
          </cell>
          <cell r="Q183">
            <v>2719603.5255000014</v>
          </cell>
          <cell r="AF183">
            <v>3027622.0686840042</v>
          </cell>
          <cell r="BM183">
            <v>259404.50543399996</v>
          </cell>
        </row>
        <row r="184">
          <cell r="C184">
            <v>19315.194894173084</v>
          </cell>
          <cell r="D184">
            <v>25712.652588750025</v>
          </cell>
          <cell r="Q184">
            <v>21874.181035500009</v>
          </cell>
          <cell r="AF184">
            <v>28271.633624250029</v>
          </cell>
          <cell r="BM184">
            <v>5117.9620709999999</v>
          </cell>
        </row>
        <row r="185">
          <cell r="C185">
            <v>0</v>
          </cell>
          <cell r="D185">
            <v>0</v>
          </cell>
          <cell r="Q185">
            <v>0</v>
          </cell>
          <cell r="AF185">
            <v>0</v>
          </cell>
          <cell r="BM185">
            <v>0</v>
          </cell>
        </row>
        <row r="186">
          <cell r="C186">
            <v>91833.285423076944</v>
          </cell>
          <cell r="D186">
            <v>111545.2930470001</v>
          </cell>
          <cell r="Q186">
            <v>98563.233000000051</v>
          </cell>
          <cell r="AF186">
            <v>121162.38159400011</v>
          </cell>
          <cell r="BM186">
            <v>19234.177093999999</v>
          </cell>
        </row>
        <row r="187">
          <cell r="C187">
            <v>359770.66779831913</v>
          </cell>
          <cell r="D187">
            <v>-618423.020448289</v>
          </cell>
          <cell r="Q187">
            <v>2201.9152540493815</v>
          </cell>
          <cell r="AF187">
            <v>-956444.98706506286</v>
          </cell>
          <cell r="BM187">
            <v>3494.623714783706</v>
          </cell>
        </row>
        <row r="188">
          <cell r="C188">
            <v>0</v>
          </cell>
          <cell r="D188">
            <v>0</v>
          </cell>
          <cell r="Q188">
            <v>0</v>
          </cell>
          <cell r="AF188">
            <v>0</v>
          </cell>
          <cell r="BM188">
            <v>0</v>
          </cell>
        </row>
        <row r="189">
          <cell r="C189">
            <v>56543.265807307704</v>
          </cell>
          <cell r="D189">
            <v>63339.432109999987</v>
          </cell>
          <cell r="Q189">
            <v>59275.741570000013</v>
          </cell>
          <cell r="AF189">
            <v>65651.531899999987</v>
          </cell>
          <cell r="BM189">
            <v>5009.5495449999999</v>
          </cell>
        </row>
        <row r="190">
          <cell r="C190">
            <v>-2144750.4346153834</v>
          </cell>
          <cell r="D190">
            <v>-2179656.3599999985</v>
          </cell>
          <cell r="Q190">
            <v>-2179656.359999998</v>
          </cell>
          <cell r="AF190">
            <v>-2179656.359999998</v>
          </cell>
          <cell r="BM190">
            <v>0</v>
          </cell>
        </row>
        <row r="191">
          <cell r="C191">
            <v>0</v>
          </cell>
          <cell r="D191">
            <v>0</v>
          </cell>
          <cell r="Q191">
            <v>0</v>
          </cell>
          <cell r="AF191">
            <v>0</v>
          </cell>
        </row>
        <row r="192">
          <cell r="C192">
            <v>0</v>
          </cell>
          <cell r="D192">
            <v>0</v>
          </cell>
          <cell r="Q192">
            <v>0</v>
          </cell>
          <cell r="AF192">
            <v>0</v>
          </cell>
        </row>
        <row r="205">
          <cell r="AR205">
            <v>1465850.7166463858</v>
          </cell>
          <cell r="AS205">
            <v>1474340.211804952</v>
          </cell>
          <cell r="AT205">
            <v>1482704.3918473823</v>
          </cell>
          <cell r="AU205">
            <v>1489903.5422882678</v>
          </cell>
          <cell r="AV205">
            <v>1495435.3014832188</v>
          </cell>
          <cell r="AW205">
            <v>1502692.5047595145</v>
          </cell>
        </row>
        <row r="207">
          <cell r="AW207">
            <v>2.008127365684936E-2</v>
          </cell>
          <cell r="BL207">
            <v>2.2122292919729992E-2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period Actuals"/>
    </sheetNames>
    <sheetDataSet>
      <sheetData sheetId="0">
        <row r="12">
          <cell r="Z12">
            <v>0.43895256934847215</v>
          </cell>
        </row>
        <row r="14">
          <cell r="Z14">
            <v>2.0041948263807674E-2</v>
          </cell>
        </row>
        <row r="16">
          <cell r="Z16">
            <v>0.43909049802305034</v>
          </cell>
        </row>
        <row r="31">
          <cell r="Z31">
            <v>0.43894472541714291</v>
          </cell>
        </row>
        <row r="33">
          <cell r="Z33">
            <v>2.0006528302912829E-2</v>
          </cell>
        </row>
        <row r="35">
          <cell r="Z35">
            <v>0.43890355550304738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ATO-CWC1A"/>
      <sheetName val="ATO-CWC1B"/>
      <sheetName val="ATO-CWC2"/>
      <sheetName val="WP 2-1"/>
      <sheetName val="WP 2-2"/>
      <sheetName val="ATO-CWC3"/>
      <sheetName val="ATO-CWC4"/>
      <sheetName val="ATO-CWC5"/>
      <sheetName val="WP 5-1"/>
      <sheetName val="WP 5-2"/>
      <sheetName val="ATO-CWC6"/>
      <sheetName val="ATO-CWC7"/>
      <sheetName val="ATO-CWC8"/>
      <sheetName val="ATO-CWC9"/>
    </sheetNames>
    <sheetDataSet>
      <sheetData sheetId="0"/>
      <sheetData sheetId="1">
        <row r="53">
          <cell r="N53">
            <v>-3062526.8829987803</v>
          </cell>
        </row>
      </sheetData>
      <sheetData sheetId="2">
        <row r="53">
          <cell r="N53">
            <v>-3207972.8857776322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9 Div"/>
      <sheetName val="091 Div"/>
      <sheetName val="002 Div"/>
      <sheetName val="012 Div"/>
      <sheetName val="WP- Misc BS Accts"/>
      <sheetName val="Instructions"/>
      <sheetName val="5306438D2E944CAF861740AA8242769"/>
    </sheetNames>
    <sheetDataSet>
      <sheetData sheetId="0"/>
      <sheetData sheetId="1"/>
      <sheetData sheetId="2"/>
      <sheetData sheetId="3"/>
      <sheetData sheetId="4"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</row>
        <row r="10">
          <cell r="H10">
            <v>-469111.19999999995</v>
          </cell>
          <cell r="I10">
            <v>-509497.97</v>
          </cell>
          <cell r="J10">
            <v>-523318.33999999997</v>
          </cell>
          <cell r="K10">
            <v>-535854.99</v>
          </cell>
          <cell r="L10">
            <v>-545350.80000000005</v>
          </cell>
          <cell r="M10">
            <v>-548753.19999999995</v>
          </cell>
          <cell r="N10">
            <v>-561797.81000000006</v>
          </cell>
          <cell r="O10">
            <v>-537428.85166666668</v>
          </cell>
          <cell r="P10">
            <v>-537428.85166666668</v>
          </cell>
          <cell r="Q10">
            <v>-537428.85166666668</v>
          </cell>
          <cell r="R10">
            <v>-537428.85166666668</v>
          </cell>
          <cell r="S10">
            <v>-537428.85166666668</v>
          </cell>
          <cell r="T10">
            <v>-537428.85166666668</v>
          </cell>
          <cell r="W10">
            <v>-537428.85166666668</v>
          </cell>
          <cell r="X10">
            <v>-537428.85166666668</v>
          </cell>
          <cell r="Y10">
            <v>-537428.85166666668</v>
          </cell>
          <cell r="Z10">
            <v>-537428.85166666668</v>
          </cell>
          <cell r="AA10">
            <v>-537428.85166666668</v>
          </cell>
          <cell r="AB10">
            <v>-537428.85166666668</v>
          </cell>
          <cell r="AC10">
            <v>-537428.85166666668</v>
          </cell>
          <cell r="AD10">
            <v>-537428.85166666668</v>
          </cell>
          <cell r="AE10">
            <v>-537428.85166666668</v>
          </cell>
          <cell r="AF10">
            <v>-537428.85166666668</v>
          </cell>
          <cell r="AG10">
            <v>-537428.85166666668</v>
          </cell>
          <cell r="AH10">
            <v>-537428.85166666668</v>
          </cell>
          <cell r="AI10">
            <v>-537428.85166666668</v>
          </cell>
        </row>
        <row r="14">
          <cell r="H14">
            <v>581043.21</v>
          </cell>
          <cell r="W14">
            <v>245694.37666666668</v>
          </cell>
          <cell r="X14">
            <v>245694.37666666668</v>
          </cell>
          <cell r="Y14">
            <v>245694.37666666668</v>
          </cell>
          <cell r="Z14">
            <v>245694.37666666668</v>
          </cell>
          <cell r="AA14">
            <v>245694.37666666668</v>
          </cell>
          <cell r="AB14">
            <v>245694.37666666668</v>
          </cell>
          <cell r="AC14">
            <v>245694.37666666668</v>
          </cell>
          <cell r="AD14">
            <v>245694.37666666668</v>
          </cell>
          <cell r="AE14">
            <v>245694.37666666668</v>
          </cell>
          <cell r="AF14">
            <v>245694.37666666668</v>
          </cell>
          <cell r="AG14">
            <v>245694.37666666668</v>
          </cell>
          <cell r="AH14">
            <v>245694.37666666668</v>
          </cell>
          <cell r="AI14">
            <v>245694.37666666668</v>
          </cell>
        </row>
        <row r="15">
          <cell r="H15">
            <v>1411612.21</v>
          </cell>
          <cell r="I15">
            <v>1019560.4600000001</v>
          </cell>
          <cell r="J15">
            <v>1050169.5900000001</v>
          </cell>
          <cell r="K15">
            <v>1083084.2999999998</v>
          </cell>
          <cell r="L15">
            <v>1116530.6399999999</v>
          </cell>
          <cell r="M15">
            <v>1590634.3399999999</v>
          </cell>
          <cell r="N15">
            <v>1623188.0300000003</v>
          </cell>
          <cell r="O15">
            <v>1247194.56</v>
          </cell>
          <cell r="P15">
            <v>1247194.56</v>
          </cell>
          <cell r="Q15">
            <v>1247194.56</v>
          </cell>
          <cell r="R15">
            <v>1247194.56</v>
          </cell>
          <cell r="S15">
            <v>1247194.56</v>
          </cell>
          <cell r="T15">
            <v>1247194.56</v>
          </cell>
          <cell r="W15">
            <v>1247194.56</v>
          </cell>
          <cell r="X15">
            <v>1247194.56</v>
          </cell>
          <cell r="Y15">
            <v>1247194.56</v>
          </cell>
          <cell r="Z15">
            <v>1247194.56</v>
          </cell>
          <cell r="AA15">
            <v>1247194.56</v>
          </cell>
          <cell r="AB15">
            <v>1247194.56</v>
          </cell>
          <cell r="AC15">
            <v>1247194.56</v>
          </cell>
          <cell r="AD15">
            <v>1247194.56</v>
          </cell>
          <cell r="AE15">
            <v>1247194.56</v>
          </cell>
          <cell r="AF15">
            <v>1247194.56</v>
          </cell>
          <cell r="AG15">
            <v>1247194.56</v>
          </cell>
          <cell r="AH15">
            <v>1247194.56</v>
          </cell>
          <cell r="AI15">
            <v>1247194.56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</row>
      </sheetData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dollars"/>
    </sheetNames>
    <sheetDataSet>
      <sheetData sheetId="0">
        <row r="31">
          <cell r="P31">
            <v>12741963.989999998</v>
          </cell>
        </row>
        <row r="45">
          <cell r="E45">
            <v>14457319.99</v>
          </cell>
          <cell r="F45">
            <v>13451576.300000001</v>
          </cell>
          <cell r="G45">
            <v>11524152.710000001</v>
          </cell>
          <cell r="H45">
            <v>9335171.629999999</v>
          </cell>
          <cell r="I45">
            <v>5734348.25</v>
          </cell>
          <cell r="J45">
            <v>4112786.4899999998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Summary of Rates"/>
      <sheetName val="Summary of Revenue"/>
      <sheetName val="Summary of Stats"/>
      <sheetName val="Bill Frequency"/>
      <sheetName val="Test Year Revenue Present"/>
      <sheetName val="Contract &amp; Vol Adj"/>
      <sheetName val="WNA Summary"/>
      <sheetName val="WNA"/>
      <sheetName val="Test Year Monthly - (Pres)"/>
      <sheetName val="Test Year Revenue Proposed"/>
      <sheetName val="Test Year Monthly - (Prop)"/>
      <sheetName val="Rate Design"/>
      <sheetName val="Monthly Forecast"/>
      <sheetName val="TBS Adjustments"/>
      <sheetName val="Peak Day Estimate"/>
      <sheetName val="Other Revenue"/>
      <sheetName val="HDDs"/>
      <sheetName val="Gas Cost Worksheet"/>
      <sheetName val="CCS Extract"/>
    </sheetNames>
    <sheetDataSet>
      <sheetData sheetId="0"/>
      <sheetData sheetId="1"/>
      <sheetData sheetId="2">
        <row r="11">
          <cell r="P11">
            <v>8059598.6144920122</v>
          </cell>
          <cell r="Q11">
            <v>5767054.7861591028</v>
          </cell>
          <cell r="R11">
            <v>4488515.4297275655</v>
          </cell>
          <cell r="S11">
            <v>4229758.7082547341</v>
          </cell>
          <cell r="T11">
            <v>4293288.2209537402</v>
          </cell>
          <cell r="U11">
            <v>4318441.1533798221</v>
          </cell>
          <cell r="Z11">
            <v>14970552.79164907</v>
          </cell>
          <cell r="AA11">
            <v>15164795.983976707</v>
          </cell>
          <cell r="AB11">
            <v>11593054.840880413</v>
          </cell>
          <cell r="AC11">
            <v>8577097.0028528776</v>
          </cell>
          <cell r="AD11">
            <v>5847698.3067320213</v>
          </cell>
          <cell r="AE11">
            <v>4533786.9594352394</v>
          </cell>
          <cell r="AF11">
            <v>4268017.710158715</v>
          </cell>
          <cell r="AG11">
            <v>4254976.5445450349</v>
          </cell>
          <cell r="AH11">
            <v>4278837.0782184144</v>
          </cell>
          <cell r="AI11">
            <v>5244766.8609234449</v>
          </cell>
          <cell r="AJ11">
            <v>8885342.4384247288</v>
          </cell>
          <cell r="AK11">
            <v>12577585.431862455</v>
          </cell>
          <cell r="AO11">
            <v>99877929.798762828</v>
          </cell>
          <cell r="AP11">
            <v>99645930.625346795</v>
          </cell>
          <cell r="AQ11">
            <v>99924437.526092067</v>
          </cell>
        </row>
        <row r="12">
          <cell r="P12">
            <v>3386210.2514850302</v>
          </cell>
          <cell r="Q12">
            <v>2593945.3599636415</v>
          </cell>
          <cell r="R12">
            <v>2090392.3746993246</v>
          </cell>
          <cell r="S12">
            <v>1982915.178065975</v>
          </cell>
          <cell r="T12">
            <v>2043024.8817195422</v>
          </cell>
          <cell r="U12">
            <v>2039926.1776890531</v>
          </cell>
          <cell r="Z12">
            <v>6051198.0017698472</v>
          </cell>
          <cell r="AA12">
            <v>6085291.2204172183</v>
          </cell>
          <cell r="AB12">
            <v>4783842.0434332788</v>
          </cell>
          <cell r="AC12">
            <v>3643758.8805144792</v>
          </cell>
          <cell r="AD12">
            <v>2642357.9481225568</v>
          </cell>
          <cell r="AE12">
            <v>2125049.4324413068</v>
          </cell>
          <cell r="AF12">
            <v>2014762.1405936407</v>
          </cell>
          <cell r="AG12">
            <v>1994545.9842292438</v>
          </cell>
          <cell r="AH12">
            <v>1990985.8917896666</v>
          </cell>
          <cell r="AI12">
            <v>2352046.853715959</v>
          </cell>
          <cell r="AJ12">
            <v>3722007.0041212994</v>
          </cell>
          <cell r="AK12">
            <v>5117701.4177494003</v>
          </cell>
          <cell r="AO12">
            <v>42314290.336463265</v>
          </cell>
          <cell r="AP12">
            <v>42197437.733505689</v>
          </cell>
          <cell r="AQ12">
            <v>42327246.692024782</v>
          </cell>
        </row>
        <row r="13">
          <cell r="P13">
            <v>402882.61125356989</v>
          </cell>
          <cell r="Q13">
            <v>249587.92311322244</v>
          </cell>
          <cell r="R13">
            <v>128434.35825986193</v>
          </cell>
          <cell r="S13">
            <v>151818.0931076163</v>
          </cell>
          <cell r="T13">
            <v>192837.59906000068</v>
          </cell>
          <cell r="U13">
            <v>445053.01224945782</v>
          </cell>
          <cell r="Z13">
            <v>802230.8969210505</v>
          </cell>
          <cell r="AA13">
            <v>854748.00074260146</v>
          </cell>
          <cell r="AB13">
            <v>584990.58022239548</v>
          </cell>
          <cell r="AC13">
            <v>454891.45838505053</v>
          </cell>
          <cell r="AD13">
            <v>256743.72842891328</v>
          </cell>
          <cell r="AE13">
            <v>132085.82737316296</v>
          </cell>
          <cell r="AF13">
            <v>156452.79343032092</v>
          </cell>
          <cell r="AG13">
            <v>181437.36160189708</v>
          </cell>
          <cell r="AH13">
            <v>415603.3178603173</v>
          </cell>
          <cell r="AI13">
            <v>222146.88316450547</v>
          </cell>
          <cell r="AJ13">
            <v>319271.88682987925</v>
          </cell>
          <cell r="AK13">
            <v>560922.19664614846</v>
          </cell>
          <cell r="AO13">
            <v>4877577.6879574424</v>
          </cell>
          <cell r="AP13">
            <v>4831144.0186616089</v>
          </cell>
          <cell r="AQ13">
            <v>4824110.8559931982</v>
          </cell>
        </row>
        <row r="14">
          <cell r="P14">
            <v>505833.30088488851</v>
          </cell>
          <cell r="Q14">
            <v>341005.71490520553</v>
          </cell>
          <cell r="R14">
            <v>243284.52638502914</v>
          </cell>
          <cell r="S14">
            <v>219038.56931779202</v>
          </cell>
          <cell r="T14">
            <v>230818.93125686116</v>
          </cell>
          <cell r="U14">
            <v>232906.83522370883</v>
          </cell>
          <cell r="Z14">
            <v>1038861.1527565103</v>
          </cell>
          <cell r="AA14">
            <v>1050503.7232320802</v>
          </cell>
          <cell r="AB14">
            <v>785907.6559522734</v>
          </cell>
          <cell r="AC14">
            <v>549222.82053652592</v>
          </cell>
          <cell r="AD14">
            <v>347104.58630935603</v>
          </cell>
          <cell r="AE14">
            <v>247015.31894093612</v>
          </cell>
          <cell r="AF14">
            <v>222227.13660663267</v>
          </cell>
          <cell r="AG14">
            <v>222972.82117807245</v>
          </cell>
          <cell r="AH14">
            <v>224955.60983850414</v>
          </cell>
          <cell r="AI14">
            <v>296980.69651942438</v>
          </cell>
          <cell r="AJ14">
            <v>573686.27476820699</v>
          </cell>
          <cell r="AK14">
            <v>853414.26339149673</v>
          </cell>
          <cell r="AO14">
            <v>6355850.4240459632</v>
          </cell>
          <cell r="AP14">
            <v>6303227.1719469503</v>
          </cell>
          <cell r="AQ14">
            <v>6295454.4449329963</v>
          </cell>
        </row>
        <row r="15">
          <cell r="AO15">
            <v>153425648.24722949</v>
          </cell>
          <cell r="AP15">
            <v>152977739.54946104</v>
          </cell>
          <cell r="AQ15">
            <v>153371249.51904306</v>
          </cell>
        </row>
        <row r="18">
          <cell r="P18">
            <v>138491.11715193267</v>
          </cell>
          <cell r="Q18">
            <v>103922.09119805295</v>
          </cell>
          <cell r="R18">
            <v>75652.25959186579</v>
          </cell>
          <cell r="S18">
            <v>59339.954203501329</v>
          </cell>
          <cell r="T18">
            <v>55947.943111353721</v>
          </cell>
          <cell r="U18">
            <v>57126.097771467728</v>
          </cell>
          <cell r="Z18">
            <v>164747.73437851624</v>
          </cell>
          <cell r="AA18">
            <v>191837.44082492081</v>
          </cell>
          <cell r="AB18">
            <v>193882.27953630488</v>
          </cell>
          <cell r="AC18">
            <v>149224.67845336147</v>
          </cell>
          <cell r="AD18">
            <v>111035.39680227943</v>
          </cell>
          <cell r="AE18">
            <v>76826.48538212695</v>
          </cell>
          <cell r="AF18">
            <v>60067.552651024758</v>
          </cell>
          <cell r="AG18">
            <v>56585.604229702934</v>
          </cell>
          <cell r="AH18">
            <v>56302.760425728316</v>
          </cell>
          <cell r="AI18">
            <v>56496.617066283536</v>
          </cell>
          <cell r="AJ18">
            <v>68651.583294319717</v>
          </cell>
          <cell r="AK18">
            <v>114621.93815149483</v>
          </cell>
        </row>
        <row r="19">
          <cell r="P19">
            <v>25716</v>
          </cell>
          <cell r="Q19">
            <v>22720</v>
          </cell>
          <cell r="R19">
            <v>22154</v>
          </cell>
          <cell r="S19">
            <v>24641</v>
          </cell>
          <cell r="T19">
            <v>21821</v>
          </cell>
          <cell r="U19">
            <v>25606</v>
          </cell>
          <cell r="Z19">
            <v>13265</v>
          </cell>
          <cell r="AA19">
            <v>12790</v>
          </cell>
          <cell r="AB19">
            <v>11209</v>
          </cell>
          <cell r="AC19">
            <v>25716</v>
          </cell>
          <cell r="AD19">
            <v>22720</v>
          </cell>
          <cell r="AE19">
            <v>22154</v>
          </cell>
          <cell r="AF19">
            <v>24641</v>
          </cell>
          <cell r="AG19">
            <v>21821</v>
          </cell>
          <cell r="AH19">
            <v>25606</v>
          </cell>
          <cell r="AI19">
            <v>21842</v>
          </cell>
          <cell r="AJ19">
            <v>14779</v>
          </cell>
          <cell r="AK19">
            <v>17743</v>
          </cell>
        </row>
        <row r="20">
          <cell r="P20">
            <v>1357994.5022640678</v>
          </cell>
          <cell r="Q20">
            <v>1081436.5486016322</v>
          </cell>
          <cell r="R20">
            <v>1034624.873093004</v>
          </cell>
          <cell r="S20">
            <v>1090091.8344202503</v>
          </cell>
          <cell r="T20">
            <v>1047844.1722117214</v>
          </cell>
          <cell r="U20">
            <v>1108166.7260969775</v>
          </cell>
          <cell r="Z20">
            <v>1488404.3186487432</v>
          </cell>
          <cell r="AA20">
            <v>1606598.7430583681</v>
          </cell>
          <cell r="AB20">
            <v>1495291.1014271798</v>
          </cell>
          <cell r="AC20">
            <v>1357994.5022640678</v>
          </cell>
          <cell r="AD20">
            <v>1081436.5486016322</v>
          </cell>
          <cell r="AE20">
            <v>1034624.873093004</v>
          </cell>
          <cell r="AF20">
            <v>1090091.8344202503</v>
          </cell>
          <cell r="AG20">
            <v>1047844.1722117214</v>
          </cell>
          <cell r="AH20">
            <v>1108166.7260969775</v>
          </cell>
          <cell r="AI20">
            <v>1183910.3312195495</v>
          </cell>
          <cell r="AJ20">
            <v>1308191.6369802393</v>
          </cell>
          <cell r="AK20">
            <v>1341954.6782184043</v>
          </cell>
          <cell r="AO20">
            <v>15144509.466240136</v>
          </cell>
          <cell r="AP20">
            <v>15144509.466240136</v>
          </cell>
          <cell r="AQ20">
            <v>15144509.466240136</v>
          </cell>
        </row>
        <row r="21">
          <cell r="P21">
            <v>225674.54204125135</v>
          </cell>
          <cell r="Q21">
            <v>187767.63651166504</v>
          </cell>
          <cell r="R21">
            <v>158597.09419894399</v>
          </cell>
          <cell r="S21">
            <v>191773.06385539868</v>
          </cell>
          <cell r="T21">
            <v>212032.54771866949</v>
          </cell>
          <cell r="U21">
            <v>247033.27126557243</v>
          </cell>
          <cell r="Z21">
            <v>277652.61830034037</v>
          </cell>
          <cell r="AA21">
            <v>287785.20660424954</v>
          </cell>
          <cell r="AB21">
            <v>246528.349326519</v>
          </cell>
          <cell r="AC21">
            <v>225674.54204125135</v>
          </cell>
          <cell r="AD21">
            <v>187767.63651166504</v>
          </cell>
          <cell r="AE21">
            <v>158597.09419894399</v>
          </cell>
          <cell r="AF21">
            <v>191773.06385539868</v>
          </cell>
          <cell r="AG21">
            <v>212032.54771866949</v>
          </cell>
          <cell r="AH21">
            <v>247033.27126557243</v>
          </cell>
          <cell r="AI21">
            <v>205897.74607028044</v>
          </cell>
          <cell r="AJ21">
            <v>225331.5533237058</v>
          </cell>
          <cell r="AK21">
            <v>247338.02282340368</v>
          </cell>
        </row>
        <row r="23">
          <cell r="AO23">
            <v>172809857.98094887</v>
          </cell>
          <cell r="AP23">
            <v>172358006.06515008</v>
          </cell>
          <cell r="AQ23">
            <v>172755030.87868452</v>
          </cell>
        </row>
        <row r="25">
          <cell r="AO25">
            <v>77014485.830880612</v>
          </cell>
          <cell r="AP25">
            <v>76287502.888390988</v>
          </cell>
          <cell r="AQ25">
            <v>76401996.904516771</v>
          </cell>
        </row>
        <row r="32">
          <cell r="P32">
            <v>-1767098.7599999998</v>
          </cell>
          <cell r="Q32">
            <v>-3615347.6199999992</v>
          </cell>
          <cell r="R32">
            <v>-243402.70781060774</v>
          </cell>
          <cell r="S32">
            <v>3202042.4295936665</v>
          </cell>
          <cell r="T32">
            <v>7003757.7588289939</v>
          </cell>
          <cell r="U32">
            <v>10824191.311803257</v>
          </cell>
          <cell r="X32">
            <v>16154119.984228527</v>
          </cell>
          <cell r="Z32">
            <v>11558272.80993906</v>
          </cell>
          <cell r="AA32">
            <v>6263469.3660054859</v>
          </cell>
          <cell r="AB32">
            <v>146429.62990843318</v>
          </cell>
          <cell r="AC32">
            <v>-4597319.6353717158</v>
          </cell>
          <cell r="AD32">
            <v>-1257320.4916967712</v>
          </cell>
          <cell r="AE32">
            <v>2128850.2705342108</v>
          </cell>
          <cell r="AF32">
            <v>5522508.3222607663</v>
          </cell>
          <cell r="AG32">
            <v>8896200.2686657906</v>
          </cell>
          <cell r="AH32">
            <v>12297345.60988792</v>
          </cell>
          <cell r="AI32">
            <v>15789586.30663953</v>
          </cell>
          <cell r="AJ32">
            <v>19467761.359197889</v>
          </cell>
          <cell r="AK32">
            <v>16854216.450720225</v>
          </cell>
        </row>
      </sheetData>
      <sheetData sheetId="3">
        <row r="11">
          <cell r="O11">
            <v>159821.83333333334</v>
          </cell>
          <cell r="AL11">
            <v>160871.83333333334</v>
          </cell>
          <cell r="AO11">
            <v>161321.83333333334</v>
          </cell>
          <cell r="AP11">
            <v>161921.83333333334</v>
          </cell>
          <cell r="AQ11">
            <v>162521.83333333334</v>
          </cell>
        </row>
        <row r="12">
          <cell r="O12">
            <v>18098.166666666668</v>
          </cell>
          <cell r="AL12">
            <v>18229.416666666668</v>
          </cell>
          <cell r="AO12">
            <v>18285.666666666664</v>
          </cell>
          <cell r="AP12">
            <v>18360.666666666664</v>
          </cell>
          <cell r="AQ12">
            <v>18435.666666666664</v>
          </cell>
        </row>
        <row r="13">
          <cell r="O13">
            <v>222.5</v>
          </cell>
          <cell r="AL13">
            <v>222.5</v>
          </cell>
          <cell r="AO13">
            <v>222.5</v>
          </cell>
          <cell r="AP13">
            <v>222.5</v>
          </cell>
          <cell r="AQ13">
            <v>222.5</v>
          </cell>
        </row>
        <row r="14">
          <cell r="O14">
            <v>1533.4166666666667</v>
          </cell>
          <cell r="AL14">
            <v>1533.4166666666667</v>
          </cell>
          <cell r="AO14">
            <v>1533.4166666666667</v>
          </cell>
          <cell r="AP14">
            <v>1533.4166666666667</v>
          </cell>
          <cell r="AQ14">
            <v>1533.4166666666667</v>
          </cell>
        </row>
        <row r="17">
          <cell r="O17">
            <v>9963427.6721000001</v>
          </cell>
          <cell r="AL17">
            <v>10018608.234542498</v>
          </cell>
          <cell r="AO17">
            <v>10045694.470911331</v>
          </cell>
          <cell r="AP17">
            <v>10083122.184136437</v>
          </cell>
          <cell r="AQ17">
            <v>10120502.669161549</v>
          </cell>
        </row>
        <row r="18">
          <cell r="O18">
            <v>5034563.0505999997</v>
          </cell>
          <cell r="AL18">
            <v>5066767.6609727554</v>
          </cell>
          <cell r="AO18">
            <v>5081983.9622039357</v>
          </cell>
          <cell r="AP18">
            <v>5102793.2016455093</v>
          </cell>
          <cell r="AQ18">
            <v>5123607.7071870845</v>
          </cell>
        </row>
        <row r="19">
          <cell r="O19">
            <v>894511.35289999982</v>
          </cell>
          <cell r="AL19">
            <v>894511.35289999982</v>
          </cell>
          <cell r="AO19">
            <v>894511.35290000006</v>
          </cell>
          <cell r="AP19">
            <v>894511.35290000006</v>
          </cell>
          <cell r="AQ19">
            <v>894511.35290000006</v>
          </cell>
        </row>
        <row r="20">
          <cell r="O20">
            <v>903638.68929999997</v>
          </cell>
          <cell r="AL20">
            <v>903638.68929999985</v>
          </cell>
          <cell r="AO20">
            <v>903638.68930000009</v>
          </cell>
          <cell r="AP20">
            <v>903638.68930000009</v>
          </cell>
          <cell r="AQ20">
            <v>903638.68930000009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20"/>
  <sheetViews>
    <sheetView tabSelected="1" view="pageBreakPreview" zoomScale="80" zoomScaleNormal="100" zoomScaleSheetLayoutView="80" workbookViewId="0">
      <selection sqref="A1:C1"/>
    </sheetView>
  </sheetViews>
  <sheetFormatPr defaultRowHeight="15"/>
  <cols>
    <col min="1" max="1" width="12.33203125" customWidth="1"/>
    <col min="2" max="2" width="40.33203125" customWidth="1"/>
    <col min="3" max="3" width="17.21875" customWidth="1"/>
    <col min="7" max="7" width="11" bestFit="1" customWidth="1"/>
  </cols>
  <sheetData>
    <row r="1" spans="1:3">
      <c r="A1" s="1251" t="s">
        <v>344</v>
      </c>
      <c r="B1" s="1251"/>
      <c r="C1" s="1251"/>
    </row>
    <row r="2" spans="1:3">
      <c r="A2" s="1252" t="s">
        <v>1579</v>
      </c>
      <c r="B2" s="1252"/>
      <c r="C2" s="1252"/>
    </row>
    <row r="3" spans="1:3">
      <c r="A3" s="1253" t="s">
        <v>1573</v>
      </c>
      <c r="B3" s="1254"/>
      <c r="C3" s="1254"/>
    </row>
    <row r="4" spans="1:3">
      <c r="A4" s="1253" t="s">
        <v>1574</v>
      </c>
      <c r="B4" s="1254"/>
      <c r="C4" s="1254"/>
    </row>
    <row r="5" spans="1:3">
      <c r="A5" s="271"/>
      <c r="B5" s="271"/>
      <c r="C5" s="271"/>
    </row>
    <row r="6" spans="1:3">
      <c r="A6" s="271"/>
      <c r="B6" s="271"/>
      <c r="C6" s="271"/>
    </row>
    <row r="8" spans="1:3">
      <c r="A8" s="52" t="s">
        <v>57</v>
      </c>
      <c r="B8" s="52" t="s">
        <v>972</v>
      </c>
      <c r="C8" s="52" t="s">
        <v>680</v>
      </c>
    </row>
    <row r="10" spans="1:3">
      <c r="A10" s="47" t="s">
        <v>169</v>
      </c>
      <c r="B10" s="273" t="s">
        <v>805</v>
      </c>
      <c r="C10" s="151" t="s">
        <v>1348</v>
      </c>
    </row>
    <row r="11" spans="1:3">
      <c r="A11" s="47" t="s">
        <v>806</v>
      </c>
      <c r="B11" s="273" t="s">
        <v>269</v>
      </c>
      <c r="C11" s="151" t="s">
        <v>1349</v>
      </c>
    </row>
    <row r="12" spans="1:3">
      <c r="A12" s="47" t="s">
        <v>807</v>
      </c>
      <c r="B12" s="273" t="s">
        <v>808</v>
      </c>
      <c r="C12" s="151" t="s">
        <v>1350</v>
      </c>
    </row>
    <row r="13" spans="1:3">
      <c r="A13" s="47" t="s">
        <v>809</v>
      </c>
      <c r="B13" s="273" t="s">
        <v>810</v>
      </c>
      <c r="C13" s="151" t="s">
        <v>1351</v>
      </c>
    </row>
    <row r="14" spans="1:3">
      <c r="A14" s="47" t="s">
        <v>820</v>
      </c>
      <c r="B14" s="273" t="s">
        <v>459</v>
      </c>
      <c r="C14" s="151" t="s">
        <v>1352</v>
      </c>
    </row>
    <row r="15" spans="1:3">
      <c r="A15" s="47" t="s">
        <v>811</v>
      </c>
      <c r="B15" s="273" t="s">
        <v>812</v>
      </c>
      <c r="C15" s="151" t="s">
        <v>1353</v>
      </c>
    </row>
    <row r="16" spans="1:3">
      <c r="A16" s="47" t="s">
        <v>813</v>
      </c>
      <c r="B16" s="273" t="s">
        <v>814</v>
      </c>
      <c r="C16" s="151" t="s">
        <v>1354</v>
      </c>
    </row>
    <row r="17" spans="1:3">
      <c r="A17" s="47" t="s">
        <v>373</v>
      </c>
      <c r="B17" s="273" t="s">
        <v>125</v>
      </c>
      <c r="C17" s="151" t="s">
        <v>1355</v>
      </c>
    </row>
    <row r="18" spans="1:3">
      <c r="A18" s="47" t="s">
        <v>815</v>
      </c>
      <c r="B18" s="273" t="s">
        <v>816</v>
      </c>
      <c r="C18" s="151" t="s">
        <v>1356</v>
      </c>
    </row>
    <row r="19" spans="1:3">
      <c r="A19" s="47" t="s">
        <v>817</v>
      </c>
      <c r="B19" s="273" t="s">
        <v>818</v>
      </c>
      <c r="C19" s="151" t="s">
        <v>1357</v>
      </c>
    </row>
    <row r="20" spans="1:3">
      <c r="A20" s="47" t="s">
        <v>819</v>
      </c>
      <c r="B20" s="273" t="s">
        <v>25</v>
      </c>
      <c r="C20" s="151" t="s">
        <v>1358</v>
      </c>
    </row>
  </sheetData>
  <mergeCells count="4">
    <mergeCell ref="A1:C1"/>
    <mergeCell ref="A2:C2"/>
    <mergeCell ref="A3:C3"/>
    <mergeCell ref="A4:C4"/>
  </mergeCells>
  <phoneticPr fontId="21" type="noConversion"/>
  <hyperlinks>
    <hyperlink ref="B10" location="'Cover A'!A1" display="Summary" xr:uid="{00000000-0004-0000-0000-000000000000}"/>
    <hyperlink ref="B11" location="'Cover B'!A1" display="Rate Base" xr:uid="{00000000-0004-0000-0000-000001000000}"/>
    <hyperlink ref="B12" location="'Cover C'!A1" display="Operating Income (Revenues &amp; Expenses)" xr:uid="{00000000-0004-0000-0000-000002000000}"/>
    <hyperlink ref="B13" location="'Cover D'!A1" display="Adjustments to Operating Income by Account" xr:uid="{00000000-0004-0000-0000-000003000000}"/>
    <hyperlink ref="B14" location="'Cover E'!A1" display="Income Tax Calculation" xr:uid="{00000000-0004-0000-0000-000004000000}"/>
    <hyperlink ref="B15" location="'Cover F'!A1" display="Rule F Compliance Adjustments" xr:uid="{00000000-0004-0000-0000-000005000000}"/>
    <hyperlink ref="B16" location="G.1!A1" display="Payroll Analysis" xr:uid="{00000000-0004-0000-0000-000006000000}"/>
    <hyperlink ref="B17" location="H.1!A1" display="Gross Revenue Conversion Factor" xr:uid="{00000000-0004-0000-0000-000007000000}"/>
    <hyperlink ref="B18" location="I.1!A1" display="Comparative Income Statements" xr:uid="{00000000-0004-0000-0000-000008000000}"/>
    <hyperlink ref="B19" location="'J-1 Base'!A1" display="Cost of Capital" xr:uid="{00000000-0004-0000-0000-000009000000}"/>
    <hyperlink ref="B20" location="K!A1" display="Comparative Financial Data" xr:uid="{00000000-0004-0000-0000-00000A000000}"/>
  </hyperlinks>
  <pageMargins left="0.91" right="0.75" top="1" bottom="1" header="0.5" footer="0.5"/>
  <pageSetup scale="9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Z268"/>
  <sheetViews>
    <sheetView view="pageBreakPreview" zoomScale="80" zoomScaleNormal="100" zoomScaleSheetLayoutView="80" workbookViewId="0">
      <selection sqref="A1:N1"/>
    </sheetView>
  </sheetViews>
  <sheetFormatPr defaultColWidth="8.88671875" defaultRowHeight="15"/>
  <cols>
    <col min="1" max="1" width="4.5546875" style="72" customWidth="1"/>
    <col min="2" max="2" width="9.33203125" style="72" customWidth="1"/>
    <col min="3" max="3" width="33.88671875" style="72" customWidth="1"/>
    <col min="4" max="4" width="14.6640625" style="72" customWidth="1"/>
    <col min="5" max="5" width="10.33203125" style="72" customWidth="1"/>
    <col min="6" max="6" width="14.21875" style="72" customWidth="1"/>
    <col min="7" max="7" width="12.6640625" style="686" bestFit="1" customWidth="1"/>
    <col min="8" max="8" width="13.5546875" style="686" customWidth="1"/>
    <col min="9" max="9" width="14" style="72" customWidth="1"/>
    <col min="10" max="10" width="3.21875" style="72" customWidth="1"/>
    <col min="11" max="11" width="15.77734375" style="72" customWidth="1"/>
    <col min="12" max="12" width="12.6640625" style="686" bestFit="1" customWidth="1"/>
    <col min="13" max="13" width="9.77734375" style="686" bestFit="1" customWidth="1"/>
    <col min="14" max="14" width="16" style="72" bestFit="1" customWidth="1"/>
    <col min="15" max="15" width="5" style="72" customWidth="1"/>
    <col min="16" max="17" width="12" style="72" bestFit="1" customWidth="1"/>
    <col min="18" max="16384" width="8.88671875" style="72"/>
  </cols>
  <sheetData>
    <row r="1" spans="1:17">
      <c r="A1" s="1260" t="str">
        <f>'Table of Contents'!A1:C1</f>
        <v>Atmos Energy Corporation, Kentucky/Mid-States Division</v>
      </c>
      <c r="B1" s="1260"/>
      <c r="C1" s="1260"/>
      <c r="D1" s="1260"/>
      <c r="E1" s="1260"/>
      <c r="F1" s="1260"/>
      <c r="G1" s="1260"/>
      <c r="H1" s="1260"/>
      <c r="I1" s="1260"/>
      <c r="J1" s="1260"/>
      <c r="K1" s="1260"/>
      <c r="L1" s="1260"/>
      <c r="M1" s="1260"/>
      <c r="N1" s="1260"/>
    </row>
    <row r="2" spans="1:17">
      <c r="A2" s="1260" t="str">
        <f>'Table of Contents'!A2:C2</f>
        <v>Kentucky Jurisdiction Case No. 2021-00214</v>
      </c>
      <c r="B2" s="1260"/>
      <c r="C2" s="1260"/>
      <c r="D2" s="1260"/>
      <c r="E2" s="1260"/>
      <c r="F2" s="1260"/>
      <c r="G2" s="1260"/>
      <c r="H2" s="1260"/>
      <c r="I2" s="1260"/>
      <c r="J2" s="1260"/>
      <c r="K2" s="1260"/>
      <c r="L2" s="1260"/>
      <c r="M2" s="1260"/>
      <c r="N2" s="1260"/>
    </row>
    <row r="3" spans="1:17">
      <c r="A3" s="1261" t="s">
        <v>1099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1261"/>
      <c r="N3" s="1261"/>
    </row>
    <row r="4" spans="1:17" ht="15.75">
      <c r="A4" s="1262" t="str">
        <f>'B.1 B'!A4</f>
        <v>Base Period: Twelve Months Ended September 30, 2021</v>
      </c>
      <c r="B4" s="1262"/>
      <c r="C4" s="1262"/>
      <c r="D4" s="1262"/>
      <c r="E4" s="1262"/>
      <c r="F4" s="1262"/>
      <c r="G4" s="1262"/>
      <c r="H4" s="1262"/>
      <c r="I4" s="1262"/>
      <c r="J4" s="1262"/>
      <c r="K4" s="1262"/>
      <c r="L4" s="1262"/>
      <c r="M4" s="1262"/>
      <c r="N4" s="1262"/>
    </row>
    <row r="5" spans="1:17" ht="15.75">
      <c r="A5" s="133"/>
      <c r="B5" s="133"/>
      <c r="C5" s="133"/>
      <c r="D5" s="589"/>
      <c r="E5" s="133"/>
      <c r="F5" s="133"/>
      <c r="G5" s="689"/>
      <c r="H5" s="689"/>
      <c r="I5" s="73"/>
      <c r="J5" s="73"/>
      <c r="K5" s="133"/>
      <c r="P5" s="729"/>
    </row>
    <row r="6" spans="1:17" ht="15.75">
      <c r="A6" s="472" t="str">
        <f>'B.1 B'!A6</f>
        <v>Data:__X___Base Period______Forecasted Period</v>
      </c>
      <c r="B6" s="73"/>
      <c r="C6" s="73"/>
      <c r="D6" s="73"/>
      <c r="E6" s="729"/>
      <c r="F6" s="73"/>
      <c r="G6" s="689"/>
      <c r="K6" s="73"/>
      <c r="N6" s="728" t="s">
        <v>1362</v>
      </c>
    </row>
    <row r="7" spans="1:17">
      <c r="A7" s="472" t="str">
        <f>'B.1 B'!A7</f>
        <v>Type of Filing:___X____Original________Updated ________Revised</v>
      </c>
      <c r="B7" s="80"/>
      <c r="C7" s="73"/>
      <c r="D7" s="73"/>
      <c r="E7" s="73"/>
      <c r="F7" s="73"/>
      <c r="G7" s="689"/>
      <c r="I7" s="80"/>
      <c r="J7" s="80"/>
      <c r="K7" s="73"/>
      <c r="N7" s="827" t="s">
        <v>997</v>
      </c>
    </row>
    <row r="8" spans="1:17">
      <c r="A8" s="674" t="str">
        <f>'B.1 B'!A8</f>
        <v>Workpaper Reference No(s).</v>
      </c>
      <c r="B8" s="66"/>
      <c r="C8" s="66"/>
      <c r="D8" s="66"/>
      <c r="E8" s="66"/>
      <c r="F8" s="66"/>
      <c r="G8" s="68"/>
      <c r="H8" s="825"/>
      <c r="I8" s="826"/>
      <c r="J8" s="826"/>
      <c r="K8" s="66"/>
      <c r="L8" s="825"/>
      <c r="M8" s="825"/>
      <c r="N8" s="800" t="str">
        <f>'B.2 B'!N8</f>
        <v>Witness: Christian</v>
      </c>
    </row>
    <row r="9" spans="1:17">
      <c r="A9" s="828"/>
      <c r="B9" s="667"/>
      <c r="C9" s="847"/>
      <c r="D9" s="336"/>
      <c r="E9" s="667"/>
      <c r="F9" s="667"/>
      <c r="G9" s="718"/>
      <c r="H9" s="829"/>
      <c r="I9" s="830"/>
      <c r="J9" s="826"/>
      <c r="K9" s="336"/>
      <c r="L9" s="720"/>
      <c r="M9" s="720"/>
      <c r="N9" s="831"/>
    </row>
    <row r="10" spans="1:17" ht="15.75">
      <c r="A10" s="832"/>
      <c r="B10" s="66"/>
      <c r="C10" s="848"/>
      <c r="D10" s="479">
        <v>44469</v>
      </c>
      <c r="E10" s="66"/>
      <c r="F10" s="66"/>
      <c r="G10" s="68" t="s">
        <v>13</v>
      </c>
      <c r="H10" s="67" t="s">
        <v>11</v>
      </c>
      <c r="I10" s="833"/>
      <c r="J10" s="826"/>
      <c r="K10" s="834"/>
      <c r="L10" s="68" t="s">
        <v>13</v>
      </c>
      <c r="M10" s="67" t="s">
        <v>11</v>
      </c>
      <c r="N10" s="833"/>
    </row>
    <row r="11" spans="1:17" ht="15.75">
      <c r="A11" s="832" t="s">
        <v>92</v>
      </c>
      <c r="B11" s="67" t="s">
        <v>266</v>
      </c>
      <c r="C11" s="411" t="s">
        <v>215</v>
      </c>
      <c r="D11" s="851" t="s">
        <v>1280</v>
      </c>
      <c r="E11" s="67"/>
      <c r="F11" s="67" t="s">
        <v>10</v>
      </c>
      <c r="G11" s="67" t="s">
        <v>14</v>
      </c>
      <c r="H11" s="67" t="s">
        <v>589</v>
      </c>
      <c r="I11" s="411" t="s">
        <v>12</v>
      </c>
      <c r="J11" s="67"/>
      <c r="K11" s="835" t="s">
        <v>44</v>
      </c>
      <c r="L11" s="67" t="s">
        <v>14</v>
      </c>
      <c r="M11" s="67" t="s">
        <v>589</v>
      </c>
      <c r="N11" s="411" t="s">
        <v>12</v>
      </c>
    </row>
    <row r="12" spans="1:17" ht="15.75">
      <c r="A12" s="836" t="s">
        <v>98</v>
      </c>
      <c r="B12" s="163" t="s">
        <v>98</v>
      </c>
      <c r="C12" s="837" t="s">
        <v>294</v>
      </c>
      <c r="D12" s="852" t="s">
        <v>104</v>
      </c>
      <c r="E12" s="163" t="s">
        <v>974</v>
      </c>
      <c r="F12" s="163" t="s">
        <v>104</v>
      </c>
      <c r="G12" s="163" t="s">
        <v>622</v>
      </c>
      <c r="H12" s="163" t="s">
        <v>622</v>
      </c>
      <c r="I12" s="837" t="s">
        <v>103</v>
      </c>
      <c r="J12" s="67"/>
      <c r="K12" s="852" t="s">
        <v>97</v>
      </c>
      <c r="L12" s="163" t="s">
        <v>622</v>
      </c>
      <c r="M12" s="163" t="s">
        <v>622</v>
      </c>
      <c r="N12" s="837" t="s">
        <v>103</v>
      </c>
      <c r="P12" s="363"/>
      <c r="Q12" s="363"/>
    </row>
    <row r="13" spans="1:17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1:17" ht="15.75">
      <c r="B14" s="764" t="s">
        <v>6</v>
      </c>
      <c r="J14" s="650"/>
    </row>
    <row r="15" spans="1:17">
      <c r="A15" s="687">
        <v>1</v>
      </c>
      <c r="B15" s="73"/>
      <c r="C15" s="500" t="s">
        <v>295</v>
      </c>
    </row>
    <row r="16" spans="1:17">
      <c r="A16" s="112">
        <f>A15+1</f>
        <v>2</v>
      </c>
      <c r="B16" s="431">
        <v>30100</v>
      </c>
      <c r="C16" s="80" t="s">
        <v>289</v>
      </c>
      <c r="D16" s="304">
        <f>[4]Reserve!Q112</f>
        <v>8329.7199999999993</v>
      </c>
      <c r="E16" s="304">
        <v>0</v>
      </c>
      <c r="F16" s="304">
        <f>D16-E16</f>
        <v>8329.7199999999993</v>
      </c>
      <c r="G16" s="394">
        <v>1</v>
      </c>
      <c r="H16" s="394">
        <f>$G$16</f>
        <v>1</v>
      </c>
      <c r="I16" s="304">
        <f>F16*G16*H16</f>
        <v>8329.7199999999993</v>
      </c>
      <c r="J16" s="740"/>
      <c r="K16" s="304">
        <f>[4]Reserve!C112</f>
        <v>8329.7199999999993</v>
      </c>
      <c r="L16" s="394">
        <f t="shared" ref="L16:M17" si="0">$G$16</f>
        <v>1</v>
      </c>
      <c r="M16" s="394">
        <f t="shared" si="0"/>
        <v>1</v>
      </c>
      <c r="N16" s="304">
        <f>K16*L16*M16</f>
        <v>8329.7199999999993</v>
      </c>
    </row>
    <row r="17" spans="1:14">
      <c r="A17" s="112">
        <f t="shared" ref="A17:A83" si="1">A16+1</f>
        <v>3</v>
      </c>
      <c r="B17" s="431">
        <v>30200</v>
      </c>
      <c r="C17" s="80" t="s">
        <v>152</v>
      </c>
      <c r="D17" s="364">
        <f>[4]Reserve!Q113</f>
        <v>119852.69</v>
      </c>
      <c r="E17" s="364">
        <v>0</v>
      </c>
      <c r="F17" s="364">
        <f>D17-E17</f>
        <v>119852.69</v>
      </c>
      <c r="G17" s="394">
        <f>$G$16</f>
        <v>1</v>
      </c>
      <c r="H17" s="394">
        <f>$G$16</f>
        <v>1</v>
      </c>
      <c r="I17" s="364">
        <f>F17*G17*H17</f>
        <v>119852.69</v>
      </c>
      <c r="K17" s="364">
        <f>[4]Reserve!C113</f>
        <v>119852.68999999996</v>
      </c>
      <c r="L17" s="394">
        <f t="shared" si="0"/>
        <v>1</v>
      </c>
      <c r="M17" s="394">
        <f t="shared" si="0"/>
        <v>1</v>
      </c>
      <c r="N17" s="364">
        <f>K17*L17*M17</f>
        <v>119852.68999999996</v>
      </c>
    </row>
    <row r="18" spans="1:14">
      <c r="A18" s="112">
        <f t="shared" si="1"/>
        <v>4</v>
      </c>
      <c r="B18" s="431"/>
      <c r="C18" s="80"/>
      <c r="D18" s="853"/>
      <c r="E18" s="853"/>
      <c r="F18" s="853"/>
      <c r="G18" s="394"/>
      <c r="H18" s="394"/>
      <c r="I18" s="853"/>
      <c r="K18" s="853"/>
      <c r="N18" s="853"/>
    </row>
    <row r="19" spans="1:14">
      <c r="A19" s="112">
        <f t="shared" si="1"/>
        <v>5</v>
      </c>
      <c r="B19" s="570"/>
      <c r="C19" s="80" t="s">
        <v>1335</v>
      </c>
      <c r="D19" s="304">
        <f>SUM(D16:D18)</f>
        <v>128182.41</v>
      </c>
      <c r="E19" s="304">
        <f>SUM(E16:E18)</f>
        <v>0</v>
      </c>
      <c r="F19" s="304">
        <f>SUM(F16:F18)</f>
        <v>128182.41</v>
      </c>
      <c r="G19" s="394"/>
      <c r="H19" s="394"/>
      <c r="I19" s="304">
        <f>SUM(I16:I18)</f>
        <v>128182.41</v>
      </c>
      <c r="K19" s="304">
        <f>SUM(K16:K18)</f>
        <v>128182.40999999996</v>
      </c>
      <c r="N19" s="304">
        <f>SUM(N16:N17)</f>
        <v>128182.40999999996</v>
      </c>
    </row>
    <row r="20" spans="1:14">
      <c r="A20" s="112">
        <f t="shared" si="1"/>
        <v>6</v>
      </c>
      <c r="B20" s="570"/>
      <c r="C20" s="73"/>
      <c r="D20" s="364"/>
      <c r="E20" s="364"/>
      <c r="F20" s="364"/>
      <c r="G20" s="394"/>
      <c r="H20" s="394"/>
      <c r="I20" s="364"/>
      <c r="K20" s="364"/>
      <c r="N20" s="364"/>
    </row>
    <row r="21" spans="1:14">
      <c r="A21" s="112">
        <f t="shared" si="1"/>
        <v>7</v>
      </c>
      <c r="B21" s="570"/>
      <c r="C21" s="500" t="s">
        <v>153</v>
      </c>
      <c r="D21" s="364"/>
      <c r="E21" s="364"/>
      <c r="F21" s="364"/>
      <c r="G21" s="394"/>
      <c r="H21" s="394"/>
      <c r="I21" s="364"/>
      <c r="K21" s="364"/>
      <c r="N21" s="364"/>
    </row>
    <row r="22" spans="1:14">
      <c r="A22" s="112">
        <f t="shared" si="1"/>
        <v>8</v>
      </c>
      <c r="B22" s="431">
        <v>32540</v>
      </c>
      <c r="C22" s="80" t="s">
        <v>160</v>
      </c>
      <c r="D22" s="304">
        <f>[4]Reserve!Q114</f>
        <v>0</v>
      </c>
      <c r="E22" s="304">
        <v>0</v>
      </c>
      <c r="F22" s="304">
        <f t="shared" ref="F22:F24" si="2">D22-E22</f>
        <v>0</v>
      </c>
      <c r="G22" s="394">
        <f t="shared" ref="G22:H24" si="3">$G$16</f>
        <v>1</v>
      </c>
      <c r="H22" s="394">
        <f t="shared" si="3"/>
        <v>1</v>
      </c>
      <c r="I22" s="304">
        <f t="shared" ref="I22:I24" si="4">F22*G22*H22</f>
        <v>0</v>
      </c>
      <c r="K22" s="304">
        <f>[4]Reserve!$C$114</f>
        <v>0</v>
      </c>
      <c r="L22" s="394">
        <f t="shared" ref="L22:M24" si="5">$G$16</f>
        <v>1</v>
      </c>
      <c r="M22" s="394">
        <f t="shared" si="5"/>
        <v>1</v>
      </c>
      <c r="N22" s="304">
        <f t="shared" ref="N22:N24" si="6">K22*L22*M22</f>
        <v>0</v>
      </c>
    </row>
    <row r="23" spans="1:14">
      <c r="A23" s="112">
        <f t="shared" si="1"/>
        <v>9</v>
      </c>
      <c r="B23" s="431">
        <v>33202</v>
      </c>
      <c r="C23" s="80" t="s">
        <v>591</v>
      </c>
      <c r="D23" s="364">
        <f>[4]Reserve!Q115</f>
        <v>0</v>
      </c>
      <c r="E23" s="364">
        <v>0</v>
      </c>
      <c r="F23" s="364">
        <f t="shared" si="2"/>
        <v>0</v>
      </c>
      <c r="G23" s="394">
        <f t="shared" si="3"/>
        <v>1</v>
      </c>
      <c r="H23" s="394">
        <f t="shared" si="3"/>
        <v>1</v>
      </c>
      <c r="I23" s="364">
        <f t="shared" si="4"/>
        <v>0</v>
      </c>
      <c r="K23" s="364">
        <f>[4]Reserve!$C$114</f>
        <v>0</v>
      </c>
      <c r="L23" s="394">
        <f t="shared" si="5"/>
        <v>1</v>
      </c>
      <c r="M23" s="394">
        <f t="shared" si="5"/>
        <v>1</v>
      </c>
      <c r="N23" s="364">
        <f t="shared" si="6"/>
        <v>0</v>
      </c>
    </row>
    <row r="24" spans="1:14">
      <c r="A24" s="112">
        <f t="shared" si="1"/>
        <v>10</v>
      </c>
      <c r="B24" s="431">
        <v>33400</v>
      </c>
      <c r="C24" s="80" t="s">
        <v>1101</v>
      </c>
      <c r="D24" s="364">
        <f>[4]Reserve!Q116</f>
        <v>0</v>
      </c>
      <c r="E24" s="364">
        <v>0</v>
      </c>
      <c r="F24" s="364">
        <f t="shared" si="2"/>
        <v>0</v>
      </c>
      <c r="G24" s="394">
        <f t="shared" si="3"/>
        <v>1</v>
      </c>
      <c r="H24" s="394">
        <f t="shared" si="3"/>
        <v>1</v>
      </c>
      <c r="I24" s="364">
        <f t="shared" si="4"/>
        <v>0</v>
      </c>
      <c r="K24" s="364">
        <f>[4]Reserve!$C$114</f>
        <v>0</v>
      </c>
      <c r="L24" s="394">
        <f t="shared" si="5"/>
        <v>1</v>
      </c>
      <c r="M24" s="394">
        <f t="shared" si="5"/>
        <v>1</v>
      </c>
      <c r="N24" s="364">
        <f t="shared" si="6"/>
        <v>0</v>
      </c>
    </row>
    <row r="25" spans="1:14">
      <c r="A25" s="112">
        <f t="shared" si="1"/>
        <v>11</v>
      </c>
      <c r="B25" s="431"/>
      <c r="C25" s="73"/>
      <c r="D25" s="853"/>
      <c r="E25" s="364"/>
      <c r="F25" s="364"/>
      <c r="G25" s="394"/>
      <c r="H25" s="394"/>
      <c r="I25" s="364"/>
      <c r="K25" s="853"/>
      <c r="N25" s="364"/>
    </row>
    <row r="26" spans="1:14">
      <c r="A26" s="112">
        <f t="shared" si="1"/>
        <v>12</v>
      </c>
      <c r="B26" s="431"/>
      <c r="C26" s="73" t="s">
        <v>1334</v>
      </c>
      <c r="D26" s="304">
        <f>SUM(D22:D25)</f>
        <v>0</v>
      </c>
      <c r="E26" s="304">
        <f>SUM(E22:E25)</f>
        <v>0</v>
      </c>
      <c r="F26" s="304">
        <f>SUM(F22:F25)</f>
        <v>0</v>
      </c>
      <c r="G26" s="394"/>
      <c r="H26" s="394"/>
      <c r="I26" s="304">
        <f>SUM(I22:I25)</f>
        <v>0</v>
      </c>
      <c r="K26" s="304">
        <f>SUM(K22:K25)</f>
        <v>0</v>
      </c>
      <c r="N26" s="304">
        <f>SUM(N22:N25)</f>
        <v>0</v>
      </c>
    </row>
    <row r="27" spans="1:14">
      <c r="A27" s="112">
        <f t="shared" si="1"/>
        <v>13</v>
      </c>
      <c r="B27" s="431"/>
      <c r="C27" s="80"/>
      <c r="D27" s="364"/>
      <c r="E27" s="364"/>
      <c r="F27" s="364"/>
      <c r="G27" s="394"/>
      <c r="H27" s="394"/>
      <c r="I27" s="364"/>
      <c r="K27" s="364"/>
      <c r="N27" s="364"/>
    </row>
    <row r="28" spans="1:14">
      <c r="A28" s="112">
        <f t="shared" si="1"/>
        <v>14</v>
      </c>
      <c r="B28" s="431"/>
      <c r="C28" s="500" t="s">
        <v>277</v>
      </c>
      <c r="D28" s="364"/>
      <c r="E28" s="364"/>
      <c r="F28" s="364"/>
      <c r="G28" s="394"/>
      <c r="H28" s="394"/>
      <c r="I28" s="364"/>
      <c r="K28" s="364"/>
      <c r="N28" s="364"/>
    </row>
    <row r="29" spans="1:14">
      <c r="A29" s="112">
        <f t="shared" si="1"/>
        <v>15</v>
      </c>
      <c r="B29" s="431">
        <v>35010</v>
      </c>
      <c r="C29" s="80" t="s">
        <v>290</v>
      </c>
      <c r="D29" s="304">
        <f>[4]Reserve!Q117</f>
        <v>0</v>
      </c>
      <c r="E29" s="304">
        <v>0</v>
      </c>
      <c r="F29" s="304">
        <f t="shared" ref="F29:F45" si="7">D29-E29</f>
        <v>0</v>
      </c>
      <c r="G29" s="394">
        <f t="shared" ref="G29:H45" si="8">$G$16</f>
        <v>1</v>
      </c>
      <c r="H29" s="394">
        <f t="shared" si="8"/>
        <v>1</v>
      </c>
      <c r="I29" s="304">
        <f t="shared" ref="I29:I45" si="9">F29*G29*H29</f>
        <v>0</v>
      </c>
      <c r="K29" s="304">
        <f>[4]Reserve!C117</f>
        <v>0</v>
      </c>
      <c r="L29" s="394">
        <f t="shared" ref="L29:M45" si="10">$G$16</f>
        <v>1</v>
      </c>
      <c r="M29" s="394">
        <f t="shared" si="10"/>
        <v>1</v>
      </c>
      <c r="N29" s="304">
        <f t="shared" ref="N29:N45" si="11">K29*L29*M29</f>
        <v>0</v>
      </c>
    </row>
    <row r="30" spans="1:14">
      <c r="A30" s="112">
        <f t="shared" si="1"/>
        <v>16</v>
      </c>
      <c r="B30" s="431">
        <v>35020</v>
      </c>
      <c r="C30" s="80" t="s">
        <v>785</v>
      </c>
      <c r="D30" s="364">
        <f>[4]Reserve!Q118</f>
        <v>4105.3368440000004</v>
      </c>
      <c r="E30" s="364">
        <v>0</v>
      </c>
      <c r="F30" s="364">
        <f t="shared" si="7"/>
        <v>4105.3368440000004</v>
      </c>
      <c r="G30" s="394">
        <f t="shared" si="8"/>
        <v>1</v>
      </c>
      <c r="H30" s="394">
        <f t="shared" si="8"/>
        <v>1</v>
      </c>
      <c r="I30" s="364">
        <f t="shared" si="9"/>
        <v>4105.3368440000004</v>
      </c>
      <c r="K30" s="364">
        <f>[4]Reserve!C118</f>
        <v>4096.9172272307705</v>
      </c>
      <c r="L30" s="394">
        <f t="shared" si="10"/>
        <v>1</v>
      </c>
      <c r="M30" s="394">
        <f t="shared" si="10"/>
        <v>1</v>
      </c>
      <c r="N30" s="364">
        <f t="shared" si="11"/>
        <v>4096.9172272307705</v>
      </c>
    </row>
    <row r="31" spans="1:14">
      <c r="A31" s="112">
        <f t="shared" si="1"/>
        <v>17</v>
      </c>
      <c r="B31" s="431">
        <v>35100</v>
      </c>
      <c r="C31" s="80" t="s">
        <v>956</v>
      </c>
      <c r="D31" s="364">
        <f>[4]Reserve!Q119</f>
        <v>6737.1795200000015</v>
      </c>
      <c r="E31" s="364">
        <v>0</v>
      </c>
      <c r="F31" s="364">
        <f t="shared" si="7"/>
        <v>6737.1795200000015</v>
      </c>
      <c r="G31" s="394">
        <f t="shared" si="8"/>
        <v>1</v>
      </c>
      <c r="H31" s="394">
        <f t="shared" si="8"/>
        <v>1</v>
      </c>
      <c r="I31" s="364">
        <f t="shared" si="9"/>
        <v>6737.1795200000015</v>
      </c>
      <c r="K31" s="364">
        <f>[4]Reserve!C119</f>
        <v>6593.8633323076929</v>
      </c>
      <c r="L31" s="394">
        <f t="shared" si="10"/>
        <v>1</v>
      </c>
      <c r="M31" s="394">
        <f t="shared" si="10"/>
        <v>1</v>
      </c>
      <c r="N31" s="364">
        <f t="shared" si="11"/>
        <v>6593.8633323076929</v>
      </c>
    </row>
    <row r="32" spans="1:14">
      <c r="A32" s="112">
        <f t="shared" si="1"/>
        <v>18</v>
      </c>
      <c r="B32" s="431">
        <v>35102</v>
      </c>
      <c r="C32" s="80" t="s">
        <v>278</v>
      </c>
      <c r="D32" s="364">
        <f>[4]Reserve!Q120</f>
        <v>112662.90167000002</v>
      </c>
      <c r="E32" s="364">
        <v>0</v>
      </c>
      <c r="F32" s="364">
        <f t="shared" si="7"/>
        <v>112662.90167000002</v>
      </c>
      <c r="G32" s="394">
        <f t="shared" si="8"/>
        <v>1</v>
      </c>
      <c r="H32" s="394">
        <f t="shared" si="8"/>
        <v>1</v>
      </c>
      <c r="I32" s="364">
        <f t="shared" si="9"/>
        <v>112662.90167000002</v>
      </c>
      <c r="K32" s="364">
        <f>[4]Reserve!C120</f>
        <v>111758.65506500004</v>
      </c>
      <c r="L32" s="394">
        <f t="shared" si="10"/>
        <v>1</v>
      </c>
      <c r="M32" s="394">
        <f t="shared" si="10"/>
        <v>1</v>
      </c>
      <c r="N32" s="364">
        <f t="shared" si="11"/>
        <v>111758.65506500004</v>
      </c>
    </row>
    <row r="33" spans="1:14">
      <c r="A33" s="112">
        <f t="shared" si="1"/>
        <v>19</v>
      </c>
      <c r="B33" s="431">
        <v>35103</v>
      </c>
      <c r="C33" s="80" t="s">
        <v>580</v>
      </c>
      <c r="D33" s="364">
        <f>[4]Reserve!Q121</f>
        <v>20066.366601000005</v>
      </c>
      <c r="E33" s="364">
        <v>0</v>
      </c>
      <c r="F33" s="364">
        <f t="shared" si="7"/>
        <v>20066.366601000005</v>
      </c>
      <c r="G33" s="394">
        <f t="shared" si="8"/>
        <v>1</v>
      </c>
      <c r="H33" s="394">
        <f t="shared" si="8"/>
        <v>1</v>
      </c>
      <c r="I33" s="364">
        <f t="shared" si="9"/>
        <v>20066.366601000005</v>
      </c>
      <c r="K33" s="364">
        <f>[4]Reserve!C121</f>
        <v>19974.974469499997</v>
      </c>
      <c r="L33" s="394">
        <f t="shared" si="10"/>
        <v>1</v>
      </c>
      <c r="M33" s="394">
        <f t="shared" si="10"/>
        <v>1</v>
      </c>
      <c r="N33" s="364">
        <f t="shared" si="11"/>
        <v>19974.974469499997</v>
      </c>
    </row>
    <row r="34" spans="1:14">
      <c r="A34" s="112">
        <f t="shared" si="1"/>
        <v>20</v>
      </c>
      <c r="B34" s="431">
        <v>35104</v>
      </c>
      <c r="C34" s="80" t="s">
        <v>581</v>
      </c>
      <c r="D34" s="364">
        <f>[4]Reserve!Q122</f>
        <v>99663.17518000002</v>
      </c>
      <c r="E34" s="364">
        <v>0</v>
      </c>
      <c r="F34" s="364">
        <f t="shared" si="7"/>
        <v>99663.17518000002</v>
      </c>
      <c r="G34" s="394">
        <f t="shared" si="8"/>
        <v>1</v>
      </c>
      <c r="H34" s="394">
        <f t="shared" si="8"/>
        <v>1</v>
      </c>
      <c r="I34" s="364">
        <f t="shared" si="9"/>
        <v>99663.17518000002</v>
      </c>
      <c r="K34" s="364">
        <f>[4]Reserve!C122</f>
        <v>98838.524086923106</v>
      </c>
      <c r="L34" s="394">
        <f t="shared" si="10"/>
        <v>1</v>
      </c>
      <c r="M34" s="394">
        <f t="shared" si="10"/>
        <v>1</v>
      </c>
      <c r="N34" s="364">
        <f t="shared" si="11"/>
        <v>98838.524086923106</v>
      </c>
    </row>
    <row r="35" spans="1:14">
      <c r="A35" s="112">
        <f t="shared" si="1"/>
        <v>21</v>
      </c>
      <c r="B35" s="431">
        <v>35200</v>
      </c>
      <c r="C35" s="80" t="s">
        <v>437</v>
      </c>
      <c r="D35" s="364">
        <f>[4]Reserve!Q123</f>
        <v>1725915.2329150001</v>
      </c>
      <c r="E35" s="364">
        <v>0</v>
      </c>
      <c r="F35" s="364">
        <f t="shared" si="7"/>
        <v>1725915.2329150001</v>
      </c>
      <c r="G35" s="394">
        <f t="shared" si="8"/>
        <v>1</v>
      </c>
      <c r="H35" s="394">
        <f t="shared" si="8"/>
        <v>1</v>
      </c>
      <c r="I35" s="364">
        <f t="shared" si="9"/>
        <v>1725915.2329150001</v>
      </c>
      <c r="K35" s="364">
        <f>[4]Reserve!C123</f>
        <v>1639625.5488617311</v>
      </c>
      <c r="L35" s="394">
        <f t="shared" si="10"/>
        <v>1</v>
      </c>
      <c r="M35" s="394">
        <f t="shared" si="10"/>
        <v>1</v>
      </c>
      <c r="N35" s="364">
        <f t="shared" si="11"/>
        <v>1639625.5488617311</v>
      </c>
    </row>
    <row r="36" spans="1:14">
      <c r="A36" s="112">
        <f t="shared" si="1"/>
        <v>22</v>
      </c>
      <c r="B36" s="431">
        <v>35201</v>
      </c>
      <c r="C36" s="80" t="s">
        <v>582</v>
      </c>
      <c r="D36" s="364">
        <f>[4]Reserve!Q124</f>
        <v>1416827.4696339997</v>
      </c>
      <c r="E36" s="364">
        <v>0</v>
      </c>
      <c r="F36" s="364">
        <f t="shared" si="7"/>
        <v>1416827.4696339997</v>
      </c>
      <c r="G36" s="394">
        <f t="shared" si="8"/>
        <v>1</v>
      </c>
      <c r="H36" s="394">
        <f t="shared" si="8"/>
        <v>1</v>
      </c>
      <c r="I36" s="364">
        <f t="shared" si="9"/>
        <v>1416827.4696339997</v>
      </c>
      <c r="K36" s="364">
        <f>[4]Reserve!C124</f>
        <v>1404757.4718245382</v>
      </c>
      <c r="L36" s="394">
        <f t="shared" si="10"/>
        <v>1</v>
      </c>
      <c r="M36" s="394">
        <f t="shared" si="10"/>
        <v>1</v>
      </c>
      <c r="N36" s="364">
        <f t="shared" si="11"/>
        <v>1404757.4718245382</v>
      </c>
    </row>
    <row r="37" spans="1:14">
      <c r="A37" s="112">
        <f t="shared" si="1"/>
        <v>23</v>
      </c>
      <c r="B37" s="431">
        <v>35202</v>
      </c>
      <c r="C37" s="80" t="s">
        <v>583</v>
      </c>
      <c r="D37" s="364">
        <f>[4]Reserve!Q125</f>
        <v>449390.83437699999</v>
      </c>
      <c r="E37" s="364">
        <v>0</v>
      </c>
      <c r="F37" s="364">
        <f t="shared" si="7"/>
        <v>449390.83437699999</v>
      </c>
      <c r="G37" s="394">
        <f t="shared" si="8"/>
        <v>1</v>
      </c>
      <c r="H37" s="394">
        <f t="shared" si="8"/>
        <v>1</v>
      </c>
      <c r="I37" s="364">
        <f t="shared" si="9"/>
        <v>449390.83437699999</v>
      </c>
      <c r="K37" s="364">
        <f>[4]Reserve!C125</f>
        <v>446942.10387073079</v>
      </c>
      <c r="L37" s="394">
        <f t="shared" si="10"/>
        <v>1</v>
      </c>
      <c r="M37" s="394">
        <f t="shared" si="10"/>
        <v>1</v>
      </c>
      <c r="N37" s="364">
        <f t="shared" si="11"/>
        <v>446942.10387073079</v>
      </c>
    </row>
    <row r="38" spans="1:14">
      <c r="A38" s="112">
        <f t="shared" si="1"/>
        <v>24</v>
      </c>
      <c r="B38" s="431">
        <v>35203</v>
      </c>
      <c r="C38" s="80" t="s">
        <v>341</v>
      </c>
      <c r="D38" s="364">
        <f>[4]Reserve!Q126</f>
        <v>614159.93412800063</v>
      </c>
      <c r="E38" s="364">
        <v>0</v>
      </c>
      <c r="F38" s="364">
        <f t="shared" si="7"/>
        <v>614159.93412800063</v>
      </c>
      <c r="G38" s="394">
        <f t="shared" si="8"/>
        <v>1</v>
      </c>
      <c r="H38" s="394">
        <f t="shared" si="8"/>
        <v>1</v>
      </c>
      <c r="I38" s="364">
        <f t="shared" si="9"/>
        <v>614159.93412800063</v>
      </c>
      <c r="K38" s="364">
        <f>[4]Reserve!C126</f>
        <v>602635.0711113849</v>
      </c>
      <c r="L38" s="394">
        <f t="shared" si="10"/>
        <v>1</v>
      </c>
      <c r="M38" s="394">
        <f t="shared" si="10"/>
        <v>1</v>
      </c>
      <c r="N38" s="364">
        <f t="shared" si="11"/>
        <v>602635.0711113849</v>
      </c>
    </row>
    <row r="39" spans="1:14">
      <c r="A39" s="112">
        <f t="shared" si="1"/>
        <v>25</v>
      </c>
      <c r="B39" s="431">
        <v>35210</v>
      </c>
      <c r="C39" s="80" t="s">
        <v>584</v>
      </c>
      <c r="D39" s="364">
        <f>[4]Reserve!Q127</f>
        <v>163674.30756750004</v>
      </c>
      <c r="E39" s="364">
        <v>0</v>
      </c>
      <c r="F39" s="364">
        <f t="shared" si="7"/>
        <v>163674.30756750004</v>
      </c>
      <c r="G39" s="394">
        <f t="shared" si="8"/>
        <v>1</v>
      </c>
      <c r="H39" s="394">
        <f t="shared" si="8"/>
        <v>1</v>
      </c>
      <c r="I39" s="364">
        <f t="shared" si="9"/>
        <v>163674.30756750004</v>
      </c>
      <c r="K39" s="364">
        <f>[4]Reserve!C127</f>
        <v>163540.40396048079</v>
      </c>
      <c r="L39" s="394">
        <f t="shared" si="10"/>
        <v>1</v>
      </c>
      <c r="M39" s="394">
        <f t="shared" si="10"/>
        <v>1</v>
      </c>
      <c r="N39" s="364">
        <f t="shared" si="11"/>
        <v>163540.40396048079</v>
      </c>
    </row>
    <row r="40" spans="1:14">
      <c r="A40" s="112">
        <f t="shared" si="1"/>
        <v>26</v>
      </c>
      <c r="B40" s="431">
        <v>35211</v>
      </c>
      <c r="C40" s="80" t="s">
        <v>585</v>
      </c>
      <c r="D40" s="364">
        <f>[4]Reserve!Q128</f>
        <v>43145.27565299999</v>
      </c>
      <c r="E40" s="364">
        <v>0</v>
      </c>
      <c r="F40" s="364">
        <f t="shared" si="7"/>
        <v>43145.27565299999</v>
      </c>
      <c r="G40" s="394">
        <f t="shared" si="8"/>
        <v>1</v>
      </c>
      <c r="H40" s="394">
        <f t="shared" si="8"/>
        <v>1</v>
      </c>
      <c r="I40" s="364">
        <f t="shared" si="9"/>
        <v>43145.27565299999</v>
      </c>
      <c r="K40" s="364">
        <f>[4]Reserve!C128</f>
        <v>42932.278829653835</v>
      </c>
      <c r="L40" s="394">
        <f t="shared" si="10"/>
        <v>1</v>
      </c>
      <c r="M40" s="394">
        <f t="shared" si="10"/>
        <v>1</v>
      </c>
      <c r="N40" s="364">
        <f t="shared" si="11"/>
        <v>42932.278829653835</v>
      </c>
    </row>
    <row r="41" spans="1:14">
      <c r="A41" s="112">
        <f t="shared" si="1"/>
        <v>27</v>
      </c>
      <c r="B41" s="431">
        <v>35301</v>
      </c>
      <c r="C41" s="73" t="s">
        <v>161</v>
      </c>
      <c r="D41" s="364">
        <f>[4]Reserve!Q129</f>
        <v>100077.08207200005</v>
      </c>
      <c r="E41" s="364">
        <v>0</v>
      </c>
      <c r="F41" s="364">
        <f t="shared" si="7"/>
        <v>100077.08207200005</v>
      </c>
      <c r="G41" s="394">
        <f t="shared" si="8"/>
        <v>1</v>
      </c>
      <c r="H41" s="394">
        <f t="shared" si="8"/>
        <v>1</v>
      </c>
      <c r="I41" s="364">
        <f t="shared" si="9"/>
        <v>100077.08207200005</v>
      </c>
      <c r="K41" s="364">
        <f>[4]Reserve!C129</f>
        <v>99095.120557846181</v>
      </c>
      <c r="L41" s="394">
        <f t="shared" si="10"/>
        <v>1</v>
      </c>
      <c r="M41" s="394">
        <f t="shared" si="10"/>
        <v>1</v>
      </c>
      <c r="N41" s="364">
        <f t="shared" si="11"/>
        <v>99095.120557846181</v>
      </c>
    </row>
    <row r="42" spans="1:14">
      <c r="A42" s="112">
        <f t="shared" si="1"/>
        <v>28</v>
      </c>
      <c r="B42" s="431">
        <v>35302</v>
      </c>
      <c r="C42" s="80" t="s">
        <v>591</v>
      </c>
      <c r="D42" s="364">
        <f>[4]Reserve!Q130</f>
        <v>149433.73583999986</v>
      </c>
      <c r="E42" s="364">
        <v>0</v>
      </c>
      <c r="F42" s="364">
        <f t="shared" si="7"/>
        <v>149433.73583999986</v>
      </c>
      <c r="G42" s="394">
        <f t="shared" si="8"/>
        <v>1</v>
      </c>
      <c r="H42" s="394">
        <f t="shared" si="8"/>
        <v>1</v>
      </c>
      <c r="I42" s="364">
        <f t="shared" si="9"/>
        <v>149433.73583999986</v>
      </c>
      <c r="K42" s="364">
        <f>[4]Reserve!C130</f>
        <v>148261.55695692298</v>
      </c>
      <c r="L42" s="394">
        <f t="shared" si="10"/>
        <v>1</v>
      </c>
      <c r="M42" s="394">
        <f t="shared" si="10"/>
        <v>1</v>
      </c>
      <c r="N42" s="364">
        <f t="shared" si="11"/>
        <v>148261.55695692298</v>
      </c>
    </row>
    <row r="43" spans="1:14">
      <c r="A43" s="112">
        <f t="shared" si="1"/>
        <v>29</v>
      </c>
      <c r="B43" s="431">
        <v>35400</v>
      </c>
      <c r="C43" s="80" t="s">
        <v>586</v>
      </c>
      <c r="D43" s="364">
        <f>[4]Reserve!Q131</f>
        <v>493952.30760999973</v>
      </c>
      <c r="E43" s="364">
        <v>0</v>
      </c>
      <c r="F43" s="364">
        <f t="shared" si="7"/>
        <v>493952.30760999973</v>
      </c>
      <c r="G43" s="394">
        <f t="shared" si="8"/>
        <v>1</v>
      </c>
      <c r="H43" s="394">
        <f t="shared" si="8"/>
        <v>1</v>
      </c>
      <c r="I43" s="364">
        <f t="shared" si="9"/>
        <v>493952.30760999973</v>
      </c>
      <c r="K43" s="364">
        <f>[4]Reserve!C131</f>
        <v>486380.05474115373</v>
      </c>
      <c r="L43" s="394">
        <f t="shared" si="10"/>
        <v>1</v>
      </c>
      <c r="M43" s="394">
        <f t="shared" si="10"/>
        <v>1</v>
      </c>
      <c r="N43" s="364">
        <f t="shared" si="11"/>
        <v>486380.05474115373</v>
      </c>
    </row>
    <row r="44" spans="1:14">
      <c r="A44" s="112">
        <f t="shared" si="1"/>
        <v>30</v>
      </c>
      <c r="B44" s="431">
        <v>35500</v>
      </c>
      <c r="C44" s="80" t="s">
        <v>979</v>
      </c>
      <c r="D44" s="364">
        <f>[4]Reserve!Q132</f>
        <v>154223.86144899993</v>
      </c>
      <c r="E44" s="364">
        <v>0</v>
      </c>
      <c r="F44" s="364">
        <f t="shared" si="7"/>
        <v>154223.86144899993</v>
      </c>
      <c r="G44" s="394">
        <f t="shared" si="8"/>
        <v>1</v>
      </c>
      <c r="H44" s="394">
        <f t="shared" si="8"/>
        <v>1</v>
      </c>
      <c r="I44" s="364">
        <f t="shared" si="9"/>
        <v>154223.86144899993</v>
      </c>
      <c r="K44" s="364">
        <f>[4]Reserve!C132</f>
        <v>151888.98231319225</v>
      </c>
      <c r="L44" s="394">
        <f t="shared" si="10"/>
        <v>1</v>
      </c>
      <c r="M44" s="394">
        <f t="shared" si="10"/>
        <v>1</v>
      </c>
      <c r="N44" s="364">
        <f t="shared" si="11"/>
        <v>151888.98231319225</v>
      </c>
    </row>
    <row r="45" spans="1:14">
      <c r="A45" s="112">
        <f t="shared" si="1"/>
        <v>31</v>
      </c>
      <c r="B45" s="431">
        <v>35600</v>
      </c>
      <c r="C45" s="80" t="s">
        <v>1024</v>
      </c>
      <c r="D45" s="364">
        <f>[4]Reserve!Q133</f>
        <v>215694.14064750003</v>
      </c>
      <c r="E45" s="842">
        <v>0</v>
      </c>
      <c r="F45" s="842">
        <f t="shared" si="7"/>
        <v>215694.14064750003</v>
      </c>
      <c r="G45" s="394">
        <f t="shared" si="8"/>
        <v>1</v>
      </c>
      <c r="H45" s="394">
        <f t="shared" si="8"/>
        <v>1</v>
      </c>
      <c r="I45" s="842">
        <f t="shared" si="9"/>
        <v>215694.14064750003</v>
      </c>
      <c r="K45" s="364">
        <f>[4]Reserve!C133</f>
        <v>207611.10555894233</v>
      </c>
      <c r="L45" s="394">
        <f t="shared" si="10"/>
        <v>1</v>
      </c>
      <c r="M45" s="394">
        <f t="shared" si="10"/>
        <v>1</v>
      </c>
      <c r="N45" s="842">
        <f t="shared" si="11"/>
        <v>207611.10555894233</v>
      </c>
    </row>
    <row r="46" spans="1:14">
      <c r="A46" s="112">
        <f t="shared" si="1"/>
        <v>32</v>
      </c>
      <c r="B46" s="431"/>
      <c r="C46" s="80"/>
      <c r="D46" s="853"/>
      <c r="E46" s="364"/>
      <c r="F46" s="364"/>
      <c r="G46" s="394"/>
      <c r="H46" s="394"/>
      <c r="I46" s="364"/>
      <c r="K46" s="853"/>
      <c r="N46" s="364"/>
    </row>
    <row r="47" spans="1:14">
      <c r="A47" s="112">
        <f t="shared" si="1"/>
        <v>33</v>
      </c>
      <c r="B47" s="431"/>
      <c r="C47" s="80" t="s">
        <v>1333</v>
      </c>
      <c r="D47" s="304">
        <f>SUM(D29:D46)</f>
        <v>5769729.1417080006</v>
      </c>
      <c r="E47" s="304">
        <f>SUM(E29:E46)</f>
        <v>0</v>
      </c>
      <c r="F47" s="304">
        <f>SUM(F29:F46)</f>
        <v>5769729.1417080006</v>
      </c>
      <c r="G47" s="394"/>
      <c r="H47" s="394"/>
      <c r="I47" s="304">
        <f>SUM(I29:I46)</f>
        <v>5769729.1417080006</v>
      </c>
      <c r="K47" s="304">
        <f>SUM(K29:K46)</f>
        <v>5634932.6327675376</v>
      </c>
      <c r="N47" s="304">
        <f>SUM(N29:N46)</f>
        <v>5634932.6327675376</v>
      </c>
    </row>
    <row r="48" spans="1:14">
      <c r="A48" s="112">
        <f t="shared" si="1"/>
        <v>34</v>
      </c>
      <c r="B48" s="431"/>
      <c r="C48" s="80"/>
      <c r="D48" s="364"/>
      <c r="E48" s="364"/>
      <c r="F48" s="364"/>
      <c r="G48" s="394"/>
      <c r="H48" s="394"/>
      <c r="I48" s="364"/>
      <c r="K48" s="364"/>
      <c r="N48" s="364"/>
    </row>
    <row r="49" spans="1:26">
      <c r="A49" s="112">
        <f t="shared" si="1"/>
        <v>35</v>
      </c>
      <c r="B49" s="431"/>
      <c r="C49" s="500" t="s">
        <v>980</v>
      </c>
      <c r="D49" s="364"/>
      <c r="E49" s="364"/>
      <c r="F49" s="364"/>
      <c r="G49" s="394"/>
      <c r="H49" s="394"/>
      <c r="I49" s="364"/>
      <c r="K49" s="364"/>
      <c r="N49" s="364"/>
    </row>
    <row r="50" spans="1:26">
      <c r="A50" s="112">
        <f t="shared" si="1"/>
        <v>36</v>
      </c>
      <c r="B50" s="431">
        <v>36510</v>
      </c>
      <c r="C50" s="80" t="s">
        <v>290</v>
      </c>
      <c r="D50" s="304">
        <f>[4]Reserve!Q134</f>
        <v>0</v>
      </c>
      <c r="E50" s="304">
        <v>0</v>
      </c>
      <c r="F50" s="304">
        <f t="shared" ref="F50:F58" si="12">D50-E50</f>
        <v>0</v>
      </c>
      <c r="G50" s="394">
        <f t="shared" ref="G50:H58" si="13">$G$16</f>
        <v>1</v>
      </c>
      <c r="H50" s="394">
        <f t="shared" si="13"/>
        <v>1</v>
      </c>
      <c r="I50" s="304">
        <f t="shared" ref="I50:I58" si="14">F50*G50*H50</f>
        <v>0</v>
      </c>
      <c r="K50" s="304">
        <f>[4]Reserve!C134</f>
        <v>0</v>
      </c>
      <c r="L50" s="394">
        <f t="shared" ref="L50:M58" si="15">$G$16</f>
        <v>1</v>
      </c>
      <c r="M50" s="394">
        <f t="shared" si="15"/>
        <v>1</v>
      </c>
      <c r="N50" s="304">
        <f t="shared" ref="N50:N58" si="16">K50*L50*M50</f>
        <v>0</v>
      </c>
    </row>
    <row r="51" spans="1:26">
      <c r="A51" s="112">
        <f t="shared" si="1"/>
        <v>37</v>
      </c>
      <c r="B51" s="431">
        <v>36520</v>
      </c>
      <c r="C51" s="80" t="s">
        <v>785</v>
      </c>
      <c r="D51" s="364">
        <f>[4]Reserve!Q135</f>
        <v>582868.26640000008</v>
      </c>
      <c r="E51" s="364">
        <v>0</v>
      </c>
      <c r="F51" s="364">
        <f t="shared" si="12"/>
        <v>582868.26640000008</v>
      </c>
      <c r="G51" s="394">
        <f t="shared" si="13"/>
        <v>1</v>
      </c>
      <c r="H51" s="394">
        <f t="shared" si="13"/>
        <v>1</v>
      </c>
      <c r="I51" s="364">
        <f t="shared" si="14"/>
        <v>582868.26640000008</v>
      </c>
      <c r="K51" s="364">
        <f>[4]Reserve!C135</f>
        <v>579657.50364615384</v>
      </c>
      <c r="L51" s="394">
        <f t="shared" si="15"/>
        <v>1</v>
      </c>
      <c r="M51" s="394">
        <f t="shared" si="15"/>
        <v>1</v>
      </c>
      <c r="N51" s="364">
        <f t="shared" si="16"/>
        <v>579657.50364615384</v>
      </c>
    </row>
    <row r="52" spans="1:26">
      <c r="A52" s="112">
        <f t="shared" si="1"/>
        <v>38</v>
      </c>
      <c r="B52" s="431">
        <v>36602</v>
      </c>
      <c r="C52" s="80" t="s">
        <v>848</v>
      </c>
      <c r="D52" s="364">
        <f>[4]Reserve!Q136</f>
        <v>23498.226106000016</v>
      </c>
      <c r="E52" s="364">
        <v>0</v>
      </c>
      <c r="F52" s="364">
        <f t="shared" si="12"/>
        <v>23498.226106000016</v>
      </c>
      <c r="G52" s="394">
        <f t="shared" si="13"/>
        <v>1</v>
      </c>
      <c r="H52" s="394">
        <f t="shared" si="13"/>
        <v>1</v>
      </c>
      <c r="I52" s="364">
        <f t="shared" si="14"/>
        <v>23498.226106000016</v>
      </c>
      <c r="K52" s="364">
        <f>[4]Reserve!C136</f>
        <v>23324.274336230781</v>
      </c>
      <c r="L52" s="394">
        <f t="shared" si="15"/>
        <v>1</v>
      </c>
      <c r="M52" s="394">
        <f t="shared" si="15"/>
        <v>1</v>
      </c>
      <c r="N52" s="364">
        <f t="shared" si="16"/>
        <v>23324.274336230781</v>
      </c>
      <c r="O52"/>
      <c r="P52"/>
      <c r="Q52"/>
      <c r="R52"/>
      <c r="S52"/>
      <c r="T52"/>
      <c r="U52"/>
      <c r="V52"/>
      <c r="W52"/>
      <c r="X52"/>
      <c r="Y52"/>
      <c r="Z52"/>
    </row>
    <row r="53" spans="1:26">
      <c r="A53" s="112">
        <f t="shared" si="1"/>
        <v>39</v>
      </c>
      <c r="B53" s="431">
        <v>36603</v>
      </c>
      <c r="C53" s="80" t="s">
        <v>981</v>
      </c>
      <c r="D53" s="364">
        <f>[4]Reserve!Q137</f>
        <v>65485.02</v>
      </c>
      <c r="E53" s="364">
        <v>0</v>
      </c>
      <c r="F53" s="364">
        <f t="shared" si="12"/>
        <v>65485.02</v>
      </c>
      <c r="G53" s="394">
        <f t="shared" si="13"/>
        <v>1</v>
      </c>
      <c r="H53" s="394">
        <f t="shared" si="13"/>
        <v>1</v>
      </c>
      <c r="I53" s="364">
        <f t="shared" si="14"/>
        <v>65485.02</v>
      </c>
      <c r="K53" s="364">
        <f>[4]Reserve!C137</f>
        <v>65485.020000000011</v>
      </c>
      <c r="L53" s="394">
        <f t="shared" si="15"/>
        <v>1</v>
      </c>
      <c r="M53" s="394">
        <f t="shared" si="15"/>
        <v>1</v>
      </c>
      <c r="N53" s="364">
        <f t="shared" si="16"/>
        <v>65485.020000000011</v>
      </c>
      <c r="O53"/>
      <c r="P53"/>
      <c r="Q53"/>
      <c r="R53"/>
      <c r="S53"/>
      <c r="T53"/>
      <c r="U53"/>
      <c r="V53"/>
      <c r="W53"/>
      <c r="X53"/>
      <c r="Y53"/>
      <c r="Z53"/>
    </row>
    <row r="54" spans="1:26">
      <c r="A54" s="112">
        <f t="shared" si="1"/>
        <v>40</v>
      </c>
      <c r="B54" s="431">
        <v>36700</v>
      </c>
      <c r="C54" s="80" t="s">
        <v>836</v>
      </c>
      <c r="D54" s="364">
        <f>[4]Reserve!Q138</f>
        <v>24787.080051999983</v>
      </c>
      <c r="E54" s="364">
        <v>0</v>
      </c>
      <c r="F54" s="364">
        <f t="shared" si="12"/>
        <v>24787.080051999983</v>
      </c>
      <c r="G54" s="394">
        <f t="shared" si="13"/>
        <v>1</v>
      </c>
      <c r="H54" s="394">
        <f t="shared" si="13"/>
        <v>1</v>
      </c>
      <c r="I54" s="364">
        <f t="shared" si="14"/>
        <v>24787.080051999983</v>
      </c>
      <c r="K54" s="364">
        <f>[4]Reserve!C138</f>
        <v>24012.465398615379</v>
      </c>
      <c r="L54" s="394">
        <f t="shared" si="15"/>
        <v>1</v>
      </c>
      <c r="M54" s="394">
        <f t="shared" si="15"/>
        <v>1</v>
      </c>
      <c r="N54" s="364">
        <f t="shared" si="16"/>
        <v>24012.465398615379</v>
      </c>
      <c r="O54"/>
      <c r="P54"/>
      <c r="Q54"/>
      <c r="R54"/>
      <c r="S54"/>
      <c r="T54"/>
      <c r="U54"/>
      <c r="V54"/>
      <c r="W54"/>
      <c r="X54"/>
      <c r="Y54"/>
      <c r="Z54"/>
    </row>
    <row r="55" spans="1:26">
      <c r="A55" s="112">
        <f t="shared" si="1"/>
        <v>41</v>
      </c>
      <c r="B55" s="431">
        <v>36701</v>
      </c>
      <c r="C55" s="80" t="s">
        <v>16</v>
      </c>
      <c r="D55" s="364">
        <f>[4]Reserve!Q139</f>
        <v>16468839.993046004</v>
      </c>
      <c r="E55" s="364">
        <v>0</v>
      </c>
      <c r="F55" s="364">
        <f t="shared" si="12"/>
        <v>16468839.993046004</v>
      </c>
      <c r="G55" s="394">
        <f t="shared" si="13"/>
        <v>1</v>
      </c>
      <c r="H55" s="394">
        <f t="shared" si="13"/>
        <v>1</v>
      </c>
      <c r="I55" s="364">
        <f t="shared" si="14"/>
        <v>16468839.993046004</v>
      </c>
      <c r="K55" s="364">
        <f>[4]Reserve!C139</f>
        <v>16307435.49812777</v>
      </c>
      <c r="L55" s="394">
        <f t="shared" si="15"/>
        <v>1</v>
      </c>
      <c r="M55" s="394">
        <f t="shared" si="15"/>
        <v>1</v>
      </c>
      <c r="N55" s="364">
        <f t="shared" si="16"/>
        <v>16307435.49812777</v>
      </c>
      <c r="O55"/>
      <c r="P55"/>
      <c r="Q55"/>
      <c r="R55"/>
      <c r="S55"/>
      <c r="T55"/>
      <c r="U55"/>
      <c r="V55"/>
      <c r="W55"/>
      <c r="X55"/>
      <c r="Y55"/>
      <c r="Z55"/>
    </row>
    <row r="56" spans="1:26">
      <c r="A56" s="112">
        <f t="shared" si="1"/>
        <v>42</v>
      </c>
      <c r="B56" s="855">
        <v>36703</v>
      </c>
      <c r="C56" s="205" t="s">
        <v>1529</v>
      </c>
      <c r="D56" s="364">
        <f>[4]Reserve!Q140</f>
        <v>47284.985499999981</v>
      </c>
      <c r="E56" s="498">
        <v>0</v>
      </c>
      <c r="F56" s="364">
        <f t="shared" ref="F56" si="17">D56-E56</f>
        <v>47284.985499999981</v>
      </c>
      <c r="G56" s="394">
        <f t="shared" si="13"/>
        <v>1</v>
      </c>
      <c r="H56" s="394">
        <f t="shared" si="13"/>
        <v>1</v>
      </c>
      <c r="I56" s="364">
        <f t="shared" ref="I56" si="18">F56*G56*H56</f>
        <v>47284.985499999981</v>
      </c>
      <c r="K56" s="364">
        <f>[4]Reserve!C140</f>
        <v>46005.548788461521</v>
      </c>
      <c r="L56" s="394">
        <f t="shared" si="15"/>
        <v>1</v>
      </c>
      <c r="M56" s="394">
        <f t="shared" si="15"/>
        <v>1</v>
      </c>
      <c r="N56" s="364">
        <f t="shared" ref="N56" si="19">K56*L56*M56</f>
        <v>46005.548788461521</v>
      </c>
      <c r="O56"/>
      <c r="P56"/>
      <c r="Q56"/>
      <c r="R56"/>
      <c r="S56"/>
      <c r="T56"/>
      <c r="U56"/>
      <c r="V56"/>
      <c r="W56"/>
      <c r="X56"/>
      <c r="Y56"/>
      <c r="Z56"/>
    </row>
    <row r="57" spans="1:26">
      <c r="A57" s="112">
        <f t="shared" si="1"/>
        <v>43</v>
      </c>
      <c r="B57" s="431">
        <v>36900</v>
      </c>
      <c r="C57" s="80" t="s">
        <v>982</v>
      </c>
      <c r="D57" s="364">
        <f>[4]Reserve!Q141</f>
        <v>421555.98118749994</v>
      </c>
      <c r="E57" s="364">
        <v>0</v>
      </c>
      <c r="F57" s="364">
        <f t="shared" si="12"/>
        <v>421555.98118749994</v>
      </c>
      <c r="G57" s="394">
        <f t="shared" si="13"/>
        <v>1</v>
      </c>
      <c r="H57" s="394">
        <f t="shared" si="13"/>
        <v>1</v>
      </c>
      <c r="I57" s="364">
        <f t="shared" si="14"/>
        <v>421555.98118749994</v>
      </c>
      <c r="K57" s="364">
        <f>[4]Reserve!C141</f>
        <v>409058.54955048062</v>
      </c>
      <c r="L57" s="394">
        <f t="shared" si="15"/>
        <v>1</v>
      </c>
      <c r="M57" s="394">
        <f t="shared" si="15"/>
        <v>1</v>
      </c>
      <c r="N57" s="364">
        <f t="shared" si="16"/>
        <v>409058.54955048062</v>
      </c>
      <c r="O57"/>
      <c r="P57"/>
      <c r="Q57"/>
      <c r="R57"/>
      <c r="S57"/>
      <c r="T57"/>
      <c r="U57"/>
      <c r="V57"/>
      <c r="W57"/>
      <c r="X57"/>
      <c r="Y57"/>
      <c r="Z57"/>
    </row>
    <row r="58" spans="1:26">
      <c r="A58" s="112">
        <f t="shared" si="1"/>
        <v>44</v>
      </c>
      <c r="B58" s="431">
        <v>36901</v>
      </c>
      <c r="C58" s="80" t="s">
        <v>982</v>
      </c>
      <c r="D58" s="364">
        <f>[4]Reserve!Q142</f>
        <v>1988493.0305625007</v>
      </c>
      <c r="E58" s="842">
        <v>0</v>
      </c>
      <c r="F58" s="842">
        <f t="shared" si="12"/>
        <v>1988493.0305625007</v>
      </c>
      <c r="G58" s="394">
        <f t="shared" si="13"/>
        <v>1</v>
      </c>
      <c r="H58" s="394">
        <f t="shared" si="13"/>
        <v>1</v>
      </c>
      <c r="I58" s="842">
        <f t="shared" si="14"/>
        <v>1988493.0305625007</v>
      </c>
      <c r="K58" s="364">
        <f>[4]Reserve!C142</f>
        <v>1974308.6628437503</v>
      </c>
      <c r="L58" s="394">
        <f t="shared" si="15"/>
        <v>1</v>
      </c>
      <c r="M58" s="394">
        <f t="shared" si="15"/>
        <v>1</v>
      </c>
      <c r="N58" s="842">
        <f t="shared" si="16"/>
        <v>1974308.6628437503</v>
      </c>
      <c r="O58"/>
      <c r="P58"/>
      <c r="Q58"/>
      <c r="R58"/>
      <c r="S58"/>
      <c r="T58"/>
      <c r="U58"/>
      <c r="V58"/>
      <c r="W58"/>
      <c r="X58"/>
      <c r="Y58"/>
      <c r="Z58"/>
    </row>
    <row r="59" spans="1:26">
      <c r="A59" s="112">
        <f t="shared" si="1"/>
        <v>45</v>
      </c>
      <c r="B59" s="431"/>
      <c r="C59" s="80"/>
      <c r="D59" s="853"/>
      <c r="E59" s="364"/>
      <c r="F59" s="364"/>
      <c r="G59" s="394"/>
      <c r="H59" s="394"/>
      <c r="I59" s="364"/>
      <c r="K59" s="853"/>
      <c r="N59" s="364"/>
      <c r="O59"/>
      <c r="P59"/>
      <c r="Q59"/>
      <c r="R59"/>
      <c r="S59"/>
      <c r="T59"/>
      <c r="U59"/>
      <c r="V59"/>
      <c r="W59"/>
      <c r="X59"/>
      <c r="Y59"/>
      <c r="Z59"/>
    </row>
    <row r="60" spans="1:26">
      <c r="A60" s="112">
        <f t="shared" si="1"/>
        <v>46</v>
      </c>
      <c r="B60" s="570"/>
      <c r="C60" s="80" t="s">
        <v>1332</v>
      </c>
      <c r="D60" s="304">
        <f>SUM(D50:D59)</f>
        <v>19622812.582854006</v>
      </c>
      <c r="E60" s="304">
        <f>SUM(E50:E59)</f>
        <v>0</v>
      </c>
      <c r="F60" s="304">
        <f>SUM(F50:F59)</f>
        <v>19622812.582854006</v>
      </c>
      <c r="G60" s="394"/>
      <c r="H60" s="394"/>
      <c r="I60" s="304">
        <f>SUM(I50:I59)</f>
        <v>19622812.582854006</v>
      </c>
      <c r="K60" s="304">
        <f>SUM(K50:K59)</f>
        <v>19429287.522691462</v>
      </c>
      <c r="N60" s="304">
        <f>SUM(N50:N59)</f>
        <v>19429287.522691462</v>
      </c>
      <c r="O60"/>
      <c r="P60"/>
      <c r="Q60"/>
      <c r="R60"/>
      <c r="S60"/>
      <c r="T60"/>
      <c r="U60"/>
      <c r="V60"/>
      <c r="W60"/>
      <c r="X60"/>
      <c r="Y60"/>
      <c r="Z60"/>
    </row>
    <row r="61" spans="1:26">
      <c r="A61" s="112">
        <f t="shared" si="1"/>
        <v>47</v>
      </c>
      <c r="B61" s="570"/>
      <c r="C61" s="73"/>
      <c r="D61" s="364"/>
      <c r="E61" s="364"/>
      <c r="F61" s="364"/>
      <c r="G61" s="394"/>
      <c r="H61" s="394"/>
      <c r="I61" s="364"/>
      <c r="K61" s="364"/>
      <c r="N61" s="364"/>
      <c r="O61"/>
      <c r="P61"/>
      <c r="Q61"/>
      <c r="R61"/>
      <c r="S61"/>
      <c r="T61"/>
      <c r="U61"/>
      <c r="V61"/>
      <c r="W61"/>
      <c r="X61"/>
      <c r="Y61"/>
      <c r="Z61"/>
    </row>
    <row r="62" spans="1:26">
      <c r="A62" s="112">
        <f t="shared" si="1"/>
        <v>48</v>
      </c>
      <c r="B62" s="570"/>
      <c r="C62" s="500" t="s">
        <v>297</v>
      </c>
      <c r="D62" s="364"/>
      <c r="E62" s="364"/>
      <c r="F62" s="364"/>
      <c r="G62" s="394"/>
      <c r="H62" s="394"/>
      <c r="I62" s="364"/>
      <c r="K62" s="364"/>
      <c r="N62" s="364"/>
      <c r="O62"/>
      <c r="P62"/>
      <c r="Q62"/>
      <c r="R62"/>
      <c r="S62"/>
      <c r="T62"/>
      <c r="U62"/>
      <c r="V62"/>
      <c r="W62"/>
      <c r="X62"/>
      <c r="Y62"/>
      <c r="Z62"/>
    </row>
    <row r="63" spans="1:26">
      <c r="A63" s="112">
        <f t="shared" si="1"/>
        <v>49</v>
      </c>
      <c r="B63" s="431">
        <v>37400</v>
      </c>
      <c r="C63" s="80" t="s">
        <v>1128</v>
      </c>
      <c r="D63" s="304">
        <f>[4]Reserve!Q143</f>
        <v>0</v>
      </c>
      <c r="E63" s="304">
        <v>0</v>
      </c>
      <c r="F63" s="304">
        <f t="shared" ref="F63:F84" si="20">D63-E63</f>
        <v>0</v>
      </c>
      <c r="G63" s="394">
        <f t="shared" ref="G63:H84" si="21">$G$16</f>
        <v>1</v>
      </c>
      <c r="H63" s="394">
        <f t="shared" si="21"/>
        <v>1</v>
      </c>
      <c r="I63" s="304">
        <f t="shared" ref="I63:I84" si="22">F63*G63*H63</f>
        <v>0</v>
      </c>
      <c r="K63" s="304">
        <f>[4]Reserve!C143</f>
        <v>0</v>
      </c>
      <c r="L63" s="394">
        <f t="shared" ref="L63:M84" si="23">$G$16</f>
        <v>1</v>
      </c>
      <c r="M63" s="394">
        <f t="shared" si="23"/>
        <v>1</v>
      </c>
      <c r="N63" s="304">
        <f t="shared" ref="N63:N84" si="24">K63*L63*M63</f>
        <v>0</v>
      </c>
      <c r="O63"/>
      <c r="P63"/>
      <c r="Q63"/>
      <c r="R63"/>
      <c r="S63"/>
      <c r="T63"/>
      <c r="U63"/>
      <c r="V63"/>
      <c r="W63"/>
      <c r="X63"/>
      <c r="Y63"/>
      <c r="Z63"/>
    </row>
    <row r="64" spans="1:26">
      <c r="A64" s="112">
        <f t="shared" si="1"/>
        <v>50</v>
      </c>
      <c r="B64" s="431">
        <v>37401</v>
      </c>
      <c r="C64" s="80" t="s">
        <v>290</v>
      </c>
      <c r="D64" s="364">
        <f>[4]Reserve!Q144</f>
        <v>0</v>
      </c>
      <c r="E64" s="364">
        <v>0</v>
      </c>
      <c r="F64" s="364">
        <f t="shared" si="20"/>
        <v>0</v>
      </c>
      <c r="G64" s="394">
        <f t="shared" si="21"/>
        <v>1</v>
      </c>
      <c r="H64" s="394">
        <f t="shared" si="21"/>
        <v>1</v>
      </c>
      <c r="I64" s="364">
        <f t="shared" si="22"/>
        <v>0</v>
      </c>
      <c r="K64" s="364">
        <f>[4]Reserve!C144</f>
        <v>0</v>
      </c>
      <c r="L64" s="394">
        <f t="shared" si="23"/>
        <v>1</v>
      </c>
      <c r="M64" s="394">
        <f t="shared" si="23"/>
        <v>1</v>
      </c>
      <c r="N64" s="364">
        <f t="shared" si="24"/>
        <v>0</v>
      </c>
      <c r="O64"/>
      <c r="P64"/>
      <c r="Q64"/>
      <c r="R64"/>
      <c r="S64"/>
      <c r="T64"/>
      <c r="U64"/>
      <c r="V64"/>
      <c r="W64"/>
      <c r="X64"/>
      <c r="Y64"/>
      <c r="Z64"/>
    </row>
    <row r="65" spans="1:26">
      <c r="A65" s="112">
        <f t="shared" si="1"/>
        <v>51</v>
      </c>
      <c r="B65" s="431">
        <v>37402</v>
      </c>
      <c r="C65" s="80" t="s">
        <v>986</v>
      </c>
      <c r="D65" s="364">
        <f>[4]Reserve!Q145</f>
        <v>432486.96482850017</v>
      </c>
      <c r="E65" s="364">
        <v>0</v>
      </c>
      <c r="F65" s="364">
        <f t="shared" si="20"/>
        <v>432486.96482850017</v>
      </c>
      <c r="G65" s="394">
        <f t="shared" si="21"/>
        <v>1</v>
      </c>
      <c r="H65" s="394">
        <f t="shared" si="21"/>
        <v>1</v>
      </c>
      <c r="I65" s="364">
        <f t="shared" si="22"/>
        <v>432486.96482850017</v>
      </c>
      <c r="K65" s="364">
        <f>[4]Reserve!C145</f>
        <v>409512.54129998095</v>
      </c>
      <c r="L65" s="394">
        <f t="shared" si="23"/>
        <v>1</v>
      </c>
      <c r="M65" s="394">
        <f t="shared" si="23"/>
        <v>1</v>
      </c>
      <c r="N65" s="364">
        <f t="shared" si="24"/>
        <v>409512.54129998095</v>
      </c>
      <c r="O65"/>
      <c r="P65"/>
      <c r="Q65"/>
      <c r="R65"/>
      <c r="S65"/>
      <c r="T65"/>
      <c r="U65"/>
      <c r="V65"/>
      <c r="W65"/>
      <c r="X65"/>
      <c r="Y65"/>
      <c r="Z65"/>
    </row>
    <row r="66" spans="1:26">
      <c r="A66" s="112">
        <f t="shared" si="1"/>
        <v>52</v>
      </c>
      <c r="B66" s="431">
        <v>37403</v>
      </c>
      <c r="C66" s="80" t="s">
        <v>983</v>
      </c>
      <c r="D66" s="364">
        <f>[4]Reserve!Q146</f>
        <v>0</v>
      </c>
      <c r="E66" s="364">
        <v>0</v>
      </c>
      <c r="F66" s="364">
        <f t="shared" si="20"/>
        <v>0</v>
      </c>
      <c r="G66" s="394">
        <f t="shared" si="21"/>
        <v>1</v>
      </c>
      <c r="H66" s="394">
        <f t="shared" si="21"/>
        <v>1</v>
      </c>
      <c r="I66" s="364">
        <f t="shared" si="22"/>
        <v>0</v>
      </c>
      <c r="K66" s="364">
        <f>[4]Reserve!C146</f>
        <v>0</v>
      </c>
      <c r="L66" s="394">
        <f t="shared" si="23"/>
        <v>1</v>
      </c>
      <c r="M66" s="394">
        <f t="shared" si="23"/>
        <v>1</v>
      </c>
      <c r="N66" s="364">
        <f t="shared" si="24"/>
        <v>0</v>
      </c>
      <c r="O66"/>
      <c r="P66"/>
      <c r="Q66"/>
      <c r="R66"/>
      <c r="S66"/>
      <c r="T66"/>
      <c r="U66"/>
      <c r="V66"/>
      <c r="W66"/>
      <c r="X66"/>
      <c r="Y66"/>
      <c r="Z66"/>
    </row>
    <row r="67" spans="1:26">
      <c r="A67" s="112">
        <f t="shared" si="1"/>
        <v>53</v>
      </c>
      <c r="B67" s="431">
        <v>37500</v>
      </c>
      <c r="C67" s="80" t="s">
        <v>848</v>
      </c>
      <c r="D67" s="364">
        <f>[4]Reserve!Q147</f>
        <v>136729.10712500007</v>
      </c>
      <c r="E67" s="364">
        <v>0</v>
      </c>
      <c r="F67" s="364">
        <f t="shared" si="20"/>
        <v>136729.10712500007</v>
      </c>
      <c r="G67" s="394">
        <f t="shared" si="21"/>
        <v>1</v>
      </c>
      <c r="H67" s="394">
        <f t="shared" si="21"/>
        <v>1</v>
      </c>
      <c r="I67" s="364">
        <f t="shared" si="22"/>
        <v>136729.10712500007</v>
      </c>
      <c r="K67" s="364">
        <f>[4]Reserve!C147</f>
        <v>134628.06730288468</v>
      </c>
      <c r="L67" s="394">
        <f t="shared" si="23"/>
        <v>1</v>
      </c>
      <c r="M67" s="394">
        <f t="shared" si="23"/>
        <v>1</v>
      </c>
      <c r="N67" s="364">
        <f t="shared" si="24"/>
        <v>134628.06730288468</v>
      </c>
      <c r="O67"/>
      <c r="P67"/>
      <c r="Q67"/>
      <c r="R67"/>
      <c r="S67"/>
      <c r="T67"/>
      <c r="U67"/>
      <c r="V67"/>
      <c r="W67"/>
      <c r="X67"/>
      <c r="Y67"/>
      <c r="Z67"/>
    </row>
    <row r="68" spans="1:26">
      <c r="A68" s="112">
        <f t="shared" si="1"/>
        <v>54</v>
      </c>
      <c r="B68" s="431">
        <v>37501</v>
      </c>
      <c r="C68" s="80" t="s">
        <v>984</v>
      </c>
      <c r="D68" s="364">
        <f>[4]Reserve!Q148</f>
        <v>90527.423312500003</v>
      </c>
      <c r="E68" s="364">
        <v>0</v>
      </c>
      <c r="F68" s="364">
        <f t="shared" si="20"/>
        <v>90527.423312500003</v>
      </c>
      <c r="G68" s="394">
        <f t="shared" si="21"/>
        <v>1</v>
      </c>
      <c r="H68" s="394">
        <f t="shared" si="21"/>
        <v>1</v>
      </c>
      <c r="I68" s="364">
        <f t="shared" si="22"/>
        <v>90527.423312500003</v>
      </c>
      <c r="K68" s="364">
        <f>[4]Reserve!C148</f>
        <v>89903.555507211509</v>
      </c>
      <c r="L68" s="394">
        <f t="shared" si="23"/>
        <v>1</v>
      </c>
      <c r="M68" s="394">
        <f t="shared" si="23"/>
        <v>1</v>
      </c>
      <c r="N68" s="364">
        <f t="shared" si="24"/>
        <v>89903.555507211509</v>
      </c>
      <c r="O68"/>
      <c r="P68"/>
      <c r="Q68"/>
      <c r="R68"/>
      <c r="S68"/>
      <c r="T68"/>
      <c r="U68"/>
      <c r="V68"/>
      <c r="W68"/>
      <c r="X68"/>
      <c r="Y68"/>
      <c r="Z68"/>
    </row>
    <row r="69" spans="1:26">
      <c r="A69" s="112">
        <f t="shared" si="1"/>
        <v>55</v>
      </c>
      <c r="B69" s="431">
        <v>37502</v>
      </c>
      <c r="C69" s="80" t="s">
        <v>986</v>
      </c>
      <c r="D69" s="364">
        <f>[4]Reserve!Q149</f>
        <v>45583.651187500029</v>
      </c>
      <c r="E69" s="364">
        <v>0</v>
      </c>
      <c r="F69" s="364">
        <f t="shared" si="20"/>
        <v>45583.651187500029</v>
      </c>
      <c r="G69" s="394">
        <f t="shared" si="21"/>
        <v>1</v>
      </c>
      <c r="H69" s="394">
        <f t="shared" si="21"/>
        <v>1</v>
      </c>
      <c r="I69" s="364">
        <f t="shared" si="22"/>
        <v>45583.651187500029</v>
      </c>
      <c r="K69" s="364">
        <f>[4]Reserve!C149</f>
        <v>45294.503012019246</v>
      </c>
      <c r="L69" s="394">
        <f t="shared" si="23"/>
        <v>1</v>
      </c>
      <c r="M69" s="394">
        <f t="shared" si="23"/>
        <v>1</v>
      </c>
      <c r="N69" s="364">
        <f t="shared" si="24"/>
        <v>45294.503012019246</v>
      </c>
      <c r="O69"/>
      <c r="P69"/>
      <c r="Q69"/>
      <c r="R69"/>
      <c r="S69"/>
      <c r="T69"/>
      <c r="U69"/>
      <c r="V69"/>
      <c r="W69"/>
      <c r="X69"/>
      <c r="Y69"/>
      <c r="Z69"/>
    </row>
    <row r="70" spans="1:26">
      <c r="A70" s="112">
        <f t="shared" si="1"/>
        <v>56</v>
      </c>
      <c r="B70" s="431">
        <v>37503</v>
      </c>
      <c r="C70" s="80" t="s">
        <v>985</v>
      </c>
      <c r="D70" s="364">
        <f>[4]Reserve!Q150</f>
        <v>3387.0417500000003</v>
      </c>
      <c r="E70" s="364">
        <v>0</v>
      </c>
      <c r="F70" s="364">
        <f t="shared" si="20"/>
        <v>3387.0417500000003</v>
      </c>
      <c r="G70" s="394">
        <f t="shared" si="21"/>
        <v>1</v>
      </c>
      <c r="H70" s="394">
        <f t="shared" si="21"/>
        <v>1</v>
      </c>
      <c r="I70" s="364">
        <f t="shared" si="22"/>
        <v>3387.0417500000003</v>
      </c>
      <c r="K70" s="364">
        <f>[4]Reserve!C150</f>
        <v>3362.0131634615382</v>
      </c>
      <c r="L70" s="394">
        <f t="shared" si="23"/>
        <v>1</v>
      </c>
      <c r="M70" s="394">
        <f t="shared" si="23"/>
        <v>1</v>
      </c>
      <c r="N70" s="364">
        <f t="shared" si="24"/>
        <v>3362.0131634615382</v>
      </c>
      <c r="O70"/>
      <c r="P70"/>
      <c r="Q70"/>
      <c r="R70"/>
      <c r="S70"/>
      <c r="T70"/>
      <c r="U70"/>
      <c r="V70"/>
      <c r="W70"/>
      <c r="X70"/>
      <c r="Y70"/>
      <c r="Z70"/>
    </row>
    <row r="71" spans="1:26">
      <c r="A71" s="112">
        <f t="shared" si="1"/>
        <v>57</v>
      </c>
      <c r="B71" s="431">
        <v>37600</v>
      </c>
      <c r="C71" s="80" t="s">
        <v>836</v>
      </c>
      <c r="D71" s="364">
        <f>[4]Reserve!Q151</f>
        <v>1123391.8590872192</v>
      </c>
      <c r="E71" s="364">
        <v>0</v>
      </c>
      <c r="F71" s="364">
        <f t="shared" si="20"/>
        <v>1123391.8590872192</v>
      </c>
      <c r="G71" s="394">
        <f t="shared" si="21"/>
        <v>1</v>
      </c>
      <c r="H71" s="394">
        <f t="shared" si="21"/>
        <v>1</v>
      </c>
      <c r="I71" s="364">
        <f t="shared" si="22"/>
        <v>1123391.8590872192</v>
      </c>
      <c r="K71" s="364">
        <f>[4]Reserve!C151</f>
        <v>1070547.6442800839</v>
      </c>
      <c r="L71" s="394">
        <f t="shared" si="23"/>
        <v>1</v>
      </c>
      <c r="M71" s="394">
        <f t="shared" si="23"/>
        <v>1</v>
      </c>
      <c r="N71" s="364">
        <f t="shared" si="24"/>
        <v>1070547.6442800839</v>
      </c>
      <c r="O71"/>
      <c r="P71"/>
      <c r="Q71"/>
      <c r="R71"/>
      <c r="S71"/>
      <c r="T71"/>
      <c r="U71"/>
      <c r="V71"/>
      <c r="W71"/>
      <c r="X71"/>
      <c r="Y71"/>
      <c r="Z71"/>
    </row>
    <row r="72" spans="1:26">
      <c r="A72" s="112">
        <f t="shared" si="1"/>
        <v>58</v>
      </c>
      <c r="B72" s="431">
        <v>37601</v>
      </c>
      <c r="C72" s="80" t="s">
        <v>16</v>
      </c>
      <c r="D72" s="364">
        <f>[4]Reserve!Q152</f>
        <v>24762236.08994627</v>
      </c>
      <c r="E72" s="364">
        <v>0</v>
      </c>
      <c r="F72" s="364">
        <f t="shared" si="20"/>
        <v>24762236.08994627</v>
      </c>
      <c r="G72" s="394">
        <f t="shared" si="21"/>
        <v>1</v>
      </c>
      <c r="H72" s="394">
        <f t="shared" si="21"/>
        <v>1</v>
      </c>
      <c r="I72" s="364">
        <f t="shared" si="22"/>
        <v>24762236.08994627</v>
      </c>
      <c r="K72" s="364">
        <f>[4]Reserve!C152</f>
        <v>24680053.654809061</v>
      </c>
      <c r="L72" s="394">
        <f t="shared" si="23"/>
        <v>1</v>
      </c>
      <c r="M72" s="394">
        <f t="shared" si="23"/>
        <v>1</v>
      </c>
      <c r="N72" s="364">
        <f t="shared" si="24"/>
        <v>24680053.654809061</v>
      </c>
      <c r="O72"/>
      <c r="P72"/>
      <c r="Q72"/>
      <c r="R72"/>
      <c r="S72"/>
      <c r="T72"/>
      <c r="U72"/>
      <c r="V72"/>
      <c r="W72"/>
      <c r="X72"/>
      <c r="Y72"/>
      <c r="Z72"/>
    </row>
    <row r="73" spans="1:26">
      <c r="A73" s="112">
        <f t="shared" si="1"/>
        <v>59</v>
      </c>
      <c r="B73" s="431">
        <v>37602</v>
      </c>
      <c r="C73" s="80" t="s">
        <v>837</v>
      </c>
      <c r="D73" s="364">
        <f>[4]Reserve!Q153</f>
        <v>18189112.632607847</v>
      </c>
      <c r="E73" s="364">
        <v>0</v>
      </c>
      <c r="F73" s="364">
        <f t="shared" si="20"/>
        <v>18189112.632607847</v>
      </c>
      <c r="G73" s="394">
        <f t="shared" si="21"/>
        <v>1</v>
      </c>
      <c r="H73" s="394">
        <f t="shared" si="21"/>
        <v>1</v>
      </c>
      <c r="I73" s="364">
        <f t="shared" si="22"/>
        <v>18189112.632607847</v>
      </c>
      <c r="K73" s="364">
        <f>[4]Reserve!C153</f>
        <v>16994937.629065141</v>
      </c>
      <c r="L73" s="394">
        <f t="shared" si="23"/>
        <v>1</v>
      </c>
      <c r="M73" s="394">
        <f t="shared" si="23"/>
        <v>1</v>
      </c>
      <c r="N73" s="364">
        <f t="shared" si="24"/>
        <v>16994937.629065141</v>
      </c>
      <c r="O73"/>
      <c r="P73"/>
      <c r="Q73"/>
      <c r="R73"/>
      <c r="S73"/>
      <c r="T73"/>
      <c r="U73"/>
      <c r="V73"/>
      <c r="W73"/>
      <c r="X73"/>
      <c r="Y73"/>
      <c r="Z73"/>
    </row>
    <row r="74" spans="1:26">
      <c r="A74" s="112">
        <f t="shared" si="1"/>
        <v>60</v>
      </c>
      <c r="B74" s="838">
        <v>37603</v>
      </c>
      <c r="C74" s="205" t="s">
        <v>1529</v>
      </c>
      <c r="D74" s="364">
        <f>[4]Reserve!Q154</f>
        <v>2536610.346808407</v>
      </c>
      <c r="E74" s="498">
        <v>0</v>
      </c>
      <c r="F74" s="364">
        <f t="shared" ref="F74:F75" si="25">D74-E74</f>
        <v>2536610.346808407</v>
      </c>
      <c r="G74" s="394">
        <f t="shared" si="21"/>
        <v>1</v>
      </c>
      <c r="H74" s="394">
        <f t="shared" si="21"/>
        <v>1</v>
      </c>
      <c r="I74" s="364">
        <f t="shared" ref="I74:I75" si="26">F74*G74*H74</f>
        <v>2536610.346808407</v>
      </c>
      <c r="K74" s="364">
        <f>[4]Reserve!C154</f>
        <v>2528269.840574807</v>
      </c>
      <c r="L74" s="394">
        <f t="shared" si="23"/>
        <v>1</v>
      </c>
      <c r="M74" s="394">
        <f t="shared" si="23"/>
        <v>1</v>
      </c>
      <c r="N74" s="364">
        <f t="shared" ref="N74:N75" si="27">K74*L74*M74</f>
        <v>2528269.840574807</v>
      </c>
      <c r="O74"/>
      <c r="P74"/>
      <c r="Q74"/>
      <c r="R74"/>
      <c r="S74"/>
      <c r="T74"/>
      <c r="U74"/>
      <c r="V74"/>
      <c r="W74"/>
      <c r="X74"/>
      <c r="Y74"/>
      <c r="Z74"/>
    </row>
    <row r="75" spans="1:26">
      <c r="A75" s="112">
        <f t="shared" si="1"/>
        <v>61</v>
      </c>
      <c r="B75" s="838">
        <v>37604</v>
      </c>
      <c r="C75" s="205" t="s">
        <v>1530</v>
      </c>
      <c r="D75" s="364">
        <f>[4]Reserve!Q155</f>
        <v>7971956.046000001</v>
      </c>
      <c r="E75" s="498">
        <v>0</v>
      </c>
      <c r="F75" s="364">
        <f t="shared" si="25"/>
        <v>7971956.046000001</v>
      </c>
      <c r="G75" s="394">
        <f t="shared" si="21"/>
        <v>1</v>
      </c>
      <c r="H75" s="394">
        <f t="shared" si="21"/>
        <v>1</v>
      </c>
      <c r="I75" s="364">
        <f t="shared" si="26"/>
        <v>7971956.046000001</v>
      </c>
      <c r="K75" s="364">
        <f>[4]Reserve!C155</f>
        <v>7839709.3112307703</v>
      </c>
      <c r="L75" s="394">
        <f t="shared" si="23"/>
        <v>1</v>
      </c>
      <c r="M75" s="394">
        <f t="shared" si="23"/>
        <v>1</v>
      </c>
      <c r="N75" s="364">
        <f t="shared" si="27"/>
        <v>7839709.3112307703</v>
      </c>
      <c r="O75"/>
      <c r="P75"/>
      <c r="Q75"/>
      <c r="R75"/>
      <c r="S75"/>
      <c r="T75"/>
      <c r="U75"/>
      <c r="V75"/>
      <c r="W75"/>
      <c r="X75"/>
      <c r="Y75"/>
      <c r="Z75"/>
    </row>
    <row r="76" spans="1:26">
      <c r="A76" s="112">
        <f t="shared" si="1"/>
        <v>62</v>
      </c>
      <c r="B76" s="431">
        <v>37800</v>
      </c>
      <c r="C76" s="80" t="s">
        <v>228</v>
      </c>
      <c r="D76" s="364">
        <f>[4]Reserve!Q156</f>
        <v>3098732.4919190938</v>
      </c>
      <c r="E76" s="364">
        <v>0</v>
      </c>
      <c r="F76" s="364">
        <f t="shared" si="20"/>
        <v>3098732.4919190938</v>
      </c>
      <c r="G76" s="394">
        <f t="shared" si="21"/>
        <v>1</v>
      </c>
      <c r="H76" s="394">
        <f t="shared" si="21"/>
        <v>1</v>
      </c>
      <c r="I76" s="364">
        <f t="shared" si="22"/>
        <v>3098732.4919190938</v>
      </c>
      <c r="K76" s="364">
        <f>[4]Reserve!C156</f>
        <v>2860167.1210372527</v>
      </c>
      <c r="L76" s="394">
        <f t="shared" si="23"/>
        <v>1</v>
      </c>
      <c r="M76" s="394">
        <f t="shared" si="23"/>
        <v>1</v>
      </c>
      <c r="N76" s="364">
        <f t="shared" si="24"/>
        <v>2860167.1210372527</v>
      </c>
      <c r="O76"/>
      <c r="P76"/>
      <c r="Q76"/>
      <c r="R76"/>
      <c r="S76"/>
      <c r="T76"/>
      <c r="U76"/>
      <c r="V76"/>
      <c r="W76"/>
      <c r="X76"/>
      <c r="Y76"/>
      <c r="Z76"/>
    </row>
    <row r="77" spans="1:26">
      <c r="A77" s="112">
        <f t="shared" si="1"/>
        <v>63</v>
      </c>
      <c r="B77" s="431">
        <v>37900</v>
      </c>
      <c r="C77" s="80" t="s">
        <v>1171</v>
      </c>
      <c r="D77" s="364">
        <f>[4]Reserve!Q157</f>
        <v>884898.52007793693</v>
      </c>
      <c r="E77" s="364">
        <v>0</v>
      </c>
      <c r="F77" s="364">
        <f t="shared" si="20"/>
        <v>884898.52007793693</v>
      </c>
      <c r="G77" s="394">
        <f t="shared" si="21"/>
        <v>1</v>
      </c>
      <c r="H77" s="394">
        <f t="shared" si="21"/>
        <v>1</v>
      </c>
      <c r="I77" s="364">
        <f t="shared" si="22"/>
        <v>884898.52007793693</v>
      </c>
      <c r="K77" s="364">
        <f>[4]Reserve!C157</f>
        <v>1007387.8395029625</v>
      </c>
      <c r="L77" s="394">
        <f t="shared" si="23"/>
        <v>1</v>
      </c>
      <c r="M77" s="394">
        <f t="shared" si="23"/>
        <v>1</v>
      </c>
      <c r="N77" s="364">
        <f t="shared" si="24"/>
        <v>1007387.8395029625</v>
      </c>
      <c r="O77"/>
      <c r="P77"/>
      <c r="Q77"/>
      <c r="R77"/>
      <c r="S77"/>
      <c r="T77"/>
      <c r="U77"/>
      <c r="V77"/>
      <c r="W77"/>
      <c r="X77"/>
      <c r="Y77"/>
      <c r="Z77"/>
    </row>
    <row r="78" spans="1:26">
      <c r="A78" s="112">
        <f t="shared" si="1"/>
        <v>64</v>
      </c>
      <c r="B78" s="431">
        <v>37905</v>
      </c>
      <c r="C78" s="80" t="s">
        <v>720</v>
      </c>
      <c r="D78" s="364">
        <f>[4]Reserve!Q158</f>
        <v>1081197.5641259302</v>
      </c>
      <c r="E78" s="364">
        <v>0</v>
      </c>
      <c r="F78" s="364">
        <f t="shared" si="20"/>
        <v>1081197.5641259302</v>
      </c>
      <c r="G78" s="394">
        <f t="shared" si="21"/>
        <v>1</v>
      </c>
      <c r="H78" s="394">
        <f t="shared" si="21"/>
        <v>1</v>
      </c>
      <c r="I78" s="364">
        <f t="shared" si="22"/>
        <v>1081197.5641259302</v>
      </c>
      <c r="K78" s="364">
        <f>[4]Reserve!C158</f>
        <v>1068825.9558724554</v>
      </c>
      <c r="L78" s="394">
        <f t="shared" si="23"/>
        <v>1</v>
      </c>
      <c r="M78" s="394">
        <f t="shared" si="23"/>
        <v>1</v>
      </c>
      <c r="N78" s="364">
        <f t="shared" si="24"/>
        <v>1068825.9558724554</v>
      </c>
      <c r="O78"/>
      <c r="P78"/>
      <c r="Q78"/>
      <c r="R78"/>
      <c r="S78"/>
      <c r="T78"/>
      <c r="U78"/>
      <c r="V78"/>
      <c r="W78"/>
      <c r="X78"/>
      <c r="Y78"/>
      <c r="Z78"/>
    </row>
    <row r="79" spans="1:26">
      <c r="A79" s="112">
        <f t="shared" si="1"/>
        <v>65</v>
      </c>
      <c r="B79" s="431">
        <v>38000</v>
      </c>
      <c r="C79" s="80" t="s">
        <v>1036</v>
      </c>
      <c r="D79" s="364">
        <f>[4]Reserve!Q159</f>
        <v>41982227.062868841</v>
      </c>
      <c r="E79" s="364">
        <v>0</v>
      </c>
      <c r="F79" s="364">
        <f t="shared" si="20"/>
        <v>41982227.062868841</v>
      </c>
      <c r="G79" s="394">
        <f t="shared" si="21"/>
        <v>1</v>
      </c>
      <c r="H79" s="394">
        <f t="shared" si="21"/>
        <v>1</v>
      </c>
      <c r="I79" s="364">
        <f t="shared" si="22"/>
        <v>41982227.062868841</v>
      </c>
      <c r="K79" s="364">
        <f>[4]Reserve!C159</f>
        <v>43704429.221960142</v>
      </c>
      <c r="L79" s="394">
        <f t="shared" si="23"/>
        <v>1</v>
      </c>
      <c r="M79" s="394">
        <f t="shared" si="23"/>
        <v>1</v>
      </c>
      <c r="N79" s="364">
        <f t="shared" si="24"/>
        <v>43704429.221960142</v>
      </c>
      <c r="O79"/>
      <c r="P79"/>
      <c r="Q79"/>
      <c r="R79"/>
      <c r="S79"/>
      <c r="T79"/>
      <c r="U79"/>
      <c r="V79"/>
      <c r="W79"/>
      <c r="X79"/>
      <c r="Y79"/>
      <c r="Z79"/>
    </row>
    <row r="80" spans="1:26">
      <c r="A80" s="112">
        <f t="shared" si="1"/>
        <v>66</v>
      </c>
      <c r="B80" s="431">
        <v>38100</v>
      </c>
      <c r="C80" s="80" t="s">
        <v>838</v>
      </c>
      <c r="D80" s="364">
        <f>[4]Reserve!Q160</f>
        <v>18498575.153043564</v>
      </c>
      <c r="E80" s="364">
        <v>0</v>
      </c>
      <c r="F80" s="364">
        <f t="shared" si="20"/>
        <v>18498575.153043564</v>
      </c>
      <c r="G80" s="394">
        <f t="shared" si="21"/>
        <v>1</v>
      </c>
      <c r="H80" s="394">
        <f t="shared" si="21"/>
        <v>1</v>
      </c>
      <c r="I80" s="364">
        <f t="shared" si="22"/>
        <v>18498575.153043564</v>
      </c>
      <c r="K80" s="364">
        <f>[4]Reserve!C160</f>
        <v>17665566.008327179</v>
      </c>
      <c r="L80" s="394">
        <f t="shared" si="23"/>
        <v>1</v>
      </c>
      <c r="M80" s="394">
        <f t="shared" si="23"/>
        <v>1</v>
      </c>
      <c r="N80" s="364">
        <f t="shared" si="24"/>
        <v>17665566.008327179</v>
      </c>
      <c r="O80"/>
      <c r="P80"/>
      <c r="Q80"/>
      <c r="R80"/>
      <c r="S80"/>
      <c r="T80"/>
      <c r="U80"/>
      <c r="V80"/>
      <c r="W80"/>
      <c r="X80"/>
      <c r="Y80"/>
      <c r="Z80"/>
    </row>
    <row r="81" spans="1:26">
      <c r="A81" s="112">
        <f t="shared" si="1"/>
        <v>67</v>
      </c>
      <c r="B81" s="431">
        <v>38200</v>
      </c>
      <c r="C81" s="80" t="s">
        <v>438</v>
      </c>
      <c r="D81" s="364">
        <f>[4]Reserve!Q161</f>
        <v>26810398.382154733</v>
      </c>
      <c r="E81" s="364">
        <v>0</v>
      </c>
      <c r="F81" s="364">
        <f t="shared" si="20"/>
        <v>26810398.382154733</v>
      </c>
      <c r="G81" s="394">
        <f t="shared" si="21"/>
        <v>1</v>
      </c>
      <c r="H81" s="394">
        <f t="shared" si="21"/>
        <v>1</v>
      </c>
      <c r="I81" s="364">
        <f t="shared" si="22"/>
        <v>26810398.382154733</v>
      </c>
      <c r="K81" s="364">
        <f>[4]Reserve!C161</f>
        <v>26266344.091657463</v>
      </c>
      <c r="L81" s="394">
        <f t="shared" si="23"/>
        <v>1</v>
      </c>
      <c r="M81" s="394">
        <f t="shared" si="23"/>
        <v>1</v>
      </c>
      <c r="N81" s="364">
        <f t="shared" si="24"/>
        <v>26266344.091657463</v>
      </c>
      <c r="O81"/>
      <c r="P81"/>
      <c r="Q81"/>
      <c r="R81"/>
      <c r="S81"/>
      <c r="T81"/>
      <c r="U81"/>
      <c r="V81"/>
      <c r="W81"/>
      <c r="X81"/>
      <c r="Y81"/>
      <c r="Z81"/>
    </row>
    <row r="82" spans="1:26">
      <c r="A82" s="112">
        <f t="shared" si="1"/>
        <v>68</v>
      </c>
      <c r="B82" s="431">
        <v>38300</v>
      </c>
      <c r="C82" s="80" t="s">
        <v>1037</v>
      </c>
      <c r="D82" s="364">
        <f>[4]Reserve!Q162</f>
        <v>-8522211.8342981897</v>
      </c>
      <c r="E82" s="364">
        <v>0</v>
      </c>
      <c r="F82" s="364">
        <f t="shared" si="20"/>
        <v>-8522211.8342981897</v>
      </c>
      <c r="G82" s="394">
        <f t="shared" si="21"/>
        <v>1</v>
      </c>
      <c r="H82" s="394">
        <f t="shared" si="21"/>
        <v>1</v>
      </c>
      <c r="I82" s="364">
        <f t="shared" si="22"/>
        <v>-8522211.8342981897</v>
      </c>
      <c r="K82" s="364">
        <f>[4]Reserve!C162</f>
        <v>-7457932.0859522736</v>
      </c>
      <c r="L82" s="394">
        <f t="shared" si="23"/>
        <v>1</v>
      </c>
      <c r="M82" s="394">
        <f t="shared" si="23"/>
        <v>1</v>
      </c>
      <c r="N82" s="364">
        <f t="shared" si="24"/>
        <v>-7457932.0859522736</v>
      </c>
    </row>
    <row r="83" spans="1:26">
      <c r="A83" s="112">
        <f t="shared" si="1"/>
        <v>69</v>
      </c>
      <c r="B83" s="431">
        <v>38400</v>
      </c>
      <c r="C83" s="80" t="s">
        <v>439</v>
      </c>
      <c r="D83" s="364">
        <f>[4]Reserve!Q163</f>
        <v>136648.74515675433</v>
      </c>
      <c r="E83" s="364">
        <v>0</v>
      </c>
      <c r="F83" s="364">
        <f t="shared" si="20"/>
        <v>136648.74515675433</v>
      </c>
      <c r="G83" s="394">
        <f t="shared" si="21"/>
        <v>1</v>
      </c>
      <c r="H83" s="394">
        <f t="shared" si="21"/>
        <v>1</v>
      </c>
      <c r="I83" s="364">
        <f t="shared" si="22"/>
        <v>136648.74515675433</v>
      </c>
      <c r="K83" s="364">
        <f>[4]Reserve!C163</f>
        <v>133185.60311840798</v>
      </c>
      <c r="L83" s="394">
        <f t="shared" si="23"/>
        <v>1</v>
      </c>
      <c r="M83" s="394">
        <f t="shared" si="23"/>
        <v>1</v>
      </c>
      <c r="N83" s="364">
        <f t="shared" si="24"/>
        <v>133185.60311840798</v>
      </c>
    </row>
    <row r="84" spans="1:26">
      <c r="A84" s="112">
        <f t="shared" ref="A84:A147" si="28">A83+1</f>
        <v>70</v>
      </c>
      <c r="B84" s="431">
        <v>38500</v>
      </c>
      <c r="C84" s="80" t="s">
        <v>440</v>
      </c>
      <c r="D84" s="364">
        <f>[4]Reserve!Q164</f>
        <v>3411257.4631019752</v>
      </c>
      <c r="E84" s="364">
        <v>0</v>
      </c>
      <c r="F84" s="364">
        <f t="shared" si="20"/>
        <v>3411257.4631019752</v>
      </c>
      <c r="G84" s="394">
        <f t="shared" si="21"/>
        <v>1</v>
      </c>
      <c r="H84" s="394">
        <f t="shared" si="21"/>
        <v>1</v>
      </c>
      <c r="I84" s="364">
        <f t="shared" si="22"/>
        <v>3411257.4631019752</v>
      </c>
      <c r="K84" s="364">
        <f>[4]Reserve!C164</f>
        <v>3374688.3745123702</v>
      </c>
      <c r="L84" s="394">
        <f t="shared" si="23"/>
        <v>1</v>
      </c>
      <c r="M84" s="394">
        <f t="shared" si="23"/>
        <v>1</v>
      </c>
      <c r="N84" s="364">
        <f t="shared" si="24"/>
        <v>3374688.3745123702</v>
      </c>
    </row>
    <row r="85" spans="1:26">
      <c r="A85" s="112">
        <f t="shared" si="28"/>
        <v>71</v>
      </c>
      <c r="B85" s="431"/>
      <c r="C85" s="80"/>
      <c r="D85" s="853"/>
      <c r="E85" s="853"/>
      <c r="F85" s="853"/>
      <c r="G85" s="394"/>
      <c r="H85" s="394"/>
      <c r="I85" s="853"/>
      <c r="K85" s="853"/>
      <c r="N85" s="853"/>
    </row>
    <row r="86" spans="1:26">
      <c r="A86" s="112">
        <f t="shared" si="28"/>
        <v>72</v>
      </c>
      <c r="B86" s="431"/>
      <c r="C86" s="80" t="s">
        <v>1331</v>
      </c>
      <c r="D86" s="304">
        <f>SUM(D63:D85)</f>
        <v>142673744.7108039</v>
      </c>
      <c r="E86" s="304">
        <f>SUM(E63:E85)</f>
        <v>0</v>
      </c>
      <c r="F86" s="304">
        <f>SUM(F63:F85)</f>
        <v>142673744.7108039</v>
      </c>
      <c r="G86" s="394"/>
      <c r="H86" s="394"/>
      <c r="I86" s="304">
        <f>SUM(I63:I85)</f>
        <v>142673744.7108039</v>
      </c>
      <c r="K86" s="304">
        <f>SUM(K63:K85)</f>
        <v>142418880.89028138</v>
      </c>
      <c r="N86" s="304">
        <f>SUM(N63:N85)</f>
        <v>142418880.89028138</v>
      </c>
    </row>
    <row r="87" spans="1:26">
      <c r="A87" s="112">
        <f t="shared" si="28"/>
        <v>73</v>
      </c>
      <c r="B87" s="431"/>
      <c r="C87" s="80"/>
      <c r="D87" s="364"/>
      <c r="E87" s="364"/>
      <c r="F87" s="364"/>
      <c r="G87" s="394"/>
      <c r="H87" s="394"/>
      <c r="I87" s="364"/>
      <c r="K87" s="364"/>
      <c r="N87" s="364"/>
    </row>
    <row r="88" spans="1:26">
      <c r="A88" s="112">
        <f t="shared" si="28"/>
        <v>74</v>
      </c>
      <c r="B88" s="570"/>
      <c r="C88" s="500" t="s">
        <v>299</v>
      </c>
      <c r="D88" s="364"/>
      <c r="E88" s="364"/>
      <c r="F88" s="364"/>
      <c r="G88" s="394"/>
      <c r="H88" s="394"/>
      <c r="I88" s="364"/>
      <c r="K88" s="364"/>
      <c r="N88" s="364"/>
    </row>
    <row r="89" spans="1:26">
      <c r="A89" s="112">
        <f t="shared" si="28"/>
        <v>75</v>
      </c>
      <c r="B89" s="431">
        <v>38900</v>
      </c>
      <c r="C89" s="854" t="s">
        <v>1463</v>
      </c>
      <c r="D89" s="304">
        <f>[4]Reserve!Q165</f>
        <v>0</v>
      </c>
      <c r="E89" s="304">
        <v>0</v>
      </c>
      <c r="F89" s="304">
        <f t="shared" ref="F89:F115" si="29">D89-E89</f>
        <v>0</v>
      </c>
      <c r="G89" s="394">
        <f t="shared" ref="G89:H102" si="30">$G$16</f>
        <v>1</v>
      </c>
      <c r="H89" s="394">
        <f t="shared" si="30"/>
        <v>1</v>
      </c>
      <c r="I89" s="304">
        <f t="shared" ref="I89:I115" si="31">F89*G89*H89</f>
        <v>0</v>
      </c>
      <c r="K89" s="304">
        <f>[4]Reserve!C165</f>
        <v>0</v>
      </c>
      <c r="L89" s="394">
        <f t="shared" ref="L89:M102" si="32">$G$16</f>
        <v>1</v>
      </c>
      <c r="M89" s="394">
        <f t="shared" si="32"/>
        <v>1</v>
      </c>
      <c r="N89" s="304">
        <f t="shared" ref="N89:N114" si="33">K89*L89*M89</f>
        <v>0</v>
      </c>
    </row>
    <row r="90" spans="1:26">
      <c r="A90" s="112">
        <f t="shared" si="28"/>
        <v>76</v>
      </c>
      <c r="B90" s="431">
        <v>39000</v>
      </c>
      <c r="C90" s="854" t="s">
        <v>1464</v>
      </c>
      <c r="D90" s="364">
        <f>[4]Reserve!Q166</f>
        <v>1578713.4416857632</v>
      </c>
      <c r="E90" s="364">
        <v>0</v>
      </c>
      <c r="F90" s="364">
        <f t="shared" si="29"/>
        <v>1578713.4416857632</v>
      </c>
      <c r="G90" s="394">
        <f t="shared" si="30"/>
        <v>1</v>
      </c>
      <c r="H90" s="394">
        <f t="shared" si="30"/>
        <v>1</v>
      </c>
      <c r="I90" s="364">
        <f t="shared" si="31"/>
        <v>1578713.4416857632</v>
      </c>
      <c r="K90" s="364">
        <f>[4]Reserve!C166</f>
        <v>1470664.65924679</v>
      </c>
      <c r="L90" s="394">
        <f t="shared" si="32"/>
        <v>1</v>
      </c>
      <c r="M90" s="394">
        <f t="shared" si="32"/>
        <v>1</v>
      </c>
      <c r="N90" s="364">
        <f t="shared" si="33"/>
        <v>1470664.65924679</v>
      </c>
    </row>
    <row r="91" spans="1:26">
      <c r="A91" s="112">
        <f t="shared" si="28"/>
        <v>77</v>
      </c>
      <c r="B91" s="431">
        <v>39002</v>
      </c>
      <c r="C91" s="854" t="s">
        <v>1465</v>
      </c>
      <c r="D91" s="364">
        <f>[4]Reserve!Q167</f>
        <v>149541.98988249997</v>
      </c>
      <c r="E91" s="364">
        <v>0</v>
      </c>
      <c r="F91" s="364">
        <f t="shared" si="29"/>
        <v>149541.98988249997</v>
      </c>
      <c r="G91" s="394">
        <f t="shared" si="30"/>
        <v>1</v>
      </c>
      <c r="H91" s="394">
        <f t="shared" si="30"/>
        <v>1</v>
      </c>
      <c r="I91" s="364">
        <f t="shared" si="31"/>
        <v>149541.98988249997</v>
      </c>
      <c r="K91" s="364">
        <f>[4]Reserve!C167</f>
        <v>147386.6991991346</v>
      </c>
      <c r="L91" s="394">
        <f t="shared" si="32"/>
        <v>1</v>
      </c>
      <c r="M91" s="394">
        <f t="shared" si="32"/>
        <v>1</v>
      </c>
      <c r="N91" s="364">
        <f t="shared" si="33"/>
        <v>147386.6991991346</v>
      </c>
    </row>
    <row r="92" spans="1:26">
      <c r="A92" s="112">
        <f t="shared" si="28"/>
        <v>78</v>
      </c>
      <c r="B92" s="431">
        <v>39003</v>
      </c>
      <c r="C92" s="854" t="s">
        <v>1466</v>
      </c>
      <c r="D92" s="364">
        <f>[4]Reserve!Q168</f>
        <v>370087.95979100012</v>
      </c>
      <c r="E92" s="364">
        <v>0</v>
      </c>
      <c r="F92" s="364">
        <f t="shared" si="29"/>
        <v>370087.95979100012</v>
      </c>
      <c r="G92" s="394">
        <f t="shared" si="30"/>
        <v>1</v>
      </c>
      <c r="H92" s="394">
        <f t="shared" si="30"/>
        <v>1</v>
      </c>
      <c r="I92" s="364">
        <f t="shared" si="31"/>
        <v>370087.95979100012</v>
      </c>
      <c r="K92" s="364">
        <f>[4]Reserve!C168</f>
        <v>361258.4272514233</v>
      </c>
      <c r="L92" s="394">
        <f t="shared" si="32"/>
        <v>1</v>
      </c>
      <c r="M92" s="394">
        <f t="shared" si="32"/>
        <v>1</v>
      </c>
      <c r="N92" s="364">
        <f t="shared" si="33"/>
        <v>361258.4272514233</v>
      </c>
    </row>
    <row r="93" spans="1:26">
      <c r="A93" s="112">
        <f t="shared" si="28"/>
        <v>79</v>
      </c>
      <c r="B93" s="431">
        <v>39004</v>
      </c>
      <c r="C93" s="854" t="s">
        <v>1467</v>
      </c>
      <c r="D93" s="364">
        <f>[4]Reserve!Q169</f>
        <v>10365.236237000001</v>
      </c>
      <c r="E93" s="364">
        <v>0</v>
      </c>
      <c r="F93" s="364">
        <f t="shared" si="29"/>
        <v>10365.236237000001</v>
      </c>
      <c r="G93" s="394">
        <f t="shared" si="30"/>
        <v>1</v>
      </c>
      <c r="H93" s="394">
        <f t="shared" si="30"/>
        <v>1</v>
      </c>
      <c r="I93" s="364">
        <f t="shared" si="31"/>
        <v>10365.236237000001</v>
      </c>
      <c r="K93" s="364">
        <f>[4]Reserve!C169</f>
        <v>10040.713602269232</v>
      </c>
      <c r="L93" s="394">
        <f t="shared" si="32"/>
        <v>1</v>
      </c>
      <c r="M93" s="394">
        <f t="shared" si="32"/>
        <v>1</v>
      </c>
      <c r="N93" s="364">
        <f t="shared" si="33"/>
        <v>10040.713602269232</v>
      </c>
    </row>
    <row r="94" spans="1:26">
      <c r="A94" s="112">
        <f t="shared" si="28"/>
        <v>80</v>
      </c>
      <c r="B94" s="431">
        <v>39009</v>
      </c>
      <c r="C94" s="854" t="s">
        <v>1468</v>
      </c>
      <c r="D94" s="364">
        <f>[4]Reserve!Q170</f>
        <v>1246194.18</v>
      </c>
      <c r="E94" s="364">
        <v>0</v>
      </c>
      <c r="F94" s="364">
        <f t="shared" si="29"/>
        <v>1246194.18</v>
      </c>
      <c r="G94" s="394">
        <f t="shared" si="30"/>
        <v>1</v>
      </c>
      <c r="H94" s="394">
        <f t="shared" si="30"/>
        <v>1</v>
      </c>
      <c r="I94" s="364">
        <f t="shared" si="31"/>
        <v>1246194.18</v>
      </c>
      <c r="K94" s="364">
        <f>[4]Reserve!C170</f>
        <v>1246194.18</v>
      </c>
      <c r="L94" s="394">
        <f t="shared" si="32"/>
        <v>1</v>
      </c>
      <c r="M94" s="394">
        <f t="shared" si="32"/>
        <v>1</v>
      </c>
      <c r="N94" s="364">
        <f t="shared" si="33"/>
        <v>1246194.18</v>
      </c>
    </row>
    <row r="95" spans="1:26">
      <c r="A95" s="112">
        <f t="shared" si="28"/>
        <v>81</v>
      </c>
      <c r="B95" s="431">
        <v>39100</v>
      </c>
      <c r="C95" s="854" t="s">
        <v>1469</v>
      </c>
      <c r="D95" s="364">
        <f>[4]Reserve!Q171</f>
        <v>1122254.4382499994</v>
      </c>
      <c r="E95" s="364">
        <v>0</v>
      </c>
      <c r="F95" s="364">
        <f t="shared" si="29"/>
        <v>1122254.4382499994</v>
      </c>
      <c r="G95" s="394">
        <f t="shared" si="30"/>
        <v>1</v>
      </c>
      <c r="H95" s="394">
        <f t="shared" si="30"/>
        <v>1</v>
      </c>
      <c r="I95" s="364">
        <f t="shared" si="31"/>
        <v>1122254.4382499994</v>
      </c>
      <c r="K95" s="364">
        <f>[4]Reserve!C171</f>
        <v>1078420.1195288459</v>
      </c>
      <c r="L95" s="394">
        <f t="shared" si="32"/>
        <v>1</v>
      </c>
      <c r="M95" s="394">
        <f t="shared" si="32"/>
        <v>1</v>
      </c>
      <c r="N95" s="364">
        <f t="shared" si="33"/>
        <v>1078420.1195288459</v>
      </c>
    </row>
    <row r="96" spans="1:26">
      <c r="A96" s="112">
        <f t="shared" si="28"/>
        <v>82</v>
      </c>
      <c r="B96" s="431">
        <v>39103</v>
      </c>
      <c r="C96" s="854" t="s">
        <v>773</v>
      </c>
      <c r="D96" s="364">
        <f>[4]Reserve!Q172</f>
        <v>0</v>
      </c>
      <c r="E96" s="364">
        <v>0</v>
      </c>
      <c r="F96" s="364">
        <f t="shared" si="29"/>
        <v>0</v>
      </c>
      <c r="G96" s="394">
        <f t="shared" si="30"/>
        <v>1</v>
      </c>
      <c r="H96" s="394">
        <f t="shared" si="30"/>
        <v>1</v>
      </c>
      <c r="I96" s="364">
        <f t="shared" si="31"/>
        <v>0</v>
      </c>
      <c r="K96" s="364">
        <f>[4]Reserve!C172</f>
        <v>0</v>
      </c>
      <c r="L96" s="394">
        <f t="shared" si="32"/>
        <v>1</v>
      </c>
      <c r="M96" s="394">
        <f t="shared" si="32"/>
        <v>1</v>
      </c>
      <c r="N96" s="364">
        <f t="shared" si="33"/>
        <v>0</v>
      </c>
    </row>
    <row r="97" spans="1:14">
      <c r="A97" s="112">
        <f t="shared" si="28"/>
        <v>83</v>
      </c>
      <c r="B97" s="431">
        <v>39200</v>
      </c>
      <c r="C97" s="854" t="s">
        <v>1470</v>
      </c>
      <c r="D97" s="364">
        <f>[4]Reserve!Q173</f>
        <v>95649.012335000036</v>
      </c>
      <c r="E97" s="364">
        <v>0</v>
      </c>
      <c r="F97" s="364">
        <f t="shared" si="29"/>
        <v>95649.012335000036</v>
      </c>
      <c r="G97" s="394">
        <f t="shared" si="30"/>
        <v>1</v>
      </c>
      <c r="H97" s="394">
        <f t="shared" si="30"/>
        <v>1</v>
      </c>
      <c r="I97" s="364">
        <f t="shared" si="31"/>
        <v>95649.012335000036</v>
      </c>
      <c r="K97" s="364">
        <f>[4]Reserve!C173</f>
        <v>91137.745244038495</v>
      </c>
      <c r="L97" s="394">
        <f t="shared" si="32"/>
        <v>1</v>
      </c>
      <c r="M97" s="394">
        <f t="shared" si="32"/>
        <v>1</v>
      </c>
      <c r="N97" s="364">
        <f t="shared" si="33"/>
        <v>91137.745244038495</v>
      </c>
    </row>
    <row r="98" spans="1:14">
      <c r="A98" s="112">
        <f t="shared" si="28"/>
        <v>84</v>
      </c>
      <c r="B98" s="431">
        <v>39202</v>
      </c>
      <c r="C98" s="854" t="s">
        <v>1471</v>
      </c>
      <c r="D98" s="364">
        <f>[4]Reserve!Q174</f>
        <v>3306.663059999998</v>
      </c>
      <c r="E98" s="364">
        <v>0</v>
      </c>
      <c r="F98" s="364">
        <f t="shared" si="29"/>
        <v>3306.663059999998</v>
      </c>
      <c r="G98" s="394">
        <f t="shared" si="30"/>
        <v>1</v>
      </c>
      <c r="H98" s="394">
        <f t="shared" si="30"/>
        <v>1</v>
      </c>
      <c r="I98" s="364">
        <f t="shared" si="31"/>
        <v>3306.663059999998</v>
      </c>
      <c r="K98" s="364">
        <f>[4]Reserve!C174</f>
        <v>3267.4623623076914</v>
      </c>
      <c r="L98" s="394">
        <f t="shared" si="32"/>
        <v>1</v>
      </c>
      <c r="M98" s="394">
        <f t="shared" si="32"/>
        <v>1</v>
      </c>
      <c r="N98" s="364">
        <f t="shared" si="33"/>
        <v>3267.4623623076914</v>
      </c>
    </row>
    <row r="99" spans="1:14">
      <c r="A99" s="112">
        <f t="shared" si="28"/>
        <v>85</v>
      </c>
      <c r="B99" s="570">
        <v>39400</v>
      </c>
      <c r="C99" s="854" t="s">
        <v>1472</v>
      </c>
      <c r="D99" s="364">
        <f>[4]Reserve!Q175</f>
        <v>1846773.5096131465</v>
      </c>
      <c r="E99" s="364">
        <v>0</v>
      </c>
      <c r="F99" s="364">
        <f t="shared" si="29"/>
        <v>1846773.5096131465</v>
      </c>
      <c r="G99" s="394">
        <f t="shared" si="30"/>
        <v>1</v>
      </c>
      <c r="H99" s="394">
        <f t="shared" si="30"/>
        <v>1</v>
      </c>
      <c r="I99" s="364">
        <f t="shared" si="31"/>
        <v>1846773.5096131465</v>
      </c>
      <c r="K99" s="364">
        <f>[4]Reserve!C175</f>
        <v>1678849.3218359051</v>
      </c>
      <c r="L99" s="394">
        <f t="shared" si="32"/>
        <v>1</v>
      </c>
      <c r="M99" s="394">
        <f t="shared" si="32"/>
        <v>1</v>
      </c>
      <c r="N99" s="364">
        <f t="shared" si="33"/>
        <v>1678849.3218359051</v>
      </c>
    </row>
    <row r="100" spans="1:14">
      <c r="A100" s="112">
        <f t="shared" si="28"/>
        <v>86</v>
      </c>
      <c r="B100" s="570">
        <v>39603</v>
      </c>
      <c r="C100" s="334" t="s">
        <v>1473</v>
      </c>
      <c r="D100" s="364">
        <f>[4]Reserve!Q176</f>
        <v>-6489.75</v>
      </c>
      <c r="E100" s="364">
        <v>0</v>
      </c>
      <c r="F100" s="364">
        <f t="shared" si="29"/>
        <v>-6489.75</v>
      </c>
      <c r="G100" s="394">
        <f t="shared" si="30"/>
        <v>1</v>
      </c>
      <c r="H100" s="394">
        <f t="shared" si="30"/>
        <v>1</v>
      </c>
      <c r="I100" s="364">
        <f t="shared" si="31"/>
        <v>-6489.75</v>
      </c>
      <c r="K100" s="364">
        <f>[4]Reserve!C176</f>
        <v>-6489.75</v>
      </c>
      <c r="L100" s="394">
        <f t="shared" si="32"/>
        <v>1</v>
      </c>
      <c r="M100" s="394">
        <f t="shared" si="32"/>
        <v>1</v>
      </c>
      <c r="N100" s="364">
        <f t="shared" si="33"/>
        <v>-6489.75</v>
      </c>
    </row>
    <row r="101" spans="1:14">
      <c r="A101" s="112">
        <f t="shared" si="28"/>
        <v>87</v>
      </c>
      <c r="B101" s="570">
        <v>39604</v>
      </c>
      <c r="C101" s="854" t="s">
        <v>1474</v>
      </c>
      <c r="D101" s="364">
        <f>[4]Reserve!Q177</f>
        <v>3201.29</v>
      </c>
      <c r="E101" s="364">
        <v>0</v>
      </c>
      <c r="F101" s="364">
        <f t="shared" si="29"/>
        <v>3201.29</v>
      </c>
      <c r="G101" s="394">
        <f t="shared" si="30"/>
        <v>1</v>
      </c>
      <c r="H101" s="394">
        <f t="shared" si="30"/>
        <v>1</v>
      </c>
      <c r="I101" s="364">
        <f t="shared" si="31"/>
        <v>3201.29</v>
      </c>
      <c r="K101" s="364">
        <f>[4]Reserve!C177</f>
        <v>3201.2900000000004</v>
      </c>
      <c r="L101" s="394">
        <f t="shared" si="32"/>
        <v>1</v>
      </c>
      <c r="M101" s="394">
        <f t="shared" si="32"/>
        <v>1</v>
      </c>
      <c r="N101" s="364">
        <f t="shared" si="33"/>
        <v>3201.2900000000004</v>
      </c>
    </row>
    <row r="102" spans="1:14">
      <c r="A102" s="112">
        <f t="shared" si="28"/>
        <v>88</v>
      </c>
      <c r="B102" s="570">
        <v>39605</v>
      </c>
      <c r="C102" s="854" t="s">
        <v>1475</v>
      </c>
      <c r="D102" s="364">
        <f>[4]Reserve!Q178</f>
        <v>0</v>
      </c>
      <c r="E102" s="364">
        <v>0</v>
      </c>
      <c r="F102" s="364">
        <f t="shared" si="29"/>
        <v>0</v>
      </c>
      <c r="G102" s="394">
        <f t="shared" si="30"/>
        <v>1</v>
      </c>
      <c r="H102" s="394">
        <f t="shared" si="30"/>
        <v>1</v>
      </c>
      <c r="I102" s="364">
        <f t="shared" si="31"/>
        <v>0</v>
      </c>
      <c r="K102" s="364">
        <f>[4]Reserve!C178</f>
        <v>1568.3384615384616</v>
      </c>
      <c r="L102" s="394">
        <f t="shared" si="32"/>
        <v>1</v>
      </c>
      <c r="M102" s="394">
        <f t="shared" si="32"/>
        <v>1</v>
      </c>
      <c r="N102" s="364">
        <f t="shared" si="33"/>
        <v>1568.3384615384616</v>
      </c>
    </row>
    <row r="103" spans="1:14">
      <c r="A103" s="112">
        <f t="shared" si="28"/>
        <v>89</v>
      </c>
      <c r="B103" s="570">
        <v>39700</v>
      </c>
      <c r="C103" s="854" t="s">
        <v>1476</v>
      </c>
      <c r="D103" s="364">
        <f>[4]Reserve!Q179</f>
        <v>254244.82443949996</v>
      </c>
      <c r="E103" s="364">
        <v>0</v>
      </c>
      <c r="F103" s="364">
        <f t="shared" si="29"/>
        <v>254244.82443949996</v>
      </c>
      <c r="G103" s="394">
        <f t="shared" ref="G103:H116" si="34">$G$16</f>
        <v>1</v>
      </c>
      <c r="H103" s="394">
        <f t="shared" si="34"/>
        <v>1</v>
      </c>
      <c r="I103" s="364">
        <f t="shared" si="31"/>
        <v>254244.82443949996</v>
      </c>
      <c r="K103" s="364">
        <f>[4]Reserve!C179</f>
        <v>240060.18311832688</v>
      </c>
      <c r="L103" s="394">
        <f t="shared" ref="L103:M116" si="35">$G$16</f>
        <v>1</v>
      </c>
      <c r="M103" s="394">
        <f t="shared" si="35"/>
        <v>1</v>
      </c>
      <c r="N103" s="364">
        <f t="shared" si="33"/>
        <v>240060.18311832688</v>
      </c>
    </row>
    <row r="104" spans="1:14">
      <c r="A104" s="112">
        <f t="shared" si="28"/>
        <v>90</v>
      </c>
      <c r="B104" s="570">
        <v>39701</v>
      </c>
      <c r="C104" s="854" t="s">
        <v>1436</v>
      </c>
      <c r="D104" s="364">
        <f>[4]Reserve!Q180</f>
        <v>0</v>
      </c>
      <c r="E104" s="364">
        <v>0</v>
      </c>
      <c r="F104" s="364">
        <f t="shared" si="29"/>
        <v>0</v>
      </c>
      <c r="G104" s="394">
        <f t="shared" si="34"/>
        <v>1</v>
      </c>
      <c r="H104" s="394">
        <f t="shared" si="34"/>
        <v>1</v>
      </c>
      <c r="I104" s="364">
        <f t="shared" si="31"/>
        <v>0</v>
      </c>
      <c r="K104" s="364">
        <f>[4]Reserve!C180</f>
        <v>0</v>
      </c>
      <c r="L104" s="394">
        <f t="shared" si="35"/>
        <v>1</v>
      </c>
      <c r="M104" s="394">
        <f t="shared" si="35"/>
        <v>1</v>
      </c>
      <c r="N104" s="364">
        <f t="shared" si="33"/>
        <v>0</v>
      </c>
    </row>
    <row r="105" spans="1:14">
      <c r="A105" s="112">
        <f t="shared" si="28"/>
        <v>91</v>
      </c>
      <c r="B105" s="570">
        <v>39702</v>
      </c>
      <c r="C105" s="854" t="s">
        <v>1436</v>
      </c>
      <c r="D105" s="364">
        <f>[4]Reserve!Q181</f>
        <v>0</v>
      </c>
      <c r="E105" s="364">
        <v>0</v>
      </c>
      <c r="F105" s="364">
        <f t="shared" si="29"/>
        <v>0</v>
      </c>
      <c r="G105" s="394">
        <f t="shared" si="34"/>
        <v>1</v>
      </c>
      <c r="H105" s="394">
        <f t="shared" si="34"/>
        <v>1</v>
      </c>
      <c r="I105" s="364">
        <f t="shared" si="31"/>
        <v>0</v>
      </c>
      <c r="K105" s="364">
        <f>[4]Reserve!C181</f>
        <v>0</v>
      </c>
      <c r="L105" s="394">
        <f t="shared" si="35"/>
        <v>1</v>
      </c>
      <c r="M105" s="394">
        <f t="shared" si="35"/>
        <v>1</v>
      </c>
      <c r="N105" s="364">
        <f t="shared" si="33"/>
        <v>0</v>
      </c>
    </row>
    <row r="106" spans="1:14">
      <c r="A106" s="112">
        <f t="shared" si="28"/>
        <v>92</v>
      </c>
      <c r="B106" s="570">
        <v>39705</v>
      </c>
      <c r="C106" s="854" t="s">
        <v>1477</v>
      </c>
      <c r="D106" s="364">
        <f>[4]Reserve!Q182</f>
        <v>0</v>
      </c>
      <c r="E106" s="364">
        <v>0</v>
      </c>
      <c r="F106" s="364">
        <f t="shared" si="29"/>
        <v>0</v>
      </c>
      <c r="G106" s="394">
        <f t="shared" si="34"/>
        <v>1</v>
      </c>
      <c r="H106" s="394">
        <f t="shared" si="34"/>
        <v>1</v>
      </c>
      <c r="I106" s="364">
        <f t="shared" si="31"/>
        <v>0</v>
      </c>
      <c r="K106" s="364">
        <f>[4]Reserve!C182</f>
        <v>0</v>
      </c>
      <c r="L106" s="394">
        <f t="shared" si="35"/>
        <v>1</v>
      </c>
      <c r="M106" s="394">
        <f t="shared" si="35"/>
        <v>1</v>
      </c>
      <c r="N106" s="364">
        <f t="shared" si="33"/>
        <v>0</v>
      </c>
    </row>
    <row r="107" spans="1:14">
      <c r="A107" s="112">
        <f t="shared" si="28"/>
        <v>93</v>
      </c>
      <c r="B107" s="570">
        <v>39800</v>
      </c>
      <c r="C107" s="854" t="s">
        <v>1478</v>
      </c>
      <c r="D107" s="364">
        <f>[4]Reserve!Q183</f>
        <v>2719603.5255000014</v>
      </c>
      <c r="E107" s="364">
        <v>0</v>
      </c>
      <c r="F107" s="364">
        <f t="shared" si="29"/>
        <v>2719603.5255000014</v>
      </c>
      <c r="G107" s="394">
        <f t="shared" si="34"/>
        <v>1</v>
      </c>
      <c r="H107" s="394">
        <f t="shared" si="34"/>
        <v>1</v>
      </c>
      <c r="I107" s="364">
        <f t="shared" si="31"/>
        <v>2719603.5255000014</v>
      </c>
      <c r="K107" s="364">
        <f>[4]Reserve!C183</f>
        <v>2622375.4487884631</v>
      </c>
      <c r="L107" s="394">
        <f t="shared" si="35"/>
        <v>1</v>
      </c>
      <c r="M107" s="394">
        <f t="shared" si="35"/>
        <v>1</v>
      </c>
      <c r="N107" s="364">
        <f t="shared" si="33"/>
        <v>2622375.4487884631</v>
      </c>
    </row>
    <row r="108" spans="1:14">
      <c r="A108" s="112">
        <f t="shared" si="28"/>
        <v>94</v>
      </c>
      <c r="B108" s="570">
        <v>39901</v>
      </c>
      <c r="C108" s="854" t="s">
        <v>1437</v>
      </c>
      <c r="D108" s="364">
        <f>[4]Reserve!Q184</f>
        <v>21874.181035500009</v>
      </c>
      <c r="E108" s="364">
        <v>0</v>
      </c>
      <c r="F108" s="364">
        <f t="shared" si="29"/>
        <v>21874.181035500009</v>
      </c>
      <c r="G108" s="394">
        <f t="shared" si="34"/>
        <v>1</v>
      </c>
      <c r="H108" s="394">
        <f t="shared" si="34"/>
        <v>1</v>
      </c>
      <c r="I108" s="364">
        <f t="shared" si="31"/>
        <v>21874.181035500009</v>
      </c>
      <c r="K108" s="364">
        <f>[4]Reserve!C184</f>
        <v>19315.194894173084</v>
      </c>
      <c r="L108" s="394">
        <f t="shared" si="35"/>
        <v>1</v>
      </c>
      <c r="M108" s="394">
        <f t="shared" si="35"/>
        <v>1</v>
      </c>
      <c r="N108" s="364">
        <f t="shared" si="33"/>
        <v>19315.194894173084</v>
      </c>
    </row>
    <row r="109" spans="1:14">
      <c r="A109" s="112">
        <f t="shared" si="28"/>
        <v>95</v>
      </c>
      <c r="B109" s="570">
        <v>39902</v>
      </c>
      <c r="C109" s="854" t="s">
        <v>1438</v>
      </c>
      <c r="D109" s="364">
        <f>[4]Reserve!Q185</f>
        <v>0</v>
      </c>
      <c r="E109" s="364">
        <v>0</v>
      </c>
      <c r="F109" s="364">
        <f t="shared" si="29"/>
        <v>0</v>
      </c>
      <c r="G109" s="394">
        <f t="shared" si="34"/>
        <v>1</v>
      </c>
      <c r="H109" s="394">
        <f t="shared" si="34"/>
        <v>1</v>
      </c>
      <c r="I109" s="364">
        <f t="shared" si="31"/>
        <v>0</v>
      </c>
      <c r="K109" s="364">
        <f>[4]Reserve!C185</f>
        <v>0</v>
      </c>
      <c r="L109" s="394">
        <f t="shared" si="35"/>
        <v>1</v>
      </c>
      <c r="M109" s="394">
        <f t="shared" si="35"/>
        <v>1</v>
      </c>
      <c r="N109" s="364">
        <f t="shared" si="33"/>
        <v>0</v>
      </c>
    </row>
    <row r="110" spans="1:14">
      <c r="A110" s="112">
        <f t="shared" si="28"/>
        <v>96</v>
      </c>
      <c r="B110" s="570">
        <v>39903</v>
      </c>
      <c r="C110" s="854" t="s">
        <v>1479</v>
      </c>
      <c r="D110" s="364">
        <f>[4]Reserve!Q186</f>
        <v>98563.233000000051</v>
      </c>
      <c r="E110" s="364">
        <v>0</v>
      </c>
      <c r="F110" s="364">
        <f t="shared" si="29"/>
        <v>98563.233000000051</v>
      </c>
      <c r="G110" s="394">
        <f t="shared" si="34"/>
        <v>1</v>
      </c>
      <c r="H110" s="394">
        <f t="shared" si="34"/>
        <v>1</v>
      </c>
      <c r="I110" s="364">
        <f t="shared" si="31"/>
        <v>98563.233000000051</v>
      </c>
      <c r="K110" s="364">
        <f>[4]Reserve!C186</f>
        <v>91833.285423076944</v>
      </c>
      <c r="L110" s="394">
        <f t="shared" si="35"/>
        <v>1</v>
      </c>
      <c r="M110" s="394">
        <f t="shared" si="35"/>
        <v>1</v>
      </c>
      <c r="N110" s="364">
        <f t="shared" si="33"/>
        <v>91833.285423076944</v>
      </c>
    </row>
    <row r="111" spans="1:14">
      <c r="A111" s="112">
        <f t="shared" si="28"/>
        <v>97</v>
      </c>
      <c r="B111" s="570">
        <v>39906</v>
      </c>
      <c r="C111" s="854" t="s">
        <v>1480</v>
      </c>
      <c r="D111" s="364">
        <f>[4]Reserve!Q187</f>
        <v>2201.9152540493815</v>
      </c>
      <c r="E111" s="364">
        <v>0</v>
      </c>
      <c r="F111" s="364">
        <f t="shared" si="29"/>
        <v>2201.9152540493815</v>
      </c>
      <c r="G111" s="394">
        <f t="shared" si="34"/>
        <v>1</v>
      </c>
      <c r="H111" s="394">
        <f t="shared" si="34"/>
        <v>1</v>
      </c>
      <c r="I111" s="364">
        <f t="shared" si="31"/>
        <v>2201.9152540493815</v>
      </c>
      <c r="K111" s="364">
        <f>[4]Reserve!C187</f>
        <v>359770.66779831913</v>
      </c>
      <c r="L111" s="394">
        <f t="shared" si="35"/>
        <v>1</v>
      </c>
      <c r="M111" s="394">
        <f t="shared" si="35"/>
        <v>1</v>
      </c>
      <c r="N111" s="364">
        <f t="shared" si="33"/>
        <v>359770.66779831913</v>
      </c>
    </row>
    <row r="112" spans="1:14">
      <c r="A112" s="112">
        <f t="shared" si="28"/>
        <v>98</v>
      </c>
      <c r="B112" s="570">
        <v>39907</v>
      </c>
      <c r="C112" s="854" t="s">
        <v>1481</v>
      </c>
      <c r="D112" s="364">
        <f>[4]Reserve!Q188</f>
        <v>0</v>
      </c>
      <c r="E112" s="364">
        <v>0</v>
      </c>
      <c r="F112" s="364">
        <f t="shared" si="29"/>
        <v>0</v>
      </c>
      <c r="G112" s="394">
        <f t="shared" si="34"/>
        <v>1</v>
      </c>
      <c r="H112" s="394">
        <f t="shared" si="34"/>
        <v>1</v>
      </c>
      <c r="I112" s="364">
        <f t="shared" si="31"/>
        <v>0</v>
      </c>
      <c r="K112" s="364">
        <f>[4]Reserve!C188</f>
        <v>0</v>
      </c>
      <c r="L112" s="394">
        <f t="shared" si="35"/>
        <v>1</v>
      </c>
      <c r="M112" s="394">
        <f t="shared" si="35"/>
        <v>1</v>
      </c>
      <c r="N112" s="364">
        <f t="shared" si="33"/>
        <v>0</v>
      </c>
    </row>
    <row r="113" spans="1:19">
      <c r="A113" s="112">
        <f t="shared" si="28"/>
        <v>99</v>
      </c>
      <c r="B113" s="570">
        <v>39908</v>
      </c>
      <c r="C113" s="854" t="s">
        <v>1482</v>
      </c>
      <c r="D113" s="364">
        <f>[4]Reserve!Q189</f>
        <v>59275.741570000013</v>
      </c>
      <c r="E113" s="364">
        <v>0</v>
      </c>
      <c r="F113" s="364">
        <f t="shared" si="29"/>
        <v>59275.741570000013</v>
      </c>
      <c r="G113" s="394">
        <f t="shared" si="34"/>
        <v>1</v>
      </c>
      <c r="H113" s="394">
        <f t="shared" si="34"/>
        <v>1</v>
      </c>
      <c r="I113" s="364">
        <f t="shared" si="31"/>
        <v>59275.741570000013</v>
      </c>
      <c r="K113" s="364">
        <f>[4]Reserve!C189</f>
        <v>56543.265807307704</v>
      </c>
      <c r="L113" s="394">
        <f t="shared" si="35"/>
        <v>1</v>
      </c>
      <c r="M113" s="394">
        <f t="shared" si="35"/>
        <v>1</v>
      </c>
      <c r="N113" s="364">
        <f t="shared" si="33"/>
        <v>56543.265807307704</v>
      </c>
    </row>
    <row r="114" spans="1:19">
      <c r="A114" s="112">
        <f t="shared" si="28"/>
        <v>100</v>
      </c>
      <c r="B114" s="570"/>
      <c r="C114" s="80" t="s">
        <v>1124</v>
      </c>
      <c r="D114" s="364">
        <f>[4]Reserve!Q190</f>
        <v>-2179656.359999998</v>
      </c>
      <c r="E114" s="364">
        <v>0</v>
      </c>
      <c r="F114" s="364">
        <f t="shared" si="29"/>
        <v>-2179656.359999998</v>
      </c>
      <c r="G114" s="394">
        <f t="shared" si="34"/>
        <v>1</v>
      </c>
      <c r="H114" s="394">
        <f t="shared" si="34"/>
        <v>1</v>
      </c>
      <c r="I114" s="364">
        <f t="shared" si="31"/>
        <v>-2179656.359999998</v>
      </c>
      <c r="K114" s="364">
        <f>[4]Reserve!C190</f>
        <v>-2144750.4346153834</v>
      </c>
      <c r="L114" s="394">
        <f t="shared" si="35"/>
        <v>1</v>
      </c>
      <c r="M114" s="394">
        <f t="shared" si="35"/>
        <v>1</v>
      </c>
      <c r="N114" s="364">
        <f t="shared" si="33"/>
        <v>-2144750.4346153834</v>
      </c>
    </row>
    <row r="115" spans="1:19">
      <c r="A115" s="112">
        <f t="shared" si="28"/>
        <v>101</v>
      </c>
      <c r="B115" s="570"/>
      <c r="C115" s="80" t="s">
        <v>1346</v>
      </c>
      <c r="D115" s="364">
        <f>[4]Reserve!Q191</f>
        <v>0</v>
      </c>
      <c r="E115" s="364">
        <v>0</v>
      </c>
      <c r="F115" s="364">
        <f t="shared" si="29"/>
        <v>0</v>
      </c>
      <c r="G115" s="394">
        <f t="shared" si="34"/>
        <v>1</v>
      </c>
      <c r="H115" s="394">
        <f t="shared" si="34"/>
        <v>1</v>
      </c>
      <c r="I115" s="364">
        <f t="shared" si="31"/>
        <v>0</v>
      </c>
      <c r="K115" s="364">
        <f>[4]Reserve!C191</f>
        <v>0</v>
      </c>
      <c r="L115" s="394">
        <f t="shared" si="35"/>
        <v>1</v>
      </c>
      <c r="M115" s="394">
        <f t="shared" si="35"/>
        <v>1</v>
      </c>
      <c r="N115" s="364">
        <f t="shared" ref="N115" si="36">K115*L115*M115</f>
        <v>0</v>
      </c>
    </row>
    <row r="116" spans="1:19">
      <c r="A116" s="112">
        <f t="shared" si="28"/>
        <v>102</v>
      </c>
      <c r="B116" s="570"/>
      <c r="C116" s="80" t="s">
        <v>1221</v>
      </c>
      <c r="D116" s="364">
        <f>[4]Reserve!Q192</f>
        <v>0</v>
      </c>
      <c r="E116" s="364">
        <v>0</v>
      </c>
      <c r="F116" s="364">
        <f t="shared" ref="F116" si="37">D116-E116</f>
        <v>0</v>
      </c>
      <c r="G116" s="394">
        <f t="shared" si="34"/>
        <v>1</v>
      </c>
      <c r="H116" s="394">
        <f t="shared" si="34"/>
        <v>1</v>
      </c>
      <c r="I116" s="364">
        <f t="shared" ref="I116" si="38">F116*G116*H116</f>
        <v>0</v>
      </c>
      <c r="K116" s="364">
        <f>[4]Reserve!C192</f>
        <v>0</v>
      </c>
      <c r="L116" s="394">
        <f t="shared" si="35"/>
        <v>1</v>
      </c>
      <c r="M116" s="394">
        <f t="shared" si="35"/>
        <v>1</v>
      </c>
      <c r="N116" s="364">
        <f t="shared" ref="N116" si="39">K116*L116*M116</f>
        <v>0</v>
      </c>
      <c r="P116" s="557"/>
    </row>
    <row r="117" spans="1:19">
      <c r="A117" s="112">
        <f t="shared" si="28"/>
        <v>103</v>
      </c>
      <c r="B117" s="570"/>
      <c r="C117" s="80"/>
      <c r="D117" s="853"/>
      <c r="E117" s="364"/>
      <c r="F117" s="853"/>
      <c r="G117" s="394"/>
      <c r="H117" s="394"/>
      <c r="I117" s="853"/>
      <c r="K117" s="853"/>
      <c r="L117" s="394"/>
      <c r="M117" s="394"/>
      <c r="N117" s="853"/>
    </row>
    <row r="118" spans="1:19">
      <c r="A118" s="112">
        <f t="shared" si="28"/>
        <v>104</v>
      </c>
      <c r="B118" s="334"/>
      <c r="C118" s="80" t="s">
        <v>1330</v>
      </c>
      <c r="D118" s="304">
        <f>SUM(D89:D117)</f>
        <v>7395705.0316534638</v>
      </c>
      <c r="E118" s="304">
        <f>SUM(E89:E117)</f>
        <v>0</v>
      </c>
      <c r="F118" s="304">
        <f>SUM(F89:F117)</f>
        <v>7395705.0316534638</v>
      </c>
      <c r="I118" s="304">
        <f>SUM(I89:I117)</f>
        <v>7395705.0316534638</v>
      </c>
      <c r="K118" s="304">
        <f>SUM(K89:K117)</f>
        <v>7330646.8179465383</v>
      </c>
      <c r="N118" s="304">
        <f>SUM(N89:N117)</f>
        <v>7330646.8179465383</v>
      </c>
    </row>
    <row r="119" spans="1:19">
      <c r="A119" s="112">
        <f t="shared" si="28"/>
        <v>105</v>
      </c>
      <c r="B119" s="334"/>
      <c r="C119" s="80"/>
      <c r="D119" s="364"/>
      <c r="E119" s="364"/>
      <c r="F119" s="364"/>
      <c r="I119" s="364"/>
      <c r="K119" s="364"/>
      <c r="N119" s="364"/>
    </row>
    <row r="120" spans="1:19">
      <c r="A120" s="112">
        <f t="shared" si="28"/>
        <v>106</v>
      </c>
      <c r="B120" s="334"/>
      <c r="C120" s="205" t="s">
        <v>1276</v>
      </c>
      <c r="D120" s="304">
        <f>D118+D86+D60+D47+D26+D19</f>
        <v>175590173.87701935</v>
      </c>
      <c r="E120" s="304">
        <f>E118+E86+E60+E47+E26+E19</f>
        <v>0</v>
      </c>
      <c r="F120" s="304">
        <f>F118+F86+F60+F47+F26+F19</f>
        <v>175590173.87701935</v>
      </c>
      <c r="I120" s="304">
        <f>I118+I86+I60+I47+I26+I19</f>
        <v>175590173.87701935</v>
      </c>
      <c r="K120" s="304">
        <f>K118+K86+K60+K47+K26+K19</f>
        <v>174941930.27368692</v>
      </c>
      <c r="N120" s="304">
        <f>N118+N86+N60+N47+N26+N19</f>
        <v>174941930.27368692</v>
      </c>
      <c r="S120" s="557"/>
    </row>
    <row r="121" spans="1:19">
      <c r="A121" s="112">
        <f t="shared" si="28"/>
        <v>107</v>
      </c>
      <c r="B121" s="838"/>
      <c r="D121" s="364"/>
    </row>
    <row r="122" spans="1:19" ht="15.75">
      <c r="A122" s="112">
        <f t="shared" si="28"/>
        <v>108</v>
      </c>
      <c r="B122" s="843" t="s">
        <v>7</v>
      </c>
      <c r="D122" s="364"/>
    </row>
    <row r="123" spans="1:19">
      <c r="A123" s="112">
        <f t="shared" si="28"/>
        <v>109</v>
      </c>
      <c r="B123" s="838"/>
      <c r="D123" s="364"/>
    </row>
    <row r="124" spans="1:19">
      <c r="A124" s="112">
        <f t="shared" si="28"/>
        <v>110</v>
      </c>
      <c r="B124" s="334"/>
      <c r="C124" s="500" t="s">
        <v>295</v>
      </c>
      <c r="D124" s="364"/>
    </row>
    <row r="125" spans="1:19">
      <c r="A125" s="112">
        <f t="shared" si="28"/>
        <v>111</v>
      </c>
      <c r="B125" s="431">
        <v>30100</v>
      </c>
      <c r="C125" s="80" t="s">
        <v>289</v>
      </c>
      <c r="D125" s="304">
        <f>[4]Reserve!Q84</f>
        <v>0</v>
      </c>
      <c r="E125" s="304">
        <v>0</v>
      </c>
      <c r="F125" s="304">
        <f>D125+E125</f>
        <v>0</v>
      </c>
      <c r="G125" s="394">
        <f>$G$16</f>
        <v>1</v>
      </c>
      <c r="H125" s="395">
        <f>Allocation!$H$17</f>
        <v>0.50419999999999998</v>
      </c>
      <c r="I125" s="304">
        <f>F125*G125*H125</f>
        <v>0</v>
      </c>
      <c r="K125" s="304">
        <f>[4]Reserve!$C$84</f>
        <v>0</v>
      </c>
      <c r="L125" s="394">
        <f t="shared" ref="L125:M126" si="40">G125</f>
        <v>1</v>
      </c>
      <c r="M125" s="395">
        <f t="shared" si="40"/>
        <v>0.50419999999999998</v>
      </c>
      <c r="N125" s="304">
        <f>K125*L125*M125</f>
        <v>0</v>
      </c>
    </row>
    <row r="126" spans="1:19">
      <c r="A126" s="112">
        <f t="shared" si="28"/>
        <v>112</v>
      </c>
      <c r="B126" s="431">
        <v>30300</v>
      </c>
      <c r="C126" s="80" t="s">
        <v>537</v>
      </c>
      <c r="D126" s="364">
        <f>[4]Reserve!Q85</f>
        <v>0</v>
      </c>
      <c r="E126" s="326">
        <v>0</v>
      </c>
      <c r="F126" s="326">
        <f>D126+E126</f>
        <v>0</v>
      </c>
      <c r="G126" s="394">
        <f>$G$16</f>
        <v>1</v>
      </c>
      <c r="H126" s="395">
        <f>$H$125</f>
        <v>0.50419999999999998</v>
      </c>
      <c r="I126" s="842">
        <f>F126*G126*H126</f>
        <v>0</v>
      </c>
      <c r="K126" s="364">
        <f>[4]Reserve!$C$84</f>
        <v>0</v>
      </c>
      <c r="L126" s="394">
        <f t="shared" si="40"/>
        <v>1</v>
      </c>
      <c r="M126" s="395">
        <f t="shared" si="40"/>
        <v>0.50419999999999998</v>
      </c>
      <c r="N126" s="842">
        <f>K126*L126*M126</f>
        <v>0</v>
      </c>
    </row>
    <row r="127" spans="1:19">
      <c r="A127" s="112">
        <f t="shared" si="28"/>
        <v>113</v>
      </c>
      <c r="B127" s="431"/>
      <c r="C127" s="80"/>
      <c r="D127" s="499"/>
      <c r="E127" s="499"/>
      <c r="F127" s="499"/>
      <c r="K127" s="853"/>
    </row>
    <row r="128" spans="1:19">
      <c r="A128" s="112">
        <f t="shared" si="28"/>
        <v>114</v>
      </c>
      <c r="B128" s="570"/>
      <c r="C128" s="80" t="s">
        <v>296</v>
      </c>
      <c r="D128" s="304">
        <f>SUM(D125:D127)</f>
        <v>0</v>
      </c>
      <c r="E128" s="304">
        <f>SUM(E125:E127)</f>
        <v>0</v>
      </c>
      <c r="F128" s="304">
        <f>SUM(F125:F127)</f>
        <v>0</v>
      </c>
      <c r="G128" s="394"/>
      <c r="H128" s="394"/>
      <c r="I128" s="304">
        <f>SUM(I125:I127)</f>
        <v>0</v>
      </c>
      <c r="K128" s="304">
        <f>SUM(K125:K127)</f>
        <v>0</v>
      </c>
      <c r="N128" s="304">
        <f>SUM(N125:N127)</f>
        <v>0</v>
      </c>
    </row>
    <row r="129" spans="1:14">
      <c r="A129" s="112">
        <f t="shared" si="28"/>
        <v>115</v>
      </c>
      <c r="B129" s="855"/>
    </row>
    <row r="130" spans="1:14">
      <c r="A130" s="112">
        <f t="shared" si="28"/>
        <v>116</v>
      </c>
      <c r="B130" s="570"/>
      <c r="C130" s="500" t="s">
        <v>297</v>
      </c>
    </row>
    <row r="131" spans="1:14">
      <c r="A131" s="112">
        <f t="shared" si="28"/>
        <v>117</v>
      </c>
      <c r="B131" s="431">
        <v>37400</v>
      </c>
      <c r="C131" s="80" t="s">
        <v>1128</v>
      </c>
      <c r="D131" s="304">
        <v>0</v>
      </c>
      <c r="E131" s="304">
        <v>0</v>
      </c>
      <c r="F131" s="304">
        <f t="shared" ref="F131:F151" si="41">D131+E131</f>
        <v>0</v>
      </c>
      <c r="G131" s="394">
        <f t="shared" ref="G131:G151" si="42">$G$16</f>
        <v>1</v>
      </c>
      <c r="H131" s="395">
        <f t="shared" ref="H131:H151" si="43">$H$125</f>
        <v>0.50419999999999998</v>
      </c>
      <c r="I131" s="304">
        <f t="shared" ref="I131:I151" si="44">F131*G131*H131</f>
        <v>0</v>
      </c>
      <c r="K131" s="304">
        <v>0</v>
      </c>
      <c r="L131" s="394">
        <f t="shared" ref="L131:L151" si="45">G131</f>
        <v>1</v>
      </c>
      <c r="M131" s="395">
        <f t="shared" ref="M131:M151" si="46">H131</f>
        <v>0.50419999999999998</v>
      </c>
      <c r="N131" s="304">
        <f t="shared" ref="N131:N151" si="47">K131*L131*M131</f>
        <v>0</v>
      </c>
    </row>
    <row r="132" spans="1:14">
      <c r="A132" s="112">
        <f t="shared" si="28"/>
        <v>118</v>
      </c>
      <c r="B132" s="431">
        <v>35010</v>
      </c>
      <c r="C132" s="80" t="s">
        <v>290</v>
      </c>
      <c r="D132" s="364">
        <v>0</v>
      </c>
      <c r="E132" s="364">
        <v>0</v>
      </c>
      <c r="F132" s="364">
        <f t="shared" si="41"/>
        <v>0</v>
      </c>
      <c r="G132" s="394">
        <f t="shared" si="42"/>
        <v>1</v>
      </c>
      <c r="H132" s="395">
        <f t="shared" si="43"/>
        <v>0.50419999999999998</v>
      </c>
      <c r="I132" s="364">
        <f t="shared" si="44"/>
        <v>0</v>
      </c>
      <c r="K132" s="364">
        <v>0</v>
      </c>
      <c r="L132" s="394">
        <f t="shared" si="45"/>
        <v>1</v>
      </c>
      <c r="M132" s="395">
        <f t="shared" si="46"/>
        <v>0.50419999999999998</v>
      </c>
      <c r="N132" s="364">
        <f t="shared" si="47"/>
        <v>0</v>
      </c>
    </row>
    <row r="133" spans="1:14">
      <c r="A133" s="112">
        <f t="shared" si="28"/>
        <v>119</v>
      </c>
      <c r="B133" s="431">
        <v>37402</v>
      </c>
      <c r="C133" s="80" t="s">
        <v>986</v>
      </c>
      <c r="D133" s="364">
        <v>0</v>
      </c>
      <c r="E133" s="364">
        <v>0</v>
      </c>
      <c r="F133" s="364">
        <f t="shared" si="41"/>
        <v>0</v>
      </c>
      <c r="G133" s="394">
        <f t="shared" si="42"/>
        <v>1</v>
      </c>
      <c r="H133" s="395">
        <f t="shared" si="43"/>
        <v>0.50419999999999998</v>
      </c>
      <c r="I133" s="364">
        <f t="shared" si="44"/>
        <v>0</v>
      </c>
      <c r="K133" s="364">
        <v>0</v>
      </c>
      <c r="L133" s="394">
        <f t="shared" si="45"/>
        <v>1</v>
      </c>
      <c r="M133" s="395">
        <f t="shared" si="46"/>
        <v>0.50419999999999998</v>
      </c>
      <c r="N133" s="364">
        <f t="shared" si="47"/>
        <v>0</v>
      </c>
    </row>
    <row r="134" spans="1:14">
      <c r="A134" s="112">
        <f t="shared" si="28"/>
        <v>120</v>
      </c>
      <c r="B134" s="431">
        <v>37403</v>
      </c>
      <c r="C134" s="80" t="s">
        <v>983</v>
      </c>
      <c r="D134" s="364">
        <v>0</v>
      </c>
      <c r="E134" s="364">
        <v>0</v>
      </c>
      <c r="F134" s="364">
        <f t="shared" si="41"/>
        <v>0</v>
      </c>
      <c r="G134" s="394">
        <f t="shared" si="42"/>
        <v>1</v>
      </c>
      <c r="H134" s="395">
        <f t="shared" si="43"/>
        <v>0.50419999999999998</v>
      </c>
      <c r="I134" s="364">
        <f t="shared" si="44"/>
        <v>0</v>
      </c>
      <c r="K134" s="364">
        <v>0</v>
      </c>
      <c r="L134" s="394">
        <f t="shared" si="45"/>
        <v>1</v>
      </c>
      <c r="M134" s="395">
        <f t="shared" si="46"/>
        <v>0.50419999999999998</v>
      </c>
      <c r="N134" s="364">
        <f t="shared" si="47"/>
        <v>0</v>
      </c>
    </row>
    <row r="135" spans="1:14">
      <c r="A135" s="112">
        <f t="shared" si="28"/>
        <v>121</v>
      </c>
      <c r="B135" s="431">
        <v>36602</v>
      </c>
      <c r="C135" s="80" t="s">
        <v>848</v>
      </c>
      <c r="D135" s="364">
        <v>0</v>
      </c>
      <c r="E135" s="364">
        <v>0</v>
      </c>
      <c r="F135" s="364">
        <f t="shared" si="41"/>
        <v>0</v>
      </c>
      <c r="G135" s="394">
        <f t="shared" si="42"/>
        <v>1</v>
      </c>
      <c r="H135" s="395">
        <f t="shared" si="43"/>
        <v>0.50419999999999998</v>
      </c>
      <c r="I135" s="364">
        <f t="shared" si="44"/>
        <v>0</v>
      </c>
      <c r="K135" s="364">
        <v>0</v>
      </c>
      <c r="L135" s="394">
        <f t="shared" si="45"/>
        <v>1</v>
      </c>
      <c r="M135" s="395">
        <f t="shared" si="46"/>
        <v>0.50419999999999998</v>
      </c>
      <c r="N135" s="364">
        <f t="shared" si="47"/>
        <v>0</v>
      </c>
    </row>
    <row r="136" spans="1:14">
      <c r="A136" s="112">
        <f t="shared" si="28"/>
        <v>122</v>
      </c>
      <c r="B136" s="431">
        <v>37501</v>
      </c>
      <c r="C136" s="80" t="s">
        <v>984</v>
      </c>
      <c r="D136" s="364">
        <v>0</v>
      </c>
      <c r="E136" s="364">
        <v>0</v>
      </c>
      <c r="F136" s="364">
        <f t="shared" si="41"/>
        <v>0</v>
      </c>
      <c r="G136" s="394">
        <f t="shared" si="42"/>
        <v>1</v>
      </c>
      <c r="H136" s="395">
        <f t="shared" si="43"/>
        <v>0.50419999999999998</v>
      </c>
      <c r="I136" s="364">
        <f t="shared" si="44"/>
        <v>0</v>
      </c>
      <c r="K136" s="364">
        <v>0</v>
      </c>
      <c r="L136" s="394">
        <f t="shared" si="45"/>
        <v>1</v>
      </c>
      <c r="M136" s="395">
        <f t="shared" si="46"/>
        <v>0.50419999999999998</v>
      </c>
      <c r="N136" s="364">
        <f t="shared" si="47"/>
        <v>0</v>
      </c>
    </row>
    <row r="137" spans="1:14">
      <c r="A137" s="112">
        <f t="shared" si="28"/>
        <v>123</v>
      </c>
      <c r="B137" s="431">
        <v>37402</v>
      </c>
      <c r="C137" s="80" t="s">
        <v>986</v>
      </c>
      <c r="D137" s="364">
        <v>0</v>
      </c>
      <c r="E137" s="364">
        <v>0</v>
      </c>
      <c r="F137" s="364">
        <f t="shared" si="41"/>
        <v>0</v>
      </c>
      <c r="G137" s="394">
        <f t="shared" si="42"/>
        <v>1</v>
      </c>
      <c r="H137" s="395">
        <f t="shared" si="43"/>
        <v>0.50419999999999998</v>
      </c>
      <c r="I137" s="364">
        <f t="shared" si="44"/>
        <v>0</v>
      </c>
      <c r="K137" s="364">
        <v>0</v>
      </c>
      <c r="L137" s="394">
        <f t="shared" si="45"/>
        <v>1</v>
      </c>
      <c r="M137" s="395">
        <f t="shared" si="46"/>
        <v>0.50419999999999998</v>
      </c>
      <c r="N137" s="364">
        <f t="shared" si="47"/>
        <v>0</v>
      </c>
    </row>
    <row r="138" spans="1:14">
      <c r="A138" s="112">
        <f t="shared" si="28"/>
        <v>124</v>
      </c>
      <c r="B138" s="431">
        <v>37503</v>
      </c>
      <c r="C138" s="80" t="s">
        <v>985</v>
      </c>
      <c r="D138" s="364">
        <v>0</v>
      </c>
      <c r="E138" s="364">
        <v>0</v>
      </c>
      <c r="F138" s="364">
        <f t="shared" si="41"/>
        <v>0</v>
      </c>
      <c r="G138" s="394">
        <f t="shared" si="42"/>
        <v>1</v>
      </c>
      <c r="H138" s="395">
        <f t="shared" si="43"/>
        <v>0.50419999999999998</v>
      </c>
      <c r="I138" s="364">
        <f t="shared" si="44"/>
        <v>0</v>
      </c>
      <c r="K138" s="364">
        <v>0</v>
      </c>
      <c r="L138" s="394">
        <f t="shared" si="45"/>
        <v>1</v>
      </c>
      <c r="M138" s="395">
        <f t="shared" si="46"/>
        <v>0.50419999999999998</v>
      </c>
      <c r="N138" s="364">
        <f t="shared" si="47"/>
        <v>0</v>
      </c>
    </row>
    <row r="139" spans="1:14">
      <c r="A139" s="112">
        <f t="shared" si="28"/>
        <v>125</v>
      </c>
      <c r="B139" s="431">
        <v>36700</v>
      </c>
      <c r="C139" s="80" t="s">
        <v>836</v>
      </c>
      <c r="D139" s="364">
        <v>0</v>
      </c>
      <c r="E139" s="364">
        <v>0</v>
      </c>
      <c r="F139" s="364">
        <f t="shared" si="41"/>
        <v>0</v>
      </c>
      <c r="G139" s="394">
        <f t="shared" si="42"/>
        <v>1</v>
      </c>
      <c r="H139" s="395">
        <f t="shared" si="43"/>
        <v>0.50419999999999998</v>
      </c>
      <c r="I139" s="364">
        <f t="shared" si="44"/>
        <v>0</v>
      </c>
      <c r="K139" s="364">
        <v>0</v>
      </c>
      <c r="L139" s="394">
        <f t="shared" si="45"/>
        <v>1</v>
      </c>
      <c r="M139" s="395">
        <f t="shared" si="46"/>
        <v>0.50419999999999998</v>
      </c>
      <c r="N139" s="364">
        <f t="shared" si="47"/>
        <v>0</v>
      </c>
    </row>
    <row r="140" spans="1:14">
      <c r="A140" s="112">
        <f t="shared" si="28"/>
        <v>126</v>
      </c>
      <c r="B140" s="431">
        <v>36701</v>
      </c>
      <c r="C140" s="80" t="s">
        <v>16</v>
      </c>
      <c r="D140" s="364">
        <v>0</v>
      </c>
      <c r="E140" s="364">
        <v>0</v>
      </c>
      <c r="F140" s="364">
        <f t="shared" si="41"/>
        <v>0</v>
      </c>
      <c r="G140" s="394">
        <f t="shared" si="42"/>
        <v>1</v>
      </c>
      <c r="H140" s="395">
        <f t="shared" si="43"/>
        <v>0.50419999999999998</v>
      </c>
      <c r="I140" s="364">
        <f t="shared" si="44"/>
        <v>0</v>
      </c>
      <c r="K140" s="364">
        <v>0</v>
      </c>
      <c r="L140" s="394">
        <f t="shared" si="45"/>
        <v>1</v>
      </c>
      <c r="M140" s="395">
        <f t="shared" si="46"/>
        <v>0.50419999999999998</v>
      </c>
      <c r="N140" s="364">
        <f t="shared" si="47"/>
        <v>0</v>
      </c>
    </row>
    <row r="141" spans="1:14">
      <c r="A141" s="112">
        <f t="shared" si="28"/>
        <v>127</v>
      </c>
      <c r="B141" s="431">
        <v>37602</v>
      </c>
      <c r="C141" s="80" t="s">
        <v>837</v>
      </c>
      <c r="D141" s="364">
        <v>0</v>
      </c>
      <c r="E141" s="364">
        <v>0</v>
      </c>
      <c r="F141" s="364">
        <f t="shared" si="41"/>
        <v>0</v>
      </c>
      <c r="G141" s="394">
        <f t="shared" si="42"/>
        <v>1</v>
      </c>
      <c r="H141" s="395">
        <f t="shared" si="43"/>
        <v>0.50419999999999998</v>
      </c>
      <c r="I141" s="364">
        <f t="shared" si="44"/>
        <v>0</v>
      </c>
      <c r="K141" s="364">
        <v>0</v>
      </c>
      <c r="L141" s="394">
        <f t="shared" si="45"/>
        <v>1</v>
      </c>
      <c r="M141" s="395">
        <f t="shared" si="46"/>
        <v>0.50419999999999998</v>
      </c>
      <c r="N141" s="364">
        <f t="shared" si="47"/>
        <v>0</v>
      </c>
    </row>
    <row r="142" spans="1:14">
      <c r="A142" s="112">
        <f t="shared" si="28"/>
        <v>128</v>
      </c>
      <c r="B142" s="431">
        <v>37800</v>
      </c>
      <c r="C142" s="80" t="s">
        <v>228</v>
      </c>
      <c r="D142" s="364">
        <v>0</v>
      </c>
      <c r="E142" s="364">
        <v>0</v>
      </c>
      <c r="F142" s="364">
        <f t="shared" si="41"/>
        <v>0</v>
      </c>
      <c r="G142" s="394">
        <f t="shared" si="42"/>
        <v>1</v>
      </c>
      <c r="H142" s="395">
        <f t="shared" si="43"/>
        <v>0.50419999999999998</v>
      </c>
      <c r="I142" s="364">
        <f t="shared" si="44"/>
        <v>0</v>
      </c>
      <c r="K142" s="364">
        <v>0</v>
      </c>
      <c r="L142" s="394">
        <f t="shared" si="45"/>
        <v>1</v>
      </c>
      <c r="M142" s="395">
        <f t="shared" si="46"/>
        <v>0.50419999999999998</v>
      </c>
      <c r="N142" s="364">
        <f t="shared" si="47"/>
        <v>0</v>
      </c>
    </row>
    <row r="143" spans="1:14">
      <c r="A143" s="112">
        <f t="shared" si="28"/>
        <v>129</v>
      </c>
      <c r="B143" s="431">
        <v>37900</v>
      </c>
      <c r="C143" s="80" t="s">
        <v>1171</v>
      </c>
      <c r="D143" s="364">
        <v>0</v>
      </c>
      <c r="E143" s="364">
        <v>0</v>
      </c>
      <c r="F143" s="364">
        <f t="shared" si="41"/>
        <v>0</v>
      </c>
      <c r="G143" s="394">
        <f t="shared" si="42"/>
        <v>1</v>
      </c>
      <c r="H143" s="395">
        <f t="shared" si="43"/>
        <v>0.50419999999999998</v>
      </c>
      <c r="I143" s="364">
        <f t="shared" si="44"/>
        <v>0</v>
      </c>
      <c r="K143" s="364">
        <v>0</v>
      </c>
      <c r="L143" s="394">
        <f t="shared" si="45"/>
        <v>1</v>
      </c>
      <c r="M143" s="395">
        <f t="shared" si="46"/>
        <v>0.50419999999999998</v>
      </c>
      <c r="N143" s="364">
        <f t="shared" si="47"/>
        <v>0</v>
      </c>
    </row>
    <row r="144" spans="1:14">
      <c r="A144" s="112">
        <f t="shared" si="28"/>
        <v>130</v>
      </c>
      <c r="B144" s="431">
        <v>37905</v>
      </c>
      <c r="C144" s="80" t="s">
        <v>720</v>
      </c>
      <c r="D144" s="364">
        <v>0</v>
      </c>
      <c r="E144" s="364">
        <v>0</v>
      </c>
      <c r="F144" s="364">
        <f t="shared" si="41"/>
        <v>0</v>
      </c>
      <c r="G144" s="394">
        <f t="shared" si="42"/>
        <v>1</v>
      </c>
      <c r="H144" s="395">
        <f t="shared" si="43"/>
        <v>0.50419999999999998</v>
      </c>
      <c r="I144" s="364">
        <f t="shared" si="44"/>
        <v>0</v>
      </c>
      <c r="K144" s="364">
        <v>0</v>
      </c>
      <c r="L144" s="394">
        <f t="shared" si="45"/>
        <v>1</v>
      </c>
      <c r="M144" s="395">
        <f t="shared" si="46"/>
        <v>0.50419999999999998</v>
      </c>
      <c r="N144" s="364">
        <f t="shared" si="47"/>
        <v>0</v>
      </c>
    </row>
    <row r="145" spans="1:19">
      <c r="A145" s="112">
        <f t="shared" si="28"/>
        <v>131</v>
      </c>
      <c r="B145" s="431">
        <v>38000</v>
      </c>
      <c r="C145" s="80" t="s">
        <v>1036</v>
      </c>
      <c r="D145" s="364">
        <v>0</v>
      </c>
      <c r="E145" s="364">
        <v>0</v>
      </c>
      <c r="F145" s="364">
        <f t="shared" si="41"/>
        <v>0</v>
      </c>
      <c r="G145" s="394">
        <f t="shared" si="42"/>
        <v>1</v>
      </c>
      <c r="H145" s="395">
        <f t="shared" si="43"/>
        <v>0.50419999999999998</v>
      </c>
      <c r="I145" s="364">
        <f t="shared" si="44"/>
        <v>0</v>
      </c>
      <c r="K145" s="364">
        <v>0</v>
      </c>
      <c r="L145" s="394">
        <f t="shared" si="45"/>
        <v>1</v>
      </c>
      <c r="M145" s="395">
        <f t="shared" si="46"/>
        <v>0.50419999999999998</v>
      </c>
      <c r="N145" s="364">
        <f t="shared" si="47"/>
        <v>0</v>
      </c>
    </row>
    <row r="146" spans="1:19">
      <c r="A146" s="112">
        <f t="shared" si="28"/>
        <v>132</v>
      </c>
      <c r="B146" s="431">
        <v>38100</v>
      </c>
      <c r="C146" s="80" t="s">
        <v>838</v>
      </c>
      <c r="D146" s="364">
        <v>0</v>
      </c>
      <c r="E146" s="364">
        <v>0</v>
      </c>
      <c r="F146" s="364">
        <f t="shared" si="41"/>
        <v>0</v>
      </c>
      <c r="G146" s="394">
        <f t="shared" si="42"/>
        <v>1</v>
      </c>
      <c r="H146" s="395">
        <f t="shared" si="43"/>
        <v>0.50419999999999998</v>
      </c>
      <c r="I146" s="364">
        <f t="shared" si="44"/>
        <v>0</v>
      </c>
      <c r="K146" s="364">
        <v>0</v>
      </c>
      <c r="L146" s="394">
        <f t="shared" si="45"/>
        <v>1</v>
      </c>
      <c r="M146" s="395">
        <f t="shared" si="46"/>
        <v>0.50419999999999998</v>
      </c>
      <c r="N146" s="364">
        <f t="shared" si="47"/>
        <v>0</v>
      </c>
    </row>
    <row r="147" spans="1:19">
      <c r="A147" s="112">
        <f t="shared" si="28"/>
        <v>133</v>
      </c>
      <c r="B147" s="431">
        <v>38200</v>
      </c>
      <c r="C147" s="80" t="s">
        <v>438</v>
      </c>
      <c r="D147" s="364">
        <v>0</v>
      </c>
      <c r="E147" s="364">
        <v>0</v>
      </c>
      <c r="F147" s="364">
        <f t="shared" si="41"/>
        <v>0</v>
      </c>
      <c r="G147" s="394">
        <f t="shared" si="42"/>
        <v>1</v>
      </c>
      <c r="H147" s="395">
        <f t="shared" si="43"/>
        <v>0.50419999999999998</v>
      </c>
      <c r="I147" s="364">
        <f t="shared" si="44"/>
        <v>0</v>
      </c>
      <c r="K147" s="364">
        <v>0</v>
      </c>
      <c r="L147" s="394">
        <f t="shared" si="45"/>
        <v>1</v>
      </c>
      <c r="M147" s="395">
        <f t="shared" si="46"/>
        <v>0.50419999999999998</v>
      </c>
      <c r="N147" s="364">
        <f t="shared" si="47"/>
        <v>0</v>
      </c>
    </row>
    <row r="148" spans="1:19">
      <c r="A148" s="112">
        <f t="shared" ref="A148:A211" si="48">A147+1</f>
        <v>134</v>
      </c>
      <c r="B148" s="431">
        <v>38300</v>
      </c>
      <c r="C148" s="80" t="s">
        <v>1037</v>
      </c>
      <c r="D148" s="364">
        <v>0</v>
      </c>
      <c r="E148" s="364">
        <v>0</v>
      </c>
      <c r="F148" s="364">
        <f t="shared" si="41"/>
        <v>0</v>
      </c>
      <c r="G148" s="394">
        <f t="shared" si="42"/>
        <v>1</v>
      </c>
      <c r="H148" s="395">
        <f t="shared" si="43"/>
        <v>0.50419999999999998</v>
      </c>
      <c r="I148" s="364">
        <f t="shared" si="44"/>
        <v>0</v>
      </c>
      <c r="K148" s="364">
        <v>0</v>
      </c>
      <c r="L148" s="394">
        <f t="shared" si="45"/>
        <v>1</v>
      </c>
      <c r="M148" s="395">
        <f t="shared" si="46"/>
        <v>0.50419999999999998</v>
      </c>
      <c r="N148" s="364">
        <f t="shared" si="47"/>
        <v>0</v>
      </c>
    </row>
    <row r="149" spans="1:19">
      <c r="A149" s="112">
        <f t="shared" si="48"/>
        <v>135</v>
      </c>
      <c r="B149" s="431">
        <v>38400</v>
      </c>
      <c r="C149" s="80" t="s">
        <v>439</v>
      </c>
      <c r="D149" s="364">
        <v>0</v>
      </c>
      <c r="E149" s="364">
        <v>0</v>
      </c>
      <c r="F149" s="364">
        <f t="shared" si="41"/>
        <v>0</v>
      </c>
      <c r="G149" s="394">
        <f t="shared" si="42"/>
        <v>1</v>
      </c>
      <c r="H149" s="395">
        <f t="shared" si="43"/>
        <v>0.50419999999999998</v>
      </c>
      <c r="I149" s="364">
        <f t="shared" si="44"/>
        <v>0</v>
      </c>
      <c r="K149" s="364">
        <v>0</v>
      </c>
      <c r="L149" s="394">
        <f t="shared" si="45"/>
        <v>1</v>
      </c>
      <c r="M149" s="395">
        <f t="shared" si="46"/>
        <v>0.50419999999999998</v>
      </c>
      <c r="N149" s="364">
        <f t="shared" si="47"/>
        <v>0</v>
      </c>
    </row>
    <row r="150" spans="1:19">
      <c r="A150" s="112">
        <f t="shared" si="48"/>
        <v>136</v>
      </c>
      <c r="B150" s="431">
        <v>38500</v>
      </c>
      <c r="C150" s="80" t="s">
        <v>440</v>
      </c>
      <c r="D150" s="364">
        <v>0</v>
      </c>
      <c r="E150" s="364">
        <v>0</v>
      </c>
      <c r="F150" s="364">
        <f t="shared" si="41"/>
        <v>0</v>
      </c>
      <c r="G150" s="394">
        <f t="shared" si="42"/>
        <v>1</v>
      </c>
      <c r="H150" s="395">
        <f t="shared" si="43"/>
        <v>0.50419999999999998</v>
      </c>
      <c r="I150" s="364">
        <f t="shared" si="44"/>
        <v>0</v>
      </c>
      <c r="K150" s="364">
        <v>0</v>
      </c>
      <c r="L150" s="394">
        <f t="shared" si="45"/>
        <v>1</v>
      </c>
      <c r="M150" s="395">
        <f t="shared" si="46"/>
        <v>0.50419999999999998</v>
      </c>
      <c r="N150" s="364">
        <f t="shared" si="47"/>
        <v>0</v>
      </c>
    </row>
    <row r="151" spans="1:19">
      <c r="A151" s="112">
        <f t="shared" si="48"/>
        <v>137</v>
      </c>
      <c r="B151" s="431">
        <v>38600</v>
      </c>
      <c r="C151" s="80" t="s">
        <v>105</v>
      </c>
      <c r="D151" s="842">
        <v>0</v>
      </c>
      <c r="E151" s="842">
        <v>0</v>
      </c>
      <c r="F151" s="842">
        <f t="shared" si="41"/>
        <v>0</v>
      </c>
      <c r="G151" s="394">
        <f t="shared" si="42"/>
        <v>1</v>
      </c>
      <c r="H151" s="395">
        <f t="shared" si="43"/>
        <v>0.50419999999999998</v>
      </c>
      <c r="I151" s="842">
        <f t="shared" si="44"/>
        <v>0</v>
      </c>
      <c r="K151" s="842">
        <v>0</v>
      </c>
      <c r="L151" s="394">
        <f t="shared" si="45"/>
        <v>1</v>
      </c>
      <c r="M151" s="395">
        <f t="shared" si="46"/>
        <v>0.50419999999999998</v>
      </c>
      <c r="N151" s="842">
        <f t="shared" si="47"/>
        <v>0</v>
      </c>
    </row>
    <row r="152" spans="1:19">
      <c r="A152" s="112">
        <f t="shared" si="48"/>
        <v>138</v>
      </c>
      <c r="B152" s="431"/>
      <c r="C152" s="80"/>
      <c r="K152" s="499"/>
      <c r="M152" s="395"/>
    </row>
    <row r="153" spans="1:19">
      <c r="A153" s="112">
        <f t="shared" si="48"/>
        <v>139</v>
      </c>
      <c r="B153" s="431"/>
      <c r="C153" s="80" t="s">
        <v>298</v>
      </c>
      <c r="D153" s="304">
        <f>SUM(D131:D152)</f>
        <v>0</v>
      </c>
      <c r="E153" s="304">
        <f>SUM(E131:E152)</f>
        <v>0</v>
      </c>
      <c r="F153" s="304">
        <f>SUM(F131:F152)</f>
        <v>0</v>
      </c>
      <c r="I153" s="304">
        <f>SUM(I131:I152)</f>
        <v>0</v>
      </c>
      <c r="K153" s="304">
        <f>SUM(K131:K152)</f>
        <v>0</v>
      </c>
      <c r="M153" s="395"/>
      <c r="N153" s="304">
        <f>SUM(N131:N152)</f>
        <v>0</v>
      </c>
    </row>
    <row r="154" spans="1:19">
      <c r="A154" s="112">
        <f t="shared" si="48"/>
        <v>140</v>
      </c>
      <c r="B154" s="431"/>
      <c r="C154" s="80"/>
      <c r="M154" s="395"/>
    </row>
    <row r="155" spans="1:19">
      <c r="A155" s="112">
        <f t="shared" si="48"/>
        <v>141</v>
      </c>
      <c r="B155" s="570"/>
      <c r="C155" s="500" t="s">
        <v>299</v>
      </c>
      <c r="M155" s="395"/>
    </row>
    <row r="156" spans="1:19">
      <c r="A156" s="112">
        <f t="shared" si="48"/>
        <v>142</v>
      </c>
      <c r="B156" s="431">
        <v>39001</v>
      </c>
      <c r="C156" s="80" t="s">
        <v>1483</v>
      </c>
      <c r="D156" s="304">
        <f>[4]Reserve!Q86</f>
        <v>98667.610722000041</v>
      </c>
      <c r="E156" s="502">
        <v>0</v>
      </c>
      <c r="F156" s="304">
        <f t="shared" ref="F156:F176" si="49">D156+E156</f>
        <v>98667.610722000041</v>
      </c>
      <c r="G156" s="395">
        <f t="shared" ref="G156:G177" si="50">$G$16</f>
        <v>1</v>
      </c>
      <c r="H156" s="395">
        <f t="shared" ref="H156:H177" si="51">$H$125</f>
        <v>0.50419999999999998</v>
      </c>
      <c r="I156" s="364">
        <f t="shared" ref="I156:I177" si="52">F156*G156*H156</f>
        <v>49748.209326032418</v>
      </c>
      <c r="K156" s="304">
        <f>[4]Reserve!C86</f>
        <v>96452.777502076933</v>
      </c>
      <c r="L156" s="395">
        <f t="shared" ref="L156:L177" si="53">G156</f>
        <v>1</v>
      </c>
      <c r="M156" s="395">
        <f t="shared" ref="M156:M177" si="54">H156</f>
        <v>0.50419999999999998</v>
      </c>
      <c r="N156" s="304">
        <f t="shared" ref="N156:N177" si="55">K156*L156*M156</f>
        <v>48631.490416547189</v>
      </c>
      <c r="P156" s="431"/>
      <c r="R156" s="358"/>
      <c r="S156" s="358"/>
    </row>
    <row r="157" spans="1:19">
      <c r="A157" s="112">
        <f t="shared" si="48"/>
        <v>143</v>
      </c>
      <c r="B157" s="431">
        <v>39004</v>
      </c>
      <c r="C157" s="80" t="s">
        <v>1467</v>
      </c>
      <c r="D157" s="364">
        <f>[4]Reserve!Q87</f>
        <v>11863.422706500005</v>
      </c>
      <c r="E157" s="364">
        <v>0</v>
      </c>
      <c r="F157" s="364">
        <f t="shared" si="49"/>
        <v>11863.422706500005</v>
      </c>
      <c r="G157" s="394">
        <f t="shared" si="50"/>
        <v>1</v>
      </c>
      <c r="H157" s="395">
        <f t="shared" si="51"/>
        <v>0.50419999999999998</v>
      </c>
      <c r="I157" s="364">
        <f t="shared" si="52"/>
        <v>5981.5377286173025</v>
      </c>
      <c r="K157" s="364">
        <f>[4]Reserve!C87</f>
        <v>11368.833420980771</v>
      </c>
      <c r="L157" s="394">
        <f t="shared" si="53"/>
        <v>1</v>
      </c>
      <c r="M157" s="395">
        <f t="shared" si="54"/>
        <v>0.50419999999999998</v>
      </c>
      <c r="N157" s="364">
        <f t="shared" si="55"/>
        <v>5732.1658108585043</v>
      </c>
      <c r="P157" s="431"/>
      <c r="R157" s="358"/>
      <c r="S157" s="358"/>
    </row>
    <row r="158" spans="1:19">
      <c r="A158" s="112">
        <f t="shared" si="48"/>
        <v>144</v>
      </c>
      <c r="B158" s="431">
        <v>39009</v>
      </c>
      <c r="C158" s="80" t="s">
        <v>1468</v>
      </c>
      <c r="D158" s="364">
        <f>[4]Reserve!Q88</f>
        <v>38834</v>
      </c>
      <c r="E158" s="364">
        <v>0</v>
      </c>
      <c r="F158" s="364">
        <f t="shared" si="49"/>
        <v>38834</v>
      </c>
      <c r="G158" s="394">
        <f t="shared" si="50"/>
        <v>1</v>
      </c>
      <c r="H158" s="395">
        <f t="shared" si="51"/>
        <v>0.50419999999999998</v>
      </c>
      <c r="I158" s="364">
        <f t="shared" si="52"/>
        <v>19580.102800000001</v>
      </c>
      <c r="K158" s="364">
        <f>[4]Reserve!C88</f>
        <v>38834</v>
      </c>
      <c r="L158" s="394">
        <f t="shared" si="53"/>
        <v>1</v>
      </c>
      <c r="M158" s="395">
        <f t="shared" si="54"/>
        <v>0.50419999999999998</v>
      </c>
      <c r="N158" s="364">
        <f t="shared" si="55"/>
        <v>19580.102800000001</v>
      </c>
      <c r="P158" s="431"/>
      <c r="R158" s="358"/>
      <c r="S158" s="358"/>
    </row>
    <row r="159" spans="1:19">
      <c r="A159" s="112">
        <f t="shared" si="48"/>
        <v>145</v>
      </c>
      <c r="B159" s="431">
        <v>39100</v>
      </c>
      <c r="C159" s="80" t="s">
        <v>1469</v>
      </c>
      <c r="D159" s="364">
        <f>[4]Reserve!Q89</f>
        <v>2716.2882500000014</v>
      </c>
      <c r="E159" s="364">
        <v>0</v>
      </c>
      <c r="F159" s="364">
        <f t="shared" si="49"/>
        <v>2716.2882500000014</v>
      </c>
      <c r="G159" s="394">
        <f t="shared" si="50"/>
        <v>1</v>
      </c>
      <c r="H159" s="395">
        <f t="shared" si="51"/>
        <v>0.50419999999999998</v>
      </c>
      <c r="I159" s="364">
        <f t="shared" si="52"/>
        <v>1369.5525356500007</v>
      </c>
      <c r="K159" s="364">
        <f>[4]Reserve!C89</f>
        <v>2971.0610673076926</v>
      </c>
      <c r="L159" s="394">
        <f t="shared" ref="L159:L164" si="56">G159</f>
        <v>1</v>
      </c>
      <c r="M159" s="395">
        <f t="shared" ref="M159:M164" si="57">H159</f>
        <v>0.50419999999999998</v>
      </c>
      <c r="N159" s="364">
        <f t="shared" si="55"/>
        <v>1498.0089901365386</v>
      </c>
      <c r="P159" s="431"/>
      <c r="R159" s="358"/>
      <c r="S159" s="358"/>
    </row>
    <row r="160" spans="1:19">
      <c r="A160" s="112">
        <f t="shared" si="48"/>
        <v>146</v>
      </c>
      <c r="B160" s="431">
        <v>39101</v>
      </c>
      <c r="C160" s="80" t="s">
        <v>1439</v>
      </c>
      <c r="D160" s="364">
        <f>[4]Reserve!Q90</f>
        <v>0</v>
      </c>
      <c r="E160" s="364">
        <v>0</v>
      </c>
      <c r="F160" s="364">
        <f t="shared" si="49"/>
        <v>0</v>
      </c>
      <c r="G160" s="394">
        <f t="shared" si="50"/>
        <v>1</v>
      </c>
      <c r="H160" s="395">
        <f t="shared" si="51"/>
        <v>0.50419999999999998</v>
      </c>
      <c r="I160" s="364">
        <f t="shared" si="52"/>
        <v>0</v>
      </c>
      <c r="K160" s="364">
        <f>[4]Reserve!C90</f>
        <v>0</v>
      </c>
      <c r="L160" s="394">
        <f t="shared" si="56"/>
        <v>1</v>
      </c>
      <c r="M160" s="395">
        <f t="shared" si="57"/>
        <v>0.50419999999999998</v>
      </c>
      <c r="N160" s="364">
        <f t="shared" si="55"/>
        <v>0</v>
      </c>
      <c r="P160" s="431"/>
      <c r="R160" s="358"/>
      <c r="S160" s="358"/>
    </row>
    <row r="161" spans="1:19">
      <c r="A161" s="112">
        <f t="shared" si="48"/>
        <v>147</v>
      </c>
      <c r="B161" s="431">
        <v>39103</v>
      </c>
      <c r="C161" s="80" t="s">
        <v>773</v>
      </c>
      <c r="D161" s="364">
        <f>[4]Reserve!Q91</f>
        <v>0</v>
      </c>
      <c r="E161" s="364">
        <v>0</v>
      </c>
      <c r="F161" s="364">
        <f t="shared" si="49"/>
        <v>0</v>
      </c>
      <c r="G161" s="394">
        <f t="shared" si="50"/>
        <v>1</v>
      </c>
      <c r="H161" s="395">
        <f t="shared" si="51"/>
        <v>0.50419999999999998</v>
      </c>
      <c r="I161" s="364">
        <f t="shared" si="52"/>
        <v>0</v>
      </c>
      <c r="K161" s="364">
        <f>[4]Reserve!C91</f>
        <v>0</v>
      </c>
      <c r="L161" s="394">
        <f t="shared" si="56"/>
        <v>1</v>
      </c>
      <c r="M161" s="395">
        <f t="shared" si="57"/>
        <v>0.50419999999999998</v>
      </c>
      <c r="N161" s="364">
        <f t="shared" si="55"/>
        <v>0</v>
      </c>
      <c r="P161" s="431"/>
      <c r="R161" s="358"/>
      <c r="S161" s="358"/>
    </row>
    <row r="162" spans="1:19">
      <c r="A162" s="112">
        <f t="shared" si="48"/>
        <v>148</v>
      </c>
      <c r="B162" s="431">
        <v>39200</v>
      </c>
      <c r="C162" s="80" t="s">
        <v>1484</v>
      </c>
      <c r="D162" s="364">
        <f>[4]Reserve!Q92</f>
        <v>16796.260864500004</v>
      </c>
      <c r="E162" s="364">
        <v>0</v>
      </c>
      <c r="F162" s="364">
        <f t="shared" si="49"/>
        <v>16796.260864500004</v>
      </c>
      <c r="G162" s="394">
        <f t="shared" si="50"/>
        <v>1</v>
      </c>
      <c r="H162" s="395">
        <f t="shared" si="51"/>
        <v>0.50419999999999998</v>
      </c>
      <c r="I162" s="364">
        <f t="shared" si="52"/>
        <v>8468.6747278809016</v>
      </c>
      <c r="K162" s="364">
        <f>[4]Reserve!C92</f>
        <v>16058.207540442307</v>
      </c>
      <c r="L162" s="394">
        <f t="shared" si="56"/>
        <v>1</v>
      </c>
      <c r="M162" s="395">
        <f t="shared" si="57"/>
        <v>0.50419999999999998</v>
      </c>
      <c r="N162" s="364">
        <f t="shared" si="55"/>
        <v>8096.5482418910105</v>
      </c>
      <c r="P162" s="431"/>
      <c r="R162" s="358"/>
      <c r="S162" s="358"/>
    </row>
    <row r="163" spans="1:19">
      <c r="A163" s="112">
        <f t="shared" si="48"/>
        <v>149</v>
      </c>
      <c r="B163" s="431">
        <v>39300</v>
      </c>
      <c r="C163" s="80" t="s">
        <v>644</v>
      </c>
      <c r="D163" s="364">
        <f>[4]Reserve!Q93</f>
        <v>0</v>
      </c>
      <c r="E163" s="364">
        <v>0</v>
      </c>
      <c r="F163" s="364">
        <f t="shared" si="49"/>
        <v>0</v>
      </c>
      <c r="G163" s="394">
        <f t="shared" si="50"/>
        <v>1</v>
      </c>
      <c r="H163" s="395">
        <f t="shared" si="51"/>
        <v>0.50419999999999998</v>
      </c>
      <c r="I163" s="364">
        <f t="shared" si="52"/>
        <v>0</v>
      </c>
      <c r="K163" s="364">
        <f>[4]Reserve!C93</f>
        <v>0</v>
      </c>
      <c r="L163" s="394">
        <f t="shared" si="56"/>
        <v>1</v>
      </c>
      <c r="M163" s="395">
        <f t="shared" si="57"/>
        <v>0.50419999999999998</v>
      </c>
      <c r="N163" s="364">
        <f t="shared" si="55"/>
        <v>0</v>
      </c>
      <c r="P163" s="431"/>
      <c r="R163" s="358"/>
      <c r="S163" s="358"/>
    </row>
    <row r="164" spans="1:19">
      <c r="A164" s="112">
        <f t="shared" si="48"/>
        <v>150</v>
      </c>
      <c r="B164" s="431">
        <v>39400</v>
      </c>
      <c r="C164" s="80" t="s">
        <v>1472</v>
      </c>
      <c r="D164" s="364">
        <f>[4]Reserve!Q94</f>
        <v>46764.43758366668</v>
      </c>
      <c r="E164" s="364">
        <v>0</v>
      </c>
      <c r="F164" s="364">
        <f t="shared" si="49"/>
        <v>46764.43758366668</v>
      </c>
      <c r="G164" s="394">
        <f t="shared" si="50"/>
        <v>1</v>
      </c>
      <c r="H164" s="395">
        <f t="shared" si="51"/>
        <v>0.50419999999999998</v>
      </c>
      <c r="I164" s="364">
        <f t="shared" si="52"/>
        <v>23578.629429684741</v>
      </c>
      <c r="K164" s="364">
        <f>[4]Reserve!C94</f>
        <v>43818.04552801283</v>
      </c>
      <c r="L164" s="394">
        <f t="shared" si="56"/>
        <v>1</v>
      </c>
      <c r="M164" s="395">
        <f t="shared" si="57"/>
        <v>0.50419999999999998</v>
      </c>
      <c r="N164" s="364">
        <f t="shared" si="55"/>
        <v>22093.058555224066</v>
      </c>
      <c r="P164" s="431"/>
      <c r="R164" s="358"/>
      <c r="S164" s="358"/>
    </row>
    <row r="165" spans="1:19">
      <c r="A165" s="112">
        <f t="shared" si="48"/>
        <v>151</v>
      </c>
      <c r="B165" s="431">
        <v>39600</v>
      </c>
      <c r="C165" s="80" t="s">
        <v>1485</v>
      </c>
      <c r="D165" s="364">
        <f>[4]Reserve!Q95</f>
        <v>11853.243818999994</v>
      </c>
      <c r="E165" s="364">
        <v>0</v>
      </c>
      <c r="F165" s="364">
        <f t="shared" si="49"/>
        <v>11853.243818999994</v>
      </c>
      <c r="G165" s="394">
        <f t="shared" si="50"/>
        <v>1</v>
      </c>
      <c r="H165" s="395">
        <f t="shared" si="51"/>
        <v>0.50419999999999998</v>
      </c>
      <c r="I165" s="364">
        <f t="shared" si="52"/>
        <v>5976.405533539797</v>
      </c>
      <c r="K165" s="364">
        <f>[4]Reserve!C95</f>
        <v>11338.306412807688</v>
      </c>
      <c r="L165" s="394">
        <f t="shared" si="53"/>
        <v>1</v>
      </c>
      <c r="M165" s="395">
        <f t="shared" si="54"/>
        <v>0.50419999999999998</v>
      </c>
      <c r="N165" s="364">
        <f t="shared" si="55"/>
        <v>5716.7740933376363</v>
      </c>
      <c r="P165" s="431"/>
      <c r="R165" s="358"/>
      <c r="S165" s="358"/>
    </row>
    <row r="166" spans="1:19">
      <c r="A166" s="112">
        <f t="shared" si="48"/>
        <v>152</v>
      </c>
      <c r="B166" s="431">
        <v>39700</v>
      </c>
      <c r="C166" s="80" t="s">
        <v>1476</v>
      </c>
      <c r="D166" s="364">
        <f>[4]Reserve!Q96</f>
        <v>-22686.89</v>
      </c>
      <c r="E166" s="364">
        <v>0</v>
      </c>
      <c r="F166" s="364">
        <f t="shared" si="49"/>
        <v>-22686.89</v>
      </c>
      <c r="G166" s="394">
        <f t="shared" si="50"/>
        <v>1</v>
      </c>
      <c r="H166" s="395">
        <f t="shared" si="51"/>
        <v>0.50419999999999998</v>
      </c>
      <c r="I166" s="364">
        <f t="shared" si="52"/>
        <v>-11438.729937999999</v>
      </c>
      <c r="K166" s="364">
        <f>[4]Reserve!C96</f>
        <v>-14226.329230769234</v>
      </c>
      <c r="L166" s="394">
        <f t="shared" si="53"/>
        <v>1</v>
      </c>
      <c r="M166" s="395">
        <f t="shared" si="54"/>
        <v>0.50419999999999998</v>
      </c>
      <c r="N166" s="364">
        <f t="shared" si="55"/>
        <v>-7172.9151981538471</v>
      </c>
      <c r="P166" s="431"/>
      <c r="R166" s="358"/>
      <c r="S166" s="358"/>
    </row>
    <row r="167" spans="1:19">
      <c r="A167" s="112">
        <f t="shared" si="48"/>
        <v>153</v>
      </c>
      <c r="B167" s="431">
        <v>39701</v>
      </c>
      <c r="C167" s="80" t="s">
        <v>1436</v>
      </c>
      <c r="D167" s="364">
        <f>[4]Reserve!Q97</f>
        <v>0</v>
      </c>
      <c r="E167" s="364">
        <v>0</v>
      </c>
      <c r="F167" s="364">
        <f t="shared" si="49"/>
        <v>0</v>
      </c>
      <c r="G167" s="394">
        <f t="shared" si="50"/>
        <v>1</v>
      </c>
      <c r="H167" s="395">
        <f t="shared" si="51"/>
        <v>0.50419999999999998</v>
      </c>
      <c r="I167" s="364">
        <f t="shared" si="52"/>
        <v>0</v>
      </c>
      <c r="K167" s="364">
        <f>[4]Reserve!C97</f>
        <v>0</v>
      </c>
      <c r="L167" s="394">
        <f t="shared" si="53"/>
        <v>1</v>
      </c>
      <c r="M167" s="395">
        <f t="shared" si="54"/>
        <v>0.50419999999999998</v>
      </c>
      <c r="N167" s="364">
        <f t="shared" si="55"/>
        <v>0</v>
      </c>
      <c r="P167" s="431"/>
      <c r="R167" s="358"/>
      <c r="S167" s="358"/>
    </row>
    <row r="168" spans="1:19">
      <c r="A168" s="112">
        <f t="shared" si="48"/>
        <v>154</v>
      </c>
      <c r="B168" s="570">
        <v>39702</v>
      </c>
      <c r="C168" s="80" t="s">
        <v>1436</v>
      </c>
      <c r="D168" s="364">
        <f>[4]Reserve!Q98</f>
        <v>0</v>
      </c>
      <c r="E168" s="364">
        <v>0</v>
      </c>
      <c r="F168" s="364">
        <f t="shared" si="49"/>
        <v>0</v>
      </c>
      <c r="G168" s="394">
        <f t="shared" si="50"/>
        <v>1</v>
      </c>
      <c r="H168" s="395">
        <f t="shared" si="51"/>
        <v>0.50419999999999998</v>
      </c>
      <c r="I168" s="364">
        <f t="shared" si="52"/>
        <v>0</v>
      </c>
      <c r="K168" s="364">
        <f>[4]Reserve!C98</f>
        <v>0</v>
      </c>
      <c r="L168" s="394">
        <f t="shared" si="53"/>
        <v>1</v>
      </c>
      <c r="M168" s="395">
        <f t="shared" si="54"/>
        <v>0.50419999999999998</v>
      </c>
      <c r="N168" s="364">
        <f t="shared" si="55"/>
        <v>0</v>
      </c>
      <c r="P168" s="431"/>
      <c r="R168" s="358"/>
      <c r="S168" s="358"/>
    </row>
    <row r="169" spans="1:19">
      <c r="A169" s="112">
        <f t="shared" si="48"/>
        <v>155</v>
      </c>
      <c r="B169" s="570">
        <v>39800</v>
      </c>
      <c r="C169" s="80" t="s">
        <v>1478</v>
      </c>
      <c r="D169" s="364">
        <f>[4]Reserve!Q99</f>
        <v>-127018.46999999999</v>
      </c>
      <c r="E169" s="364">
        <v>0</v>
      </c>
      <c r="F169" s="364">
        <f t="shared" si="49"/>
        <v>-127018.46999999999</v>
      </c>
      <c r="G169" s="394">
        <f t="shared" si="50"/>
        <v>1</v>
      </c>
      <c r="H169" s="395">
        <f t="shared" si="51"/>
        <v>0.50419999999999998</v>
      </c>
      <c r="I169" s="364">
        <f t="shared" si="52"/>
        <v>-64042.71257399999</v>
      </c>
      <c r="K169" s="364">
        <f>[4]Reserve!C99</f>
        <v>-125979.59999999999</v>
      </c>
      <c r="L169" s="394">
        <f t="shared" si="53"/>
        <v>1</v>
      </c>
      <c r="M169" s="395">
        <f t="shared" si="54"/>
        <v>0.50419999999999998</v>
      </c>
      <c r="N169" s="364">
        <f t="shared" si="55"/>
        <v>-63518.914319999996</v>
      </c>
      <c r="P169" s="431"/>
      <c r="R169" s="358"/>
      <c r="S169" s="358"/>
    </row>
    <row r="170" spans="1:19">
      <c r="A170" s="112">
        <f t="shared" si="48"/>
        <v>156</v>
      </c>
      <c r="B170" s="570">
        <v>39900</v>
      </c>
      <c r="C170" s="80" t="s">
        <v>1486</v>
      </c>
      <c r="D170" s="364">
        <f>[4]Reserve!Q100</f>
        <v>0</v>
      </c>
      <c r="E170" s="364">
        <v>0</v>
      </c>
      <c r="F170" s="364">
        <f t="shared" si="49"/>
        <v>0</v>
      </c>
      <c r="G170" s="394">
        <f t="shared" si="50"/>
        <v>1</v>
      </c>
      <c r="H170" s="395">
        <f t="shared" si="51"/>
        <v>0.50419999999999998</v>
      </c>
      <c r="I170" s="364">
        <f t="shared" si="52"/>
        <v>0</v>
      </c>
      <c r="K170" s="364">
        <f>[4]Reserve!C100</f>
        <v>0</v>
      </c>
      <c r="L170" s="394">
        <f t="shared" si="53"/>
        <v>1</v>
      </c>
      <c r="M170" s="395">
        <f t="shared" si="54"/>
        <v>0.50419999999999998</v>
      </c>
      <c r="N170" s="364">
        <f t="shared" si="55"/>
        <v>0</v>
      </c>
      <c r="P170" s="431"/>
      <c r="R170" s="358"/>
      <c r="S170" s="358"/>
    </row>
    <row r="171" spans="1:19">
      <c r="A171" s="112">
        <f t="shared" si="48"/>
        <v>157</v>
      </c>
      <c r="B171" s="570">
        <v>39901</v>
      </c>
      <c r="C171" s="80" t="s">
        <v>1487</v>
      </c>
      <c r="D171" s="364">
        <f>[4]Reserve!Q101</f>
        <v>0</v>
      </c>
      <c r="E171" s="364">
        <v>0</v>
      </c>
      <c r="F171" s="364">
        <f t="shared" si="49"/>
        <v>0</v>
      </c>
      <c r="G171" s="394">
        <f t="shared" si="50"/>
        <v>1</v>
      </c>
      <c r="H171" s="395">
        <f t="shared" si="51"/>
        <v>0.50419999999999998</v>
      </c>
      <c r="I171" s="364">
        <f t="shared" si="52"/>
        <v>0</v>
      </c>
      <c r="K171" s="364">
        <f>[4]Reserve!C101</f>
        <v>0</v>
      </c>
      <c r="L171" s="394">
        <f t="shared" si="53"/>
        <v>1</v>
      </c>
      <c r="M171" s="395">
        <f t="shared" si="54"/>
        <v>0.50419999999999998</v>
      </c>
      <c r="N171" s="364">
        <f t="shared" si="55"/>
        <v>0</v>
      </c>
      <c r="P171" s="431"/>
      <c r="R171" s="358"/>
      <c r="S171" s="358"/>
    </row>
    <row r="172" spans="1:19">
      <c r="A172" s="112">
        <f t="shared" si="48"/>
        <v>158</v>
      </c>
      <c r="B172" s="570">
        <v>39902</v>
      </c>
      <c r="C172" s="80" t="s">
        <v>1488</v>
      </c>
      <c r="D172" s="364">
        <f>[4]Reserve!Q102</f>
        <v>0</v>
      </c>
      <c r="E172" s="364">
        <v>0</v>
      </c>
      <c r="F172" s="364">
        <f t="shared" si="49"/>
        <v>0</v>
      </c>
      <c r="G172" s="394">
        <f t="shared" si="50"/>
        <v>1</v>
      </c>
      <c r="H172" s="395">
        <f t="shared" si="51"/>
        <v>0.50419999999999998</v>
      </c>
      <c r="I172" s="364">
        <f t="shared" si="52"/>
        <v>0</v>
      </c>
      <c r="K172" s="364">
        <f>[4]Reserve!C102</f>
        <v>0</v>
      </c>
      <c r="L172" s="394">
        <f t="shared" si="53"/>
        <v>1</v>
      </c>
      <c r="M172" s="395">
        <f t="shared" si="54"/>
        <v>0.50419999999999998</v>
      </c>
      <c r="N172" s="364">
        <f t="shared" si="55"/>
        <v>0</v>
      </c>
      <c r="P172" s="431"/>
      <c r="R172" s="358"/>
      <c r="S172" s="358"/>
    </row>
    <row r="173" spans="1:19">
      <c r="A173" s="112">
        <f t="shared" si="48"/>
        <v>159</v>
      </c>
      <c r="B173" s="570">
        <v>39903</v>
      </c>
      <c r="C173" s="80" t="s">
        <v>1479</v>
      </c>
      <c r="D173" s="364">
        <f>[4]Reserve!Q103</f>
        <v>7922.3420000000015</v>
      </c>
      <c r="E173" s="364">
        <v>0</v>
      </c>
      <c r="F173" s="364">
        <f t="shared" si="49"/>
        <v>7922.3420000000015</v>
      </c>
      <c r="G173" s="394">
        <f t="shared" si="50"/>
        <v>1</v>
      </c>
      <c r="H173" s="395">
        <f t="shared" si="51"/>
        <v>0.50419999999999998</v>
      </c>
      <c r="I173" s="364">
        <f t="shared" si="52"/>
        <v>3994.4448364000004</v>
      </c>
      <c r="K173" s="364">
        <f>[4]Reserve!C103</f>
        <v>6509.0259230769252</v>
      </c>
      <c r="L173" s="394">
        <f t="shared" si="53"/>
        <v>1</v>
      </c>
      <c r="M173" s="395">
        <f t="shared" si="54"/>
        <v>0.50419999999999998</v>
      </c>
      <c r="N173" s="364">
        <f t="shared" si="55"/>
        <v>3281.8508704153855</v>
      </c>
      <c r="P173" s="431"/>
      <c r="R173" s="358"/>
      <c r="S173" s="358"/>
    </row>
    <row r="174" spans="1:19">
      <c r="A174" s="112">
        <f t="shared" si="48"/>
        <v>160</v>
      </c>
      <c r="B174" s="570">
        <v>39906</v>
      </c>
      <c r="C174" s="80" t="s">
        <v>1480</v>
      </c>
      <c r="D174" s="364">
        <f>[4]Reserve!Q104</f>
        <v>1.0089706847793423E-12</v>
      </c>
      <c r="E174" s="364">
        <v>0</v>
      </c>
      <c r="F174" s="364">
        <f t="shared" si="49"/>
        <v>1.0089706847793423E-12</v>
      </c>
      <c r="G174" s="394">
        <f t="shared" si="50"/>
        <v>1</v>
      </c>
      <c r="H174" s="395">
        <f t="shared" si="51"/>
        <v>0.50419999999999998</v>
      </c>
      <c r="I174" s="364">
        <f t="shared" si="52"/>
        <v>5.0872301926574439E-13</v>
      </c>
      <c r="K174" s="364">
        <f>[4]Reserve!C104</f>
        <v>6425.0630769230775</v>
      </c>
      <c r="L174" s="394">
        <f t="shared" si="53"/>
        <v>1</v>
      </c>
      <c r="M174" s="395">
        <f t="shared" si="54"/>
        <v>0.50419999999999998</v>
      </c>
      <c r="N174" s="364">
        <f t="shared" si="55"/>
        <v>3239.5168033846157</v>
      </c>
      <c r="P174" s="431"/>
      <c r="R174" s="358"/>
      <c r="S174" s="358"/>
    </row>
    <row r="175" spans="1:19">
      <c r="A175" s="112">
        <f t="shared" si="48"/>
        <v>161</v>
      </c>
      <c r="B175" s="570">
        <v>39907</v>
      </c>
      <c r="C175" s="80" t="s">
        <v>1481</v>
      </c>
      <c r="D175" s="364">
        <f>[4]Reserve!Q105</f>
        <v>56992.428580000014</v>
      </c>
      <c r="E175" s="364">
        <v>0</v>
      </c>
      <c r="F175" s="364">
        <f t="shared" si="49"/>
        <v>56992.428580000014</v>
      </c>
      <c r="G175" s="394">
        <f t="shared" si="50"/>
        <v>1</v>
      </c>
      <c r="H175" s="395">
        <f t="shared" si="51"/>
        <v>0.50419999999999998</v>
      </c>
      <c r="I175" s="364">
        <f t="shared" si="52"/>
        <v>28735.582490036006</v>
      </c>
      <c r="K175" s="364">
        <f>[4]Reserve!C105</f>
        <v>52100.464233076935</v>
      </c>
      <c r="L175" s="394">
        <f t="shared" si="53"/>
        <v>1</v>
      </c>
      <c r="M175" s="395">
        <f t="shared" si="54"/>
        <v>0.50419999999999998</v>
      </c>
      <c r="N175" s="364">
        <f t="shared" si="55"/>
        <v>26269.054066317389</v>
      </c>
      <c r="P175" s="431"/>
      <c r="R175" s="358"/>
      <c r="S175" s="358"/>
    </row>
    <row r="176" spans="1:19">
      <c r="A176" s="112">
        <f t="shared" si="48"/>
        <v>162</v>
      </c>
      <c r="B176" s="570">
        <v>39908</v>
      </c>
      <c r="C176" s="80" t="s">
        <v>1482</v>
      </c>
      <c r="D176" s="364">
        <f>[4]Reserve!Q106</f>
        <v>237874.80999999994</v>
      </c>
      <c r="E176" s="364">
        <v>0</v>
      </c>
      <c r="F176" s="364">
        <f t="shared" si="49"/>
        <v>237874.80999999994</v>
      </c>
      <c r="G176" s="394">
        <f t="shared" si="50"/>
        <v>1</v>
      </c>
      <c r="H176" s="395">
        <f t="shared" si="51"/>
        <v>0.50419999999999998</v>
      </c>
      <c r="I176" s="364">
        <f t="shared" si="52"/>
        <v>119936.47920199996</v>
      </c>
      <c r="K176" s="364">
        <f>[4]Reserve!C106</f>
        <v>374175.09076923074</v>
      </c>
      <c r="L176" s="394">
        <f t="shared" si="53"/>
        <v>1</v>
      </c>
      <c r="M176" s="395">
        <f t="shared" si="54"/>
        <v>0.50419999999999998</v>
      </c>
      <c r="N176" s="364">
        <f t="shared" si="55"/>
        <v>188659.08076584613</v>
      </c>
      <c r="P176" s="431"/>
      <c r="R176" s="358"/>
      <c r="S176" s="358"/>
    </row>
    <row r="177" spans="1:19">
      <c r="A177" s="112">
        <f t="shared" si="48"/>
        <v>163</v>
      </c>
      <c r="B177" s="570"/>
      <c r="C177" s="80" t="s">
        <v>1124</v>
      </c>
      <c r="D177" s="364">
        <f>[4]Reserve!Q107</f>
        <v>52517.30000000001</v>
      </c>
      <c r="E177" s="650"/>
      <c r="F177" s="650"/>
      <c r="G177" s="394">
        <f t="shared" si="50"/>
        <v>1</v>
      </c>
      <c r="H177" s="395">
        <f t="shared" si="51"/>
        <v>0.50419999999999998</v>
      </c>
      <c r="I177" s="842">
        <f t="shared" si="52"/>
        <v>0</v>
      </c>
      <c r="K177" s="364">
        <f>[4]Reserve!C107</f>
        <v>52517.30000000001</v>
      </c>
      <c r="L177" s="394">
        <f t="shared" si="53"/>
        <v>1</v>
      </c>
      <c r="M177" s="395">
        <f t="shared" si="54"/>
        <v>0.50419999999999998</v>
      </c>
      <c r="N177" s="842">
        <f t="shared" si="55"/>
        <v>26479.222660000003</v>
      </c>
      <c r="R177" s="358"/>
      <c r="S177" s="358"/>
    </row>
    <row r="178" spans="1:19">
      <c r="A178" s="112">
        <f t="shared" si="48"/>
        <v>164</v>
      </c>
      <c r="B178" s="334"/>
      <c r="C178" s="80"/>
      <c r="D178" s="499"/>
      <c r="E178" s="499"/>
      <c r="F178" s="499"/>
      <c r="K178" s="853"/>
    </row>
    <row r="179" spans="1:19">
      <c r="A179" s="112">
        <f t="shared" si="48"/>
        <v>165</v>
      </c>
      <c r="B179" s="334"/>
      <c r="C179" s="80" t="s">
        <v>4</v>
      </c>
      <c r="D179" s="304">
        <f>SUM(D156:D177)</f>
        <v>433096.78452566674</v>
      </c>
      <c r="E179" s="304">
        <f>SUM(E156:E177)</f>
        <v>0</v>
      </c>
      <c r="F179" s="304">
        <f>SUM(F156:F177)</f>
        <v>380579.48452566675</v>
      </c>
      <c r="I179" s="304">
        <f>SUM(I156:I177)</f>
        <v>191888.17609784112</v>
      </c>
      <c r="K179" s="304">
        <f>SUM(K156:K177)</f>
        <v>572362.24624316674</v>
      </c>
      <c r="N179" s="304">
        <f>SUM(N156:N177)</f>
        <v>288585.04455580463</v>
      </c>
    </row>
    <row r="180" spans="1:19">
      <c r="A180" s="112">
        <f t="shared" si="48"/>
        <v>166</v>
      </c>
      <c r="B180" s="334"/>
      <c r="C180" s="80"/>
    </row>
    <row r="181" spans="1:19" ht="15.75" thickBot="1">
      <c r="A181" s="112">
        <f t="shared" si="48"/>
        <v>167</v>
      </c>
      <c r="B181" s="334"/>
      <c r="C181" s="205" t="s">
        <v>1279</v>
      </c>
      <c r="D181" s="1059">
        <f>D128+D153+D179</f>
        <v>433096.78452566674</v>
      </c>
      <c r="E181" s="1059">
        <f>E128+E153+E179</f>
        <v>0</v>
      </c>
      <c r="F181" s="1059">
        <f>F128+F153+F179</f>
        <v>380579.48452566675</v>
      </c>
      <c r="I181" s="1059">
        <f>I128+I153+I179</f>
        <v>191888.17609784112</v>
      </c>
      <c r="K181" s="1059">
        <f>K128+K153+K179</f>
        <v>572362.24624316674</v>
      </c>
      <c r="N181" s="1059">
        <f>N128+N153+N179</f>
        <v>288585.04455580463</v>
      </c>
    </row>
    <row r="182" spans="1:19" ht="15.75" thickTop="1">
      <c r="A182" s="112">
        <f t="shared" si="48"/>
        <v>168</v>
      </c>
      <c r="B182" s="838"/>
      <c r="D182" s="364"/>
      <c r="E182" s="290"/>
    </row>
    <row r="183" spans="1:19" ht="15.75">
      <c r="A183" s="112">
        <f t="shared" si="48"/>
        <v>169</v>
      </c>
      <c r="B183" s="843" t="s">
        <v>8</v>
      </c>
      <c r="D183" s="364"/>
      <c r="E183" s="290"/>
    </row>
    <row r="184" spans="1:19">
      <c r="A184" s="112">
        <f t="shared" si="48"/>
        <v>170</v>
      </c>
      <c r="D184" s="364"/>
    </row>
    <row r="185" spans="1:19">
      <c r="A185" s="112">
        <f t="shared" si="48"/>
        <v>171</v>
      </c>
      <c r="B185" s="334"/>
      <c r="C185" s="500" t="s">
        <v>299</v>
      </c>
      <c r="D185" s="364"/>
    </row>
    <row r="186" spans="1:19">
      <c r="A186" s="112">
        <f t="shared" si="48"/>
        <v>172</v>
      </c>
      <c r="B186" s="431">
        <v>39000</v>
      </c>
      <c r="C186" s="80" t="s">
        <v>1464</v>
      </c>
      <c r="D186" s="304">
        <f>[4]Reserve!Q7</f>
        <v>828284.9344432418</v>
      </c>
      <c r="E186" s="502">
        <v>0</v>
      </c>
      <c r="F186" s="304">
        <f t="shared" ref="F186:F224" si="58">D186+E186</f>
        <v>828284.9344432418</v>
      </c>
      <c r="G186" s="395">
        <f>Allocation!$G$14</f>
        <v>9.8599999999999993E-2</v>
      </c>
      <c r="H186" s="395">
        <f>Allocation!$H$14</f>
        <v>0.50419999999999998</v>
      </c>
      <c r="I186" s="364">
        <f t="shared" ref="I186:I224" si="59">F186*G186*H186</f>
        <v>41177.456625103448</v>
      </c>
      <c r="K186" s="304">
        <f>[4]Reserve!C7</f>
        <v>727669.31028437673</v>
      </c>
      <c r="L186" s="395">
        <f>G186</f>
        <v>9.8599999999999993E-2</v>
      </c>
      <c r="M186" s="395">
        <f t="shared" ref="M186:M224" si="60">H186</f>
        <v>0.50419999999999998</v>
      </c>
      <c r="N186" s="304">
        <f t="shared" ref="N186:N224" si="61">K186*L186*M186</f>
        <v>36175.439411794738</v>
      </c>
      <c r="P186" s="537"/>
      <c r="R186" s="358"/>
      <c r="S186" s="358"/>
    </row>
    <row r="187" spans="1:19">
      <c r="A187" s="112">
        <f t="shared" si="48"/>
        <v>173</v>
      </c>
      <c r="B187" s="431">
        <v>39005</v>
      </c>
      <c r="C187" s="80" t="s">
        <v>1489</v>
      </c>
      <c r="D187" s="364">
        <f>[4]Reserve!Q8</f>
        <v>4522301.5266485047</v>
      </c>
      <c r="E187" s="502">
        <v>0</v>
      </c>
      <c r="F187" s="364">
        <f t="shared" si="58"/>
        <v>4522301.5266485047</v>
      </c>
      <c r="G187" s="395">
        <v>1</v>
      </c>
      <c r="H187" s="395">
        <f>Allocation!E20</f>
        <v>1.559576E-2</v>
      </c>
      <c r="I187" s="364">
        <f t="shared" ref="I187:I201" si="62">F187*G187*H187</f>
        <v>70528.729257243685</v>
      </c>
      <c r="K187" s="364">
        <f>[4]Reserve!C8</f>
        <v>4383353.6456361376</v>
      </c>
      <c r="L187" s="395">
        <f t="shared" ref="L187:L223" si="63">G187</f>
        <v>1</v>
      </c>
      <c r="M187" s="395">
        <f t="shared" ref="M187:M223" si="64">H187</f>
        <v>1.559576E-2</v>
      </c>
      <c r="N187" s="364">
        <f t="shared" si="61"/>
        <v>68361.731452466251</v>
      </c>
      <c r="P187" s="537"/>
      <c r="R187" s="358"/>
      <c r="S187" s="358"/>
    </row>
    <row r="188" spans="1:19">
      <c r="A188" s="112">
        <f t="shared" si="48"/>
        <v>174</v>
      </c>
      <c r="B188" s="431">
        <v>39009</v>
      </c>
      <c r="C188" s="80" t="s">
        <v>1468</v>
      </c>
      <c r="D188" s="364">
        <f>[4]Reserve!Q9</f>
        <v>9607572.2426124942</v>
      </c>
      <c r="E188" s="502">
        <v>0</v>
      </c>
      <c r="F188" s="364">
        <f t="shared" si="58"/>
        <v>9607572.2426124942</v>
      </c>
      <c r="G188" s="395">
        <f>Allocation!$G$14</f>
        <v>9.8599999999999993E-2</v>
      </c>
      <c r="H188" s="395">
        <f>Allocation!$H$14</f>
        <v>0.50419999999999998</v>
      </c>
      <c r="I188" s="364">
        <f t="shared" si="62"/>
        <v>477631.99937790661</v>
      </c>
      <c r="K188" s="364">
        <f>[4]Reserve!C9</f>
        <v>9438804.9899341334</v>
      </c>
      <c r="L188" s="395">
        <f t="shared" si="63"/>
        <v>9.8599999999999993E-2</v>
      </c>
      <c r="M188" s="395">
        <f t="shared" si="64"/>
        <v>0.50419999999999998</v>
      </c>
      <c r="N188" s="364">
        <f t="shared" si="61"/>
        <v>469241.88392618421</v>
      </c>
      <c r="P188" s="537"/>
      <c r="R188" s="358"/>
      <c r="S188" s="358"/>
    </row>
    <row r="189" spans="1:19">
      <c r="A189" s="112">
        <f t="shared" si="48"/>
        <v>175</v>
      </c>
      <c r="B189" s="431">
        <v>39020</v>
      </c>
      <c r="C189" s="80" t="s">
        <v>1440</v>
      </c>
      <c r="D189" s="364">
        <f>[4]Reserve!Q10</f>
        <v>220.89700400000009</v>
      </c>
      <c r="E189" s="502">
        <v>0</v>
      </c>
      <c r="F189" s="364">
        <f t="shared" si="58"/>
        <v>220.89700400000009</v>
      </c>
      <c r="G189" s="395">
        <v>1</v>
      </c>
      <c r="H189" s="395">
        <f>Allocation!E22</f>
        <v>6.106367E-2</v>
      </c>
      <c r="I189" s="364">
        <f t="shared" si="62"/>
        <v>13.488781756244686</v>
      </c>
      <c r="K189" s="364">
        <f>[4]Reserve!C10</f>
        <v>188.44880876923077</v>
      </c>
      <c r="L189" s="395">
        <f t="shared" si="63"/>
        <v>1</v>
      </c>
      <c r="M189" s="395">
        <f t="shared" si="64"/>
        <v>6.106367E-2</v>
      </c>
      <c r="N189" s="364">
        <f t="shared" si="61"/>
        <v>11.507375870577414</v>
      </c>
      <c r="P189" s="537"/>
      <c r="R189" s="358"/>
      <c r="S189" s="358"/>
    </row>
    <row r="190" spans="1:19">
      <c r="A190" s="112">
        <f t="shared" si="48"/>
        <v>176</v>
      </c>
      <c r="B190" s="431">
        <v>39029</v>
      </c>
      <c r="C190" s="80" t="s">
        <v>1441</v>
      </c>
      <c r="D190" s="364">
        <f>[4]Reserve!Q11</f>
        <v>3007.6276374999993</v>
      </c>
      <c r="E190" s="502">
        <v>0</v>
      </c>
      <c r="F190" s="364">
        <f t="shared" si="58"/>
        <v>3007.6276374999993</v>
      </c>
      <c r="G190" s="395">
        <v>1</v>
      </c>
      <c r="H190" s="395">
        <f>Allocation!E22</f>
        <v>6.106367E-2</v>
      </c>
      <c r="I190" s="364">
        <f t="shared" si="62"/>
        <v>183.65678153917958</v>
      </c>
      <c r="K190" s="364">
        <f>[4]Reserve!C11</f>
        <v>2465.3143639423074</v>
      </c>
      <c r="L190" s="395">
        <f t="shared" si="63"/>
        <v>1</v>
      </c>
      <c r="M190" s="395">
        <f t="shared" si="64"/>
        <v>6.106367E-2</v>
      </c>
      <c r="N190" s="364">
        <f t="shared" si="61"/>
        <v>150.54114276603295</v>
      </c>
      <c r="P190" s="537"/>
      <c r="R190" s="358"/>
      <c r="S190" s="358"/>
    </row>
    <row r="191" spans="1:19">
      <c r="A191" s="112">
        <f t="shared" si="48"/>
        <v>177</v>
      </c>
      <c r="B191" s="431">
        <v>39100</v>
      </c>
      <c r="C191" s="80" t="s">
        <v>1469</v>
      </c>
      <c r="D191" s="364">
        <f>[4]Reserve!Q12</f>
        <v>2597046.8455611588</v>
      </c>
      <c r="E191" s="502">
        <v>0</v>
      </c>
      <c r="F191" s="364">
        <f t="shared" si="58"/>
        <v>2597046.8455611588</v>
      </c>
      <c r="G191" s="395">
        <f>Allocation!$G$14</f>
        <v>9.8599999999999993E-2</v>
      </c>
      <c r="H191" s="395">
        <f>Allocation!$H$14</f>
        <v>0.50419999999999998</v>
      </c>
      <c r="I191" s="364">
        <f t="shared" si="62"/>
        <v>129109.89852584891</v>
      </c>
      <c r="K191" s="364">
        <f>[4]Reserve!C12</f>
        <v>2473686.069959098</v>
      </c>
      <c r="L191" s="395">
        <f t="shared" si="63"/>
        <v>9.8599999999999993E-2</v>
      </c>
      <c r="M191" s="395">
        <f t="shared" si="64"/>
        <v>0.50419999999999998</v>
      </c>
      <c r="N191" s="364">
        <f t="shared" si="61"/>
        <v>122977.12612427499</v>
      </c>
      <c r="P191" s="537"/>
      <c r="R191" s="358"/>
      <c r="S191" s="358"/>
    </row>
    <row r="192" spans="1:19">
      <c r="A192" s="112">
        <f t="shared" si="48"/>
        <v>178</v>
      </c>
      <c r="B192" s="431">
        <v>39102</v>
      </c>
      <c r="C192" s="80" t="s">
        <v>1490</v>
      </c>
      <c r="D192" s="364">
        <f>[4]Reserve!Q13</f>
        <v>1.26</v>
      </c>
      <c r="E192" s="502">
        <v>0</v>
      </c>
      <c r="F192" s="364">
        <f t="shared" si="58"/>
        <v>1.26</v>
      </c>
      <c r="G192" s="395">
        <f>Allocation!$G$14</f>
        <v>9.8599999999999993E-2</v>
      </c>
      <c r="H192" s="395">
        <f>Allocation!$H$14</f>
        <v>0.50419999999999998</v>
      </c>
      <c r="I192" s="364">
        <f t="shared" si="62"/>
        <v>6.2639791200000003E-2</v>
      </c>
      <c r="K192" s="364">
        <f>[4]Reserve!C13</f>
        <v>1.26</v>
      </c>
      <c r="L192" s="395">
        <f t="shared" si="63"/>
        <v>9.8599999999999993E-2</v>
      </c>
      <c r="M192" s="395">
        <f t="shared" si="64"/>
        <v>0.50419999999999998</v>
      </c>
      <c r="N192" s="364">
        <f t="shared" si="61"/>
        <v>6.2639791200000003E-2</v>
      </c>
      <c r="P192" s="537"/>
      <c r="R192" s="358"/>
      <c r="S192" s="358"/>
    </row>
    <row r="193" spans="1:19">
      <c r="A193" s="112">
        <f t="shared" si="48"/>
        <v>179</v>
      </c>
      <c r="B193" s="431">
        <v>39103</v>
      </c>
      <c r="C193" s="80" t="s">
        <v>1275</v>
      </c>
      <c r="D193" s="364">
        <f>[4]Reserve!Q14</f>
        <v>0.45</v>
      </c>
      <c r="E193" s="502">
        <v>0</v>
      </c>
      <c r="F193" s="364">
        <f t="shared" si="58"/>
        <v>0.45</v>
      </c>
      <c r="G193" s="395">
        <f>Allocation!$G$14</f>
        <v>9.8599999999999993E-2</v>
      </c>
      <c r="H193" s="395">
        <f>Allocation!$H$14</f>
        <v>0.50419999999999998</v>
      </c>
      <c r="I193" s="364">
        <f t="shared" si="62"/>
        <v>2.2371354E-2</v>
      </c>
      <c r="K193" s="364">
        <f>[4]Reserve!C14</f>
        <v>0.45000000000000012</v>
      </c>
      <c r="L193" s="395">
        <f t="shared" si="63"/>
        <v>9.8599999999999993E-2</v>
      </c>
      <c r="M193" s="395">
        <f t="shared" si="64"/>
        <v>0.50419999999999998</v>
      </c>
      <c r="N193" s="364">
        <f t="shared" si="61"/>
        <v>2.2371354000000003E-2</v>
      </c>
      <c r="P193" s="537"/>
      <c r="R193" s="358"/>
      <c r="S193" s="358"/>
    </row>
    <row r="194" spans="1:19">
      <c r="A194" s="112">
        <f t="shared" si="48"/>
        <v>180</v>
      </c>
      <c r="B194" s="431">
        <v>39104</v>
      </c>
      <c r="C194" s="80" t="s">
        <v>1491</v>
      </c>
      <c r="D194" s="364">
        <f>[4]Reserve!Q15</f>
        <v>40705.602105999998</v>
      </c>
      <c r="E194" s="502">
        <v>0</v>
      </c>
      <c r="F194" s="364">
        <f t="shared" si="58"/>
        <v>40705.602105999998</v>
      </c>
      <c r="G194" s="395">
        <f>G187</f>
        <v>1</v>
      </c>
      <c r="H194" s="395">
        <f>H187</f>
        <v>1.559576E-2</v>
      </c>
      <c r="I194" s="364">
        <f t="shared" si="62"/>
        <v>634.83480110067057</v>
      </c>
      <c r="K194" s="364">
        <f>[4]Reserve!C15</f>
        <v>39297.513643923077</v>
      </c>
      <c r="L194" s="395">
        <f t="shared" si="63"/>
        <v>1</v>
      </c>
      <c r="M194" s="395">
        <f t="shared" si="64"/>
        <v>1.559576E-2</v>
      </c>
      <c r="N194" s="364">
        <f t="shared" si="61"/>
        <v>612.87459138734982</v>
      </c>
      <c r="P194" s="537"/>
      <c r="R194" s="358"/>
      <c r="S194" s="358"/>
    </row>
    <row r="195" spans="1:19">
      <c r="A195" s="112">
        <f t="shared" si="48"/>
        <v>181</v>
      </c>
      <c r="B195" s="431">
        <v>39120</v>
      </c>
      <c r="C195" s="80" t="s">
        <v>1442</v>
      </c>
      <c r="D195" s="364">
        <f>[4]Reserve!Q16</f>
        <v>136393.58022200002</v>
      </c>
      <c r="E195" s="502">
        <v>0</v>
      </c>
      <c r="F195" s="364">
        <f t="shared" si="58"/>
        <v>136393.58022200002</v>
      </c>
      <c r="G195" s="395">
        <v>1</v>
      </c>
      <c r="H195" s="395">
        <f>H190</f>
        <v>6.106367E-2</v>
      </c>
      <c r="I195" s="364">
        <f t="shared" si="62"/>
        <v>8328.6925727947364</v>
      </c>
      <c r="K195" s="364">
        <f>[4]Reserve!C16</f>
        <v>131156.56736746151</v>
      </c>
      <c r="L195" s="395">
        <f t="shared" si="63"/>
        <v>1</v>
      </c>
      <c r="M195" s="395">
        <f t="shared" si="64"/>
        <v>6.106367E-2</v>
      </c>
      <c r="N195" s="364">
        <f t="shared" si="61"/>
        <v>8008.9013480594385</v>
      </c>
      <c r="P195" s="537"/>
      <c r="R195" s="358"/>
      <c r="S195" s="358"/>
    </row>
    <row r="196" spans="1:19">
      <c r="A196" s="112">
        <f t="shared" si="48"/>
        <v>182</v>
      </c>
      <c r="B196" s="431">
        <v>39200</v>
      </c>
      <c r="C196" s="80" t="s">
        <v>1470</v>
      </c>
      <c r="D196" s="364">
        <f>[4]Reserve!Q17</f>
        <v>73054.073973647042</v>
      </c>
      <c r="E196" s="502">
        <v>0</v>
      </c>
      <c r="F196" s="364">
        <f t="shared" si="58"/>
        <v>73054.073973647042</v>
      </c>
      <c r="G196" s="395">
        <f>Allocation!$G$14</f>
        <v>9.8599999999999993E-2</v>
      </c>
      <c r="H196" s="395">
        <f>Allocation!$H$14</f>
        <v>0.50419999999999998</v>
      </c>
      <c r="I196" s="364">
        <f t="shared" si="62"/>
        <v>3631.8190000147656</v>
      </c>
      <c r="K196" s="364">
        <f>[4]Reserve!C17</f>
        <v>56099.069647059907</v>
      </c>
      <c r="L196" s="395">
        <f t="shared" si="63"/>
        <v>9.8599999999999993E-2</v>
      </c>
      <c r="M196" s="395">
        <f t="shared" si="64"/>
        <v>0.50419999999999998</v>
      </c>
      <c r="N196" s="364">
        <f t="shared" si="61"/>
        <v>2788.9158803222936</v>
      </c>
      <c r="P196" s="537"/>
      <c r="R196" s="358"/>
      <c r="S196" s="358"/>
    </row>
    <row r="197" spans="1:19">
      <c r="A197" s="112">
        <f t="shared" si="48"/>
        <v>183</v>
      </c>
      <c r="B197" s="431">
        <v>39300</v>
      </c>
      <c r="C197" s="80" t="s">
        <v>1492</v>
      </c>
      <c r="D197" s="364">
        <f>[4]Reserve!Q18</f>
        <v>0</v>
      </c>
      <c r="E197" s="502">
        <v>0</v>
      </c>
      <c r="F197" s="364">
        <f t="shared" si="58"/>
        <v>0</v>
      </c>
      <c r="G197" s="395">
        <f>Allocation!$G$14</f>
        <v>9.8599999999999993E-2</v>
      </c>
      <c r="H197" s="395">
        <f>Allocation!$H$14</f>
        <v>0.50419999999999998</v>
      </c>
      <c r="I197" s="364">
        <f t="shared" si="62"/>
        <v>0</v>
      </c>
      <c r="K197" s="364">
        <f>[4]Reserve!C18</f>
        <v>0</v>
      </c>
      <c r="L197" s="395">
        <f t="shared" si="63"/>
        <v>9.8599999999999993E-2</v>
      </c>
      <c r="M197" s="395">
        <f t="shared" si="64"/>
        <v>0.50419999999999998</v>
      </c>
      <c r="N197" s="364">
        <f t="shared" si="61"/>
        <v>0</v>
      </c>
      <c r="P197" s="537"/>
      <c r="R197" s="358"/>
      <c r="S197" s="358"/>
    </row>
    <row r="198" spans="1:19">
      <c r="A198" s="112">
        <f t="shared" si="48"/>
        <v>184</v>
      </c>
      <c r="B198" s="431">
        <v>39400</v>
      </c>
      <c r="C198" s="80" t="s">
        <v>1472</v>
      </c>
      <c r="D198" s="364">
        <f>[4]Reserve!Q19</f>
        <v>51980.645579000025</v>
      </c>
      <c r="E198" s="502">
        <v>0</v>
      </c>
      <c r="F198" s="364">
        <f t="shared" si="58"/>
        <v>51980.645579000025</v>
      </c>
      <c r="G198" s="395">
        <f>Allocation!$G$14</f>
        <v>9.8599999999999993E-2</v>
      </c>
      <c r="H198" s="395">
        <f>Allocation!$H$14</f>
        <v>0.50419999999999998</v>
      </c>
      <c r="I198" s="364">
        <f t="shared" si="62"/>
        <v>2584.1720519918763</v>
      </c>
      <c r="K198" s="364">
        <f>[4]Reserve!C19</f>
        <v>48820.285348192316</v>
      </c>
      <c r="L198" s="395">
        <f t="shared" si="63"/>
        <v>9.8599999999999993E-2</v>
      </c>
      <c r="M198" s="395">
        <f t="shared" si="64"/>
        <v>0.50419999999999998</v>
      </c>
      <c r="N198" s="364">
        <f t="shared" si="61"/>
        <v>2427.0575242342743</v>
      </c>
      <c r="P198" s="537"/>
      <c r="R198" s="358"/>
      <c r="S198" s="358"/>
    </row>
    <row r="199" spans="1:19">
      <c r="A199" s="112">
        <f t="shared" si="48"/>
        <v>185</v>
      </c>
      <c r="B199" s="431">
        <v>39420</v>
      </c>
      <c r="C199" s="80" t="s">
        <v>1443</v>
      </c>
      <c r="D199" s="364">
        <f>[4]Reserve!Q20</f>
        <v>388.07</v>
      </c>
      <c r="E199" s="502">
        <v>0</v>
      </c>
      <c r="F199" s="364">
        <f t="shared" si="58"/>
        <v>388.07</v>
      </c>
      <c r="G199" s="395">
        <v>1</v>
      </c>
      <c r="H199" s="395">
        <f>H190</f>
        <v>6.106367E-2</v>
      </c>
      <c r="I199" s="364">
        <f>F199*G199*H199</f>
        <v>23.696978416899999</v>
      </c>
      <c r="K199" s="364">
        <f>[4]Reserve!C20</f>
        <v>388.07</v>
      </c>
      <c r="L199" s="395">
        <f t="shared" si="63"/>
        <v>1</v>
      </c>
      <c r="M199" s="395">
        <f t="shared" si="64"/>
        <v>6.106367E-2</v>
      </c>
      <c r="N199" s="364">
        <f t="shared" si="61"/>
        <v>23.696978416899999</v>
      </c>
      <c r="P199" s="537"/>
      <c r="R199" s="358"/>
      <c r="S199" s="358"/>
    </row>
    <row r="200" spans="1:19">
      <c r="A200" s="112">
        <f t="shared" si="48"/>
        <v>186</v>
      </c>
      <c r="B200" s="431">
        <v>39500</v>
      </c>
      <c r="C200" s="80" t="s">
        <v>1493</v>
      </c>
      <c r="D200" s="364">
        <f>[4]Reserve!Q21</f>
        <v>0</v>
      </c>
      <c r="E200" s="502">
        <v>0</v>
      </c>
      <c r="F200" s="364">
        <f t="shared" si="58"/>
        <v>0</v>
      </c>
      <c r="G200" s="395">
        <f>Allocation!$G$14</f>
        <v>9.8599999999999993E-2</v>
      </c>
      <c r="H200" s="395">
        <f>Allocation!$H$14</f>
        <v>0.50419999999999998</v>
      </c>
      <c r="I200" s="364">
        <f t="shared" si="62"/>
        <v>0</v>
      </c>
      <c r="K200" s="364">
        <f>[4]Reserve!C21</f>
        <v>0</v>
      </c>
      <c r="L200" s="395">
        <f t="shared" si="63"/>
        <v>9.8599999999999993E-2</v>
      </c>
      <c r="M200" s="395">
        <f t="shared" si="64"/>
        <v>0.50419999999999998</v>
      </c>
      <c r="N200" s="364">
        <f t="shared" si="61"/>
        <v>0</v>
      </c>
      <c r="P200" s="537"/>
      <c r="R200" s="358"/>
      <c r="S200" s="358"/>
    </row>
    <row r="201" spans="1:19">
      <c r="A201" s="112">
        <f t="shared" si="48"/>
        <v>187</v>
      </c>
      <c r="B201" s="431">
        <v>39700</v>
      </c>
      <c r="C201" s="80" t="s">
        <v>1476</v>
      </c>
      <c r="D201" s="364">
        <f>[4]Reserve!Q22</f>
        <v>7425.6161624348788</v>
      </c>
      <c r="E201" s="502">
        <v>0</v>
      </c>
      <c r="F201" s="364">
        <f t="shared" si="58"/>
        <v>7425.6161624348788</v>
      </c>
      <c r="G201" s="395">
        <f>Allocation!$G$14</f>
        <v>9.8599999999999993E-2</v>
      </c>
      <c r="H201" s="395">
        <f>Allocation!$H$14</f>
        <v>0.50419999999999998</v>
      </c>
      <c r="I201" s="364">
        <f t="shared" si="62"/>
        <v>369.157972973227</v>
      </c>
      <c r="K201" s="364">
        <f>[4]Reserve!C22</f>
        <v>-3842.4015669200307</v>
      </c>
      <c r="L201" s="395">
        <f t="shared" si="63"/>
        <v>9.8599999999999993E-2</v>
      </c>
      <c r="M201" s="395">
        <f t="shared" si="64"/>
        <v>0.50419999999999998</v>
      </c>
      <c r="N201" s="364">
        <f t="shared" si="61"/>
        <v>-191.02161258605042</v>
      </c>
      <c r="P201" s="537"/>
      <c r="R201" s="358"/>
      <c r="S201" s="358"/>
    </row>
    <row r="202" spans="1:19">
      <c r="A202" s="112">
        <f t="shared" si="48"/>
        <v>188</v>
      </c>
      <c r="B202" s="431">
        <v>39720</v>
      </c>
      <c r="C202" s="80" t="s">
        <v>1444</v>
      </c>
      <c r="D202" s="364">
        <f>[4]Reserve!Q23</f>
        <v>5395.9019449999978</v>
      </c>
      <c r="E202" s="502">
        <v>0</v>
      </c>
      <c r="F202" s="364">
        <f t="shared" si="58"/>
        <v>5395.9019449999978</v>
      </c>
      <c r="G202" s="395">
        <v>1</v>
      </c>
      <c r="H202" s="395">
        <f>H190</f>
        <v>6.106367E-2</v>
      </c>
      <c r="I202" s="364">
        <f t="shared" si="59"/>
        <v>329.493575721838</v>
      </c>
      <c r="K202" s="364">
        <f>[4]Reserve!C23</f>
        <v>5140.2586005769217</v>
      </c>
      <c r="L202" s="395">
        <f t="shared" si="63"/>
        <v>1</v>
      </c>
      <c r="M202" s="395">
        <f t="shared" si="64"/>
        <v>6.106367E-2</v>
      </c>
      <c r="N202" s="364">
        <f t="shared" si="61"/>
        <v>313.88305490029097</v>
      </c>
      <c r="P202" s="537"/>
      <c r="R202" s="358"/>
      <c r="S202" s="358"/>
    </row>
    <row r="203" spans="1:19">
      <c r="A203" s="112">
        <f t="shared" si="48"/>
        <v>189</v>
      </c>
      <c r="B203" s="431">
        <v>39800</v>
      </c>
      <c r="C203" s="80" t="s">
        <v>1478</v>
      </c>
      <c r="D203" s="364">
        <f>[4]Reserve!Q24</f>
        <v>60678.096803999986</v>
      </c>
      <c r="E203" s="502">
        <v>0</v>
      </c>
      <c r="F203" s="364">
        <f t="shared" si="58"/>
        <v>60678.096803999986</v>
      </c>
      <c r="G203" s="395">
        <f>$G$186</f>
        <v>9.8599999999999993E-2</v>
      </c>
      <c r="H203" s="395">
        <f>$H$186</f>
        <v>0.50419999999999998</v>
      </c>
      <c r="I203" s="364">
        <f t="shared" si="59"/>
        <v>3016.5581858856713</v>
      </c>
      <c r="K203" s="364">
        <f>[4]Reserve!C24</f>
        <v>57464.058370307677</v>
      </c>
      <c r="L203" s="395">
        <f t="shared" si="63"/>
        <v>9.8599999999999993E-2</v>
      </c>
      <c r="M203" s="395">
        <f t="shared" si="64"/>
        <v>0.50419999999999998</v>
      </c>
      <c r="N203" s="364">
        <f t="shared" si="61"/>
        <v>2856.77509350848</v>
      </c>
      <c r="P203" s="537"/>
      <c r="R203" s="358"/>
      <c r="S203" s="358"/>
    </row>
    <row r="204" spans="1:19">
      <c r="A204" s="112">
        <f t="shared" si="48"/>
        <v>190</v>
      </c>
      <c r="B204" s="431">
        <v>39820</v>
      </c>
      <c r="C204" s="80" t="s">
        <v>1445</v>
      </c>
      <c r="D204" s="364">
        <f>[4]Reserve!Q25</f>
        <v>1591.1229154999999</v>
      </c>
      <c r="E204" s="502">
        <v>0</v>
      </c>
      <c r="F204" s="364">
        <f t="shared" si="58"/>
        <v>1591.1229154999999</v>
      </c>
      <c r="G204" s="395">
        <v>1</v>
      </c>
      <c r="H204" s="395">
        <f>H202</f>
        <v>6.106367E-2</v>
      </c>
      <c r="I204" s="364">
        <f t="shared" si="59"/>
        <v>97.159804641529874</v>
      </c>
      <c r="K204" s="364">
        <f>[4]Reserve!C25</f>
        <v>1419.915400326923</v>
      </c>
      <c r="L204" s="395">
        <f t="shared" si="63"/>
        <v>1</v>
      </c>
      <c r="M204" s="395">
        <f t="shared" si="64"/>
        <v>6.106367E-2</v>
      </c>
      <c r="N204" s="364">
        <f t="shared" si="61"/>
        <v>86.70524543348111</v>
      </c>
      <c r="P204" s="537"/>
      <c r="R204" s="358"/>
      <c r="S204" s="358"/>
    </row>
    <row r="205" spans="1:19">
      <c r="A205" s="112">
        <f t="shared" si="48"/>
        <v>191</v>
      </c>
      <c r="B205" s="431">
        <v>39900</v>
      </c>
      <c r="C205" s="80" t="s">
        <v>1494</v>
      </c>
      <c r="D205" s="364">
        <f>[4]Reserve!Q26</f>
        <v>-0.06</v>
      </c>
      <c r="E205" s="502">
        <v>0</v>
      </c>
      <c r="F205" s="364">
        <f t="shared" si="58"/>
        <v>-0.06</v>
      </c>
      <c r="G205" s="395">
        <f>$G$186</f>
        <v>9.8599999999999993E-2</v>
      </c>
      <c r="H205" s="395">
        <f>$H$186</f>
        <v>0.50419999999999998</v>
      </c>
      <c r="I205" s="364">
        <f t="shared" si="59"/>
        <v>-2.9828471999999995E-3</v>
      </c>
      <c r="K205" s="364">
        <f>[4]Reserve!C26</f>
        <v>-6.0000000000000019E-2</v>
      </c>
      <c r="L205" s="395">
        <f t="shared" si="63"/>
        <v>9.8599999999999993E-2</v>
      </c>
      <c r="M205" s="395">
        <f t="shared" si="64"/>
        <v>0.50419999999999998</v>
      </c>
      <c r="N205" s="364">
        <f t="shared" si="61"/>
        <v>-2.9828472000000003E-3</v>
      </c>
      <c r="P205" s="537"/>
      <c r="R205" s="358"/>
      <c r="S205" s="358"/>
    </row>
    <row r="206" spans="1:19">
      <c r="A206" s="112">
        <f t="shared" si="48"/>
        <v>192</v>
      </c>
      <c r="B206" s="431">
        <v>39901</v>
      </c>
      <c r="C206" s="72" t="s">
        <v>1487</v>
      </c>
      <c r="D206" s="364">
        <f>[4]Reserve!Q27</f>
        <v>2399975.9065431622</v>
      </c>
      <c r="E206" s="364">
        <v>0</v>
      </c>
      <c r="F206" s="364">
        <f t="shared" ref="F206" si="65">D206+E206</f>
        <v>2399975.9065431622</v>
      </c>
      <c r="G206" s="395">
        <v>1</v>
      </c>
      <c r="H206" s="395">
        <f>$H$201</f>
        <v>0.50419999999999998</v>
      </c>
      <c r="I206" s="364">
        <f t="shared" ref="I206" si="66">F206*G206*H206</f>
        <v>1210067.8520790623</v>
      </c>
      <c r="K206" s="364">
        <f>[4]Reserve!C27</f>
        <v>1079759.9493909674</v>
      </c>
      <c r="L206" s="395">
        <f t="shared" si="63"/>
        <v>1</v>
      </c>
      <c r="M206" s="395">
        <f t="shared" si="64"/>
        <v>0.50419999999999998</v>
      </c>
      <c r="N206" s="364">
        <f t="shared" ref="N206" si="67">K206*L206*M206</f>
        <v>544414.96648292569</v>
      </c>
      <c r="P206" s="537"/>
      <c r="R206" s="358"/>
      <c r="S206" s="358"/>
    </row>
    <row r="207" spans="1:19">
      <c r="A207" s="112">
        <f t="shared" si="48"/>
        <v>193</v>
      </c>
      <c r="B207" s="431">
        <v>39902</v>
      </c>
      <c r="C207" s="80" t="s">
        <v>1488</v>
      </c>
      <c r="D207" s="364">
        <f>[4]Reserve!Q28</f>
        <v>7793993.7509781569</v>
      </c>
      <c r="E207" s="502">
        <v>0</v>
      </c>
      <c r="F207" s="364">
        <f t="shared" si="58"/>
        <v>7793993.7509781569</v>
      </c>
      <c r="G207" s="395">
        <f t="shared" ref="G207:G224" si="68">$G$186</f>
        <v>9.8599999999999993E-2</v>
      </c>
      <c r="H207" s="395">
        <f t="shared" ref="H207:H224" si="69">$H$186</f>
        <v>0.50419999999999998</v>
      </c>
      <c r="I207" s="364">
        <f t="shared" si="59"/>
        <v>387471.54061537818</v>
      </c>
      <c r="K207" s="364">
        <f>[4]Reserve!C28</f>
        <v>7461594.8226942522</v>
      </c>
      <c r="L207" s="395">
        <f t="shared" si="63"/>
        <v>9.8599999999999993E-2</v>
      </c>
      <c r="M207" s="395">
        <f t="shared" si="64"/>
        <v>0.50419999999999998</v>
      </c>
      <c r="N207" s="364">
        <f t="shared" si="61"/>
        <v>370946.62040680076</v>
      </c>
      <c r="P207" s="537"/>
      <c r="R207" s="358"/>
      <c r="S207" s="358"/>
    </row>
    <row r="208" spans="1:19">
      <c r="A208" s="112">
        <f t="shared" si="48"/>
        <v>194</v>
      </c>
      <c r="B208" s="431">
        <v>39903</v>
      </c>
      <c r="C208" s="80" t="s">
        <v>1479</v>
      </c>
      <c r="D208" s="364">
        <f>[4]Reserve!Q29</f>
        <v>1038274.8845493306</v>
      </c>
      <c r="E208" s="502">
        <v>0</v>
      </c>
      <c r="F208" s="364">
        <f t="shared" si="58"/>
        <v>1038274.8845493306</v>
      </c>
      <c r="G208" s="395">
        <f t="shared" si="68"/>
        <v>9.8599999999999993E-2</v>
      </c>
      <c r="H208" s="395">
        <f t="shared" si="69"/>
        <v>0.50419999999999998</v>
      </c>
      <c r="I208" s="364">
        <f t="shared" si="59"/>
        <v>51616.922203471557</v>
      </c>
      <c r="K208" s="364">
        <f>[4]Reserve!C29</f>
        <v>899517.18876566074</v>
      </c>
      <c r="L208" s="395">
        <f t="shared" si="63"/>
        <v>9.8599999999999993E-2</v>
      </c>
      <c r="M208" s="395">
        <f t="shared" si="64"/>
        <v>0.50419999999999998</v>
      </c>
      <c r="N208" s="364">
        <f t="shared" si="61"/>
        <v>44718.705464358703</v>
      </c>
      <c r="P208" s="537"/>
      <c r="R208" s="358"/>
      <c r="S208" s="358"/>
    </row>
    <row r="209" spans="1:19">
      <c r="A209" s="112">
        <f t="shared" si="48"/>
        <v>195</v>
      </c>
      <c r="B209" s="431">
        <v>39904</v>
      </c>
      <c r="C209" s="80" t="s">
        <v>1495</v>
      </c>
      <c r="D209" s="364">
        <f>[4]Reserve!Q30</f>
        <v>0</v>
      </c>
      <c r="E209" s="502">
        <v>0</v>
      </c>
      <c r="F209" s="364">
        <f t="shared" si="58"/>
        <v>0</v>
      </c>
      <c r="G209" s="395">
        <f t="shared" si="68"/>
        <v>9.8599999999999993E-2</v>
      </c>
      <c r="H209" s="395">
        <f t="shared" si="69"/>
        <v>0.50419999999999998</v>
      </c>
      <c r="I209" s="364">
        <f t="shared" si="59"/>
        <v>0</v>
      </c>
      <c r="K209" s="364">
        <f>[4]Reserve!C30</f>
        <v>0</v>
      </c>
      <c r="L209" s="395">
        <f t="shared" si="63"/>
        <v>9.8599999999999993E-2</v>
      </c>
      <c r="M209" s="395">
        <f t="shared" si="64"/>
        <v>0.50419999999999998</v>
      </c>
      <c r="N209" s="364">
        <f t="shared" si="61"/>
        <v>0</v>
      </c>
      <c r="P209" s="537"/>
      <c r="R209" s="358"/>
      <c r="S209" s="358"/>
    </row>
    <row r="210" spans="1:19">
      <c r="A210" s="112">
        <f t="shared" si="48"/>
        <v>196</v>
      </c>
      <c r="B210" s="431">
        <v>39905</v>
      </c>
      <c r="C210" s="80" t="s">
        <v>1496</v>
      </c>
      <c r="D210" s="364">
        <f>[4]Reserve!Q31</f>
        <v>0</v>
      </c>
      <c r="E210" s="364">
        <v>0</v>
      </c>
      <c r="F210" s="364">
        <f t="shared" ref="F210" si="70">D210+E210</f>
        <v>0</v>
      </c>
      <c r="G210" s="395">
        <f t="shared" si="68"/>
        <v>9.8599999999999993E-2</v>
      </c>
      <c r="H210" s="395">
        <f t="shared" si="69"/>
        <v>0.50419999999999998</v>
      </c>
      <c r="I210" s="364">
        <f t="shared" ref="I210" si="71">F210*G210*H210</f>
        <v>0</v>
      </c>
      <c r="K210" s="364">
        <f>[4]Reserve!C31</f>
        <v>0</v>
      </c>
      <c r="L210" s="395">
        <f t="shared" si="63"/>
        <v>9.8599999999999993E-2</v>
      </c>
      <c r="M210" s="395">
        <f t="shared" si="64"/>
        <v>0.50419999999999998</v>
      </c>
      <c r="N210" s="364">
        <f t="shared" ref="N210" si="72">K210*L210*M210</f>
        <v>0</v>
      </c>
      <c r="P210" s="537"/>
      <c r="R210" s="358"/>
      <c r="S210" s="358"/>
    </row>
    <row r="211" spans="1:19">
      <c r="A211" s="112">
        <f t="shared" si="48"/>
        <v>197</v>
      </c>
      <c r="B211" s="570">
        <v>39906</v>
      </c>
      <c r="C211" s="80" t="s">
        <v>1480</v>
      </c>
      <c r="D211" s="364">
        <f>[4]Reserve!Q32</f>
        <v>9889.3494596250348</v>
      </c>
      <c r="E211" s="502">
        <v>0</v>
      </c>
      <c r="F211" s="364">
        <f t="shared" si="58"/>
        <v>9889.3494596250348</v>
      </c>
      <c r="G211" s="395">
        <f t="shared" si="68"/>
        <v>9.8599999999999993E-2</v>
      </c>
      <c r="H211" s="395">
        <f t="shared" si="69"/>
        <v>0.50419999999999998</v>
      </c>
      <c r="I211" s="364">
        <f t="shared" si="59"/>
        <v>491.6403057577341</v>
      </c>
      <c r="K211" s="364">
        <f>[4]Reserve!C32</f>
        <v>-156905.52469088227</v>
      </c>
      <c r="L211" s="395">
        <f t="shared" si="63"/>
        <v>9.8599999999999993E-2</v>
      </c>
      <c r="M211" s="395">
        <f t="shared" si="64"/>
        <v>0.50419999999999998</v>
      </c>
      <c r="N211" s="364">
        <f t="shared" si="61"/>
        <v>-7800.4200831454827</v>
      </c>
      <c r="P211" s="537"/>
      <c r="R211" s="358"/>
      <c r="S211" s="358"/>
    </row>
    <row r="212" spans="1:19">
      <c r="A212" s="112">
        <f t="shared" ref="A212:A264" si="73">A211+1</f>
        <v>198</v>
      </c>
      <c r="B212" s="570">
        <v>39907</v>
      </c>
      <c r="C212" s="80" t="s">
        <v>1481</v>
      </c>
      <c r="D212" s="364">
        <f>[4]Reserve!Q33</f>
        <v>214677.05574699998</v>
      </c>
      <c r="E212" s="502">
        <v>0</v>
      </c>
      <c r="F212" s="364">
        <f t="shared" si="58"/>
        <v>214677.05574699998</v>
      </c>
      <c r="G212" s="395">
        <f t="shared" si="68"/>
        <v>9.8599999999999993E-2</v>
      </c>
      <c r="H212" s="395">
        <f t="shared" si="69"/>
        <v>0.50419999999999998</v>
      </c>
      <c r="I212" s="364">
        <f t="shared" si="59"/>
        <v>10672.480910653047</v>
      </c>
      <c r="K212" s="364">
        <f>[4]Reserve!C33</f>
        <v>175384.55577803848</v>
      </c>
      <c r="L212" s="395">
        <f t="shared" si="63"/>
        <v>9.8599999999999993E-2</v>
      </c>
      <c r="M212" s="395">
        <f t="shared" si="64"/>
        <v>0.50419999999999998</v>
      </c>
      <c r="N212" s="364">
        <f t="shared" si="61"/>
        <v>8719.088852096098</v>
      </c>
      <c r="P212" s="537"/>
      <c r="R212" s="358"/>
      <c r="S212" s="358"/>
    </row>
    <row r="213" spans="1:19">
      <c r="A213" s="112">
        <f t="shared" si="73"/>
        <v>199</v>
      </c>
      <c r="B213" s="570">
        <v>39908</v>
      </c>
      <c r="C213" s="80" t="s">
        <v>1482</v>
      </c>
      <c r="D213" s="364">
        <f>[4]Reserve!Q34</f>
        <v>42967423.93887718</v>
      </c>
      <c r="E213" s="502">
        <v>0</v>
      </c>
      <c r="F213" s="364">
        <f t="shared" si="58"/>
        <v>42967423.93887718</v>
      </c>
      <c r="G213" s="395">
        <f t="shared" si="68"/>
        <v>9.8599999999999993E-2</v>
      </c>
      <c r="H213" s="395">
        <f t="shared" si="69"/>
        <v>0.50419999999999998</v>
      </c>
      <c r="I213" s="364">
        <f t="shared" si="59"/>
        <v>2136087.6697882125</v>
      </c>
      <c r="K213" s="364">
        <f>[4]Reserve!C34</f>
        <v>40121619.286095455</v>
      </c>
      <c r="L213" s="395">
        <f t="shared" si="63"/>
        <v>9.8599999999999993E-2</v>
      </c>
      <c r="M213" s="395">
        <f t="shared" si="64"/>
        <v>0.50419999999999998</v>
      </c>
      <c r="N213" s="364">
        <f t="shared" si="61"/>
        <v>1994610.9957832636</v>
      </c>
      <c r="P213" s="537"/>
      <c r="R213" s="358"/>
      <c r="S213" s="358"/>
    </row>
    <row r="214" spans="1:19">
      <c r="A214" s="112">
        <f t="shared" si="73"/>
        <v>200</v>
      </c>
      <c r="B214" s="570">
        <v>39909</v>
      </c>
      <c r="C214" s="80" t="s">
        <v>1497</v>
      </c>
      <c r="D214" s="364">
        <f>[4]Reserve!Q35</f>
        <v>0</v>
      </c>
      <c r="E214" s="502">
        <v>0</v>
      </c>
      <c r="F214" s="364">
        <f t="shared" si="58"/>
        <v>0</v>
      </c>
      <c r="G214" s="395">
        <f t="shared" si="68"/>
        <v>9.8599999999999993E-2</v>
      </c>
      <c r="H214" s="395">
        <f t="shared" si="69"/>
        <v>0.50419999999999998</v>
      </c>
      <c r="I214" s="364">
        <f t="shared" si="59"/>
        <v>0</v>
      </c>
      <c r="K214" s="364">
        <f>[4]Reserve!C35</f>
        <v>1894.0500000000002</v>
      </c>
      <c r="L214" s="395">
        <f t="shared" si="63"/>
        <v>9.8599999999999993E-2</v>
      </c>
      <c r="M214" s="395">
        <f t="shared" si="64"/>
        <v>0.50419999999999998</v>
      </c>
      <c r="N214" s="364">
        <f t="shared" si="61"/>
        <v>94.161028986000005</v>
      </c>
      <c r="P214" s="537"/>
      <c r="R214" s="358"/>
      <c r="S214" s="358"/>
    </row>
    <row r="215" spans="1:19">
      <c r="A215" s="112">
        <f t="shared" si="73"/>
        <v>201</v>
      </c>
      <c r="B215" s="570">
        <v>39921</v>
      </c>
      <c r="C215" s="80" t="s">
        <v>1446</v>
      </c>
      <c r="D215" s="364">
        <f>[4]Reserve!Q36</f>
        <v>665338.26071849314</v>
      </c>
      <c r="E215" s="502">
        <v>0</v>
      </c>
      <c r="F215" s="364">
        <f t="shared" si="58"/>
        <v>665338.26071849314</v>
      </c>
      <c r="G215" s="395">
        <v>1</v>
      </c>
      <c r="H215" s="395">
        <f>H189</f>
        <v>6.106367E-2</v>
      </c>
      <c r="I215" s="364">
        <f t="shared" si="59"/>
        <v>40627.995990888026</v>
      </c>
      <c r="K215" s="364">
        <f>[4]Reserve!C36</f>
        <v>598153.79884472361</v>
      </c>
      <c r="L215" s="395">
        <f t="shared" si="63"/>
        <v>1</v>
      </c>
      <c r="M215" s="395">
        <f t="shared" si="64"/>
        <v>6.106367E-2</v>
      </c>
      <c r="N215" s="364">
        <f t="shared" si="61"/>
        <v>36525.466181900585</v>
      </c>
      <c r="P215" s="537"/>
      <c r="R215" s="358"/>
      <c r="S215" s="358"/>
    </row>
    <row r="216" spans="1:19">
      <c r="A216" s="112">
        <f t="shared" si="73"/>
        <v>202</v>
      </c>
      <c r="B216" s="570">
        <v>39922</v>
      </c>
      <c r="C216" s="80" t="s">
        <v>1447</v>
      </c>
      <c r="D216" s="364">
        <f>[4]Reserve!Q37</f>
        <v>1299510.1759615168</v>
      </c>
      <c r="E216" s="502">
        <v>0</v>
      </c>
      <c r="F216" s="364">
        <f t="shared" si="58"/>
        <v>1299510.1759615168</v>
      </c>
      <c r="G216" s="395">
        <v>1</v>
      </c>
      <c r="H216" s="395">
        <f>H189</f>
        <v>6.106367E-2</v>
      </c>
      <c r="I216" s="364">
        <f t="shared" si="59"/>
        <v>79352.860546555996</v>
      </c>
      <c r="K216" s="364">
        <f>[4]Reserve!C37</f>
        <v>1027744.3529936088</v>
      </c>
      <c r="L216" s="395">
        <f t="shared" si="63"/>
        <v>1</v>
      </c>
      <c r="M216" s="395">
        <f t="shared" si="64"/>
        <v>6.106367E-2</v>
      </c>
      <c r="N216" s="364">
        <f t="shared" si="61"/>
        <v>62757.842015565242</v>
      </c>
      <c r="P216" s="537"/>
      <c r="R216" s="358"/>
      <c r="S216" s="358"/>
    </row>
    <row r="217" spans="1:19">
      <c r="A217" s="112">
        <f t="shared" si="73"/>
        <v>203</v>
      </c>
      <c r="B217" s="570">
        <v>39923</v>
      </c>
      <c r="C217" s="80" t="s">
        <v>1448</v>
      </c>
      <c r="D217" s="364">
        <f>[4]Reserve!Q38</f>
        <v>26302.80989134045</v>
      </c>
      <c r="E217" s="502">
        <v>0</v>
      </c>
      <c r="F217" s="364">
        <f t="shared" si="58"/>
        <v>26302.80989134045</v>
      </c>
      <c r="G217" s="395">
        <v>1</v>
      </c>
      <c r="H217" s="395">
        <f>H189</f>
        <v>6.106367E-2</v>
      </c>
      <c r="I217" s="364">
        <f t="shared" si="59"/>
        <v>1606.1461032775492</v>
      </c>
      <c r="K217" s="364">
        <f>[4]Reserve!C38</f>
        <v>17235.371348604127</v>
      </c>
      <c r="L217" s="395">
        <f t="shared" si="63"/>
        <v>1</v>
      </c>
      <c r="M217" s="395">
        <f t="shared" si="64"/>
        <v>6.106367E-2</v>
      </c>
      <c r="N217" s="364">
        <f t="shared" si="61"/>
        <v>1052.4550283586175</v>
      </c>
      <c r="P217" s="537"/>
      <c r="R217" s="358"/>
      <c r="S217" s="358"/>
    </row>
    <row r="218" spans="1:19">
      <c r="A218" s="112">
        <f t="shared" si="73"/>
        <v>204</v>
      </c>
      <c r="B218" s="570">
        <v>39924</v>
      </c>
      <c r="C218" s="80" t="s">
        <v>1340</v>
      </c>
      <c r="D218" s="364">
        <f>[4]Reserve!Q39</f>
        <v>0</v>
      </c>
      <c r="E218" s="502">
        <v>0</v>
      </c>
      <c r="F218" s="364">
        <f t="shared" si="58"/>
        <v>0</v>
      </c>
      <c r="G218" s="395">
        <f t="shared" si="68"/>
        <v>9.8599999999999993E-2</v>
      </c>
      <c r="H218" s="395">
        <f t="shared" si="69"/>
        <v>0.50419999999999998</v>
      </c>
      <c r="I218" s="364">
        <f t="shared" si="59"/>
        <v>0</v>
      </c>
      <c r="K218" s="364">
        <f>[4]Reserve!C39</f>
        <v>0</v>
      </c>
      <c r="L218" s="395">
        <f t="shared" si="63"/>
        <v>9.8599999999999993E-2</v>
      </c>
      <c r="M218" s="395">
        <f t="shared" si="64"/>
        <v>0.50419999999999998</v>
      </c>
      <c r="N218" s="364">
        <f t="shared" si="61"/>
        <v>0</v>
      </c>
      <c r="P218" s="537"/>
      <c r="R218" s="358"/>
      <c r="S218" s="358"/>
    </row>
    <row r="219" spans="1:19">
      <c r="A219" s="112">
        <f t="shared" si="73"/>
        <v>205</v>
      </c>
      <c r="B219" s="570">
        <v>39926</v>
      </c>
      <c r="C219" s="80" t="s">
        <v>1457</v>
      </c>
      <c r="D219" s="364">
        <f>[4]Reserve!Q40</f>
        <v>154259.34096200005</v>
      </c>
      <c r="E219" s="502">
        <v>0</v>
      </c>
      <c r="F219" s="364">
        <f t="shared" si="58"/>
        <v>154259.34096200005</v>
      </c>
      <c r="G219" s="395">
        <v>1</v>
      </c>
      <c r="H219" s="395">
        <f>H215</f>
        <v>6.106367E-2</v>
      </c>
      <c r="I219" s="364">
        <f t="shared" si="59"/>
        <v>9419.6414909210525</v>
      </c>
      <c r="K219" s="364">
        <f>[4]Reserve!C40</f>
        <v>137305.44448976923</v>
      </c>
      <c r="L219" s="395">
        <f t="shared" si="63"/>
        <v>1</v>
      </c>
      <c r="M219" s="395">
        <f t="shared" si="64"/>
        <v>6.106367E-2</v>
      </c>
      <c r="N219" s="364">
        <f t="shared" si="61"/>
        <v>8384.3743515265869</v>
      </c>
      <c r="P219" s="537"/>
      <c r="R219" s="358"/>
      <c r="S219" s="358"/>
    </row>
    <row r="220" spans="1:19">
      <c r="A220" s="112">
        <f t="shared" si="73"/>
        <v>206</v>
      </c>
      <c r="B220" s="570">
        <v>39928</v>
      </c>
      <c r="C220" s="80" t="s">
        <v>1458</v>
      </c>
      <c r="D220" s="364">
        <f>[4]Reserve!Q41</f>
        <v>15787887.543220043</v>
      </c>
      <c r="E220" s="502">
        <v>0</v>
      </c>
      <c r="F220" s="364">
        <f t="shared" si="58"/>
        <v>15787887.543220043</v>
      </c>
      <c r="G220" s="395">
        <v>1</v>
      </c>
      <c r="H220" s="395">
        <f>H215</f>
        <v>6.106367E-2</v>
      </c>
      <c r="I220" s="364">
        <f t="shared" si="59"/>
        <v>964066.3549362995</v>
      </c>
      <c r="K220" s="364">
        <f>[4]Reserve!C41</f>
        <v>14944127.711625755</v>
      </c>
      <c r="L220" s="395">
        <f t="shared" si="63"/>
        <v>1</v>
      </c>
      <c r="M220" s="395">
        <f t="shared" si="64"/>
        <v>6.106367E-2</v>
      </c>
      <c r="N220" s="364">
        <f t="shared" si="61"/>
        <v>912543.28302057029</v>
      </c>
      <c r="P220" s="537"/>
      <c r="R220" s="358"/>
      <c r="S220" s="358"/>
    </row>
    <row r="221" spans="1:19">
      <c r="A221" s="112">
        <f t="shared" si="73"/>
        <v>207</v>
      </c>
      <c r="B221" s="570">
        <v>39931</v>
      </c>
      <c r="C221" s="80" t="s">
        <v>1459</v>
      </c>
      <c r="D221" s="364">
        <f>[4]Reserve!Q42</f>
        <v>145163.21731399995</v>
      </c>
      <c r="E221" s="502">
        <v>0</v>
      </c>
      <c r="F221" s="364">
        <f t="shared" si="58"/>
        <v>145163.21731399995</v>
      </c>
      <c r="G221" s="395">
        <v>1</v>
      </c>
      <c r="H221" s="395">
        <f>Allocation!$E$23</f>
        <v>4.6370689999999999E-2</v>
      </c>
      <c r="I221" s="364">
        <f t="shared" si="59"/>
        <v>6731.3185494701238</v>
      </c>
      <c r="K221" s="364">
        <f>[4]Reserve!C42</f>
        <v>131055.82850761538</v>
      </c>
      <c r="L221" s="395">
        <f t="shared" si="63"/>
        <v>1</v>
      </c>
      <c r="M221" s="395">
        <f t="shared" si="64"/>
        <v>4.6370689999999999E-2</v>
      </c>
      <c r="N221" s="364">
        <f t="shared" si="61"/>
        <v>6077.1491964197958</v>
      </c>
      <c r="P221" s="537"/>
      <c r="R221" s="358"/>
      <c r="S221" s="358"/>
    </row>
    <row r="222" spans="1:19">
      <c r="A222" s="112">
        <f t="shared" si="73"/>
        <v>208</v>
      </c>
      <c r="B222" s="570">
        <v>39932</v>
      </c>
      <c r="C222" s="80" t="s">
        <v>1460</v>
      </c>
      <c r="D222" s="364">
        <f>[4]Reserve!Q43</f>
        <v>207892.03663649995</v>
      </c>
      <c r="E222" s="502">
        <v>0</v>
      </c>
      <c r="F222" s="364">
        <f t="shared" si="58"/>
        <v>207892.03663649995</v>
      </c>
      <c r="G222" s="395">
        <v>1</v>
      </c>
      <c r="H222" s="395">
        <f>Allocation!$E$23</f>
        <v>4.6370689999999999E-2</v>
      </c>
      <c r="I222" s="364">
        <f t="shared" si="59"/>
        <v>9640.097184339782</v>
      </c>
      <c r="K222" s="364">
        <f>[4]Reserve!C43</f>
        <v>172781.80986367309</v>
      </c>
      <c r="L222" s="395">
        <f t="shared" si="63"/>
        <v>1</v>
      </c>
      <c r="M222" s="395">
        <f t="shared" si="64"/>
        <v>4.6370689999999999E-2</v>
      </c>
      <c r="N222" s="364">
        <f t="shared" si="61"/>
        <v>8012.011742827327</v>
      </c>
      <c r="P222" s="537"/>
      <c r="R222" s="358"/>
      <c r="S222" s="358"/>
    </row>
    <row r="223" spans="1:19">
      <c r="A223" s="112">
        <f t="shared" si="73"/>
        <v>209</v>
      </c>
      <c r="B223" s="570">
        <v>39938</v>
      </c>
      <c r="C223" s="80" t="s">
        <v>1461</v>
      </c>
      <c r="D223" s="364">
        <f>[4]Reserve!Q44</f>
        <v>7622316.5710678454</v>
      </c>
      <c r="E223" s="502">
        <v>0</v>
      </c>
      <c r="F223" s="364">
        <f t="shared" si="58"/>
        <v>7622316.5710678454</v>
      </c>
      <c r="G223" s="395">
        <v>1</v>
      </c>
      <c r="H223" s="395">
        <f>Allocation!$E$23</f>
        <v>4.6370689999999999E-2</v>
      </c>
      <c r="I223" s="364">
        <f t="shared" si="59"/>
        <v>353452.07879885001</v>
      </c>
      <c r="K223" s="364">
        <f>[4]Reserve!C44</f>
        <v>6956770.9266151451</v>
      </c>
      <c r="L223" s="395">
        <f t="shared" si="63"/>
        <v>1</v>
      </c>
      <c r="M223" s="395">
        <f t="shared" si="64"/>
        <v>4.6370689999999999E-2</v>
      </c>
      <c r="N223" s="364"/>
      <c r="P223" s="537"/>
      <c r="R223" s="358"/>
      <c r="S223" s="358"/>
    </row>
    <row r="224" spans="1:19">
      <c r="A224" s="112">
        <f t="shared" si="73"/>
        <v>210</v>
      </c>
      <c r="B224" s="570"/>
      <c r="C224" s="80" t="s">
        <v>1124</v>
      </c>
      <c r="D224" s="364">
        <f>[4]Reserve!Q45</f>
        <v>0</v>
      </c>
      <c r="E224" s="856">
        <v>0</v>
      </c>
      <c r="F224" s="364">
        <f t="shared" si="58"/>
        <v>0</v>
      </c>
      <c r="G224" s="395">
        <f t="shared" si="68"/>
        <v>9.8599999999999993E-2</v>
      </c>
      <c r="H224" s="395">
        <f t="shared" si="69"/>
        <v>0.50419999999999998</v>
      </c>
      <c r="I224" s="842">
        <f t="shared" si="59"/>
        <v>0</v>
      </c>
      <c r="K224" s="364">
        <f>[4]Reserve!C45</f>
        <v>0</v>
      </c>
      <c r="L224" s="395">
        <f>L222</f>
        <v>1</v>
      </c>
      <c r="M224" s="357">
        <f t="shared" si="60"/>
        <v>0.50419999999999998</v>
      </c>
      <c r="N224" s="842">
        <f t="shared" si="61"/>
        <v>0</v>
      </c>
      <c r="P224" s="537"/>
      <c r="R224" s="358"/>
      <c r="S224" s="358"/>
    </row>
    <row r="225" spans="1:19">
      <c r="A225" s="112">
        <f t="shared" si="73"/>
        <v>211</v>
      </c>
      <c r="B225" s="334"/>
      <c r="C225" s="80"/>
      <c r="D225" s="499"/>
      <c r="E225" s="499"/>
      <c r="F225" s="499"/>
      <c r="K225" s="499"/>
    </row>
    <row r="226" spans="1:19" ht="15.75" thickBot="1">
      <c r="A226" s="112">
        <f t="shared" si="73"/>
        <v>212</v>
      </c>
      <c r="B226" s="334"/>
      <c r="C226" s="205" t="s">
        <v>1277</v>
      </c>
      <c r="D226" s="1060">
        <f>SUM(D186:D224)</f>
        <v>98268953.27554068</v>
      </c>
      <c r="E226" s="1060">
        <f>SUM(E186:E224)</f>
        <v>0</v>
      </c>
      <c r="F226" s="1060">
        <f>SUM(F186:F224)</f>
        <v>98268953.27554068</v>
      </c>
      <c r="I226" s="1060">
        <f>SUM(I186:I224)</f>
        <v>5998965.4958243761</v>
      </c>
      <c r="K226" s="1060">
        <f>SUM(K186:K224)</f>
        <v>90930152.33811976</v>
      </c>
      <c r="N226" s="1060">
        <f>SUM(N186:N224)</f>
        <v>4704902.7990377853</v>
      </c>
    </row>
    <row r="227" spans="1:19" ht="15.75" thickTop="1">
      <c r="A227" s="112">
        <f t="shared" si="73"/>
        <v>213</v>
      </c>
      <c r="B227" s="838"/>
      <c r="D227" s="364"/>
    </row>
    <row r="228" spans="1:19" ht="15.75">
      <c r="A228" s="112">
        <f t="shared" si="73"/>
        <v>214</v>
      </c>
      <c r="B228" s="843" t="s">
        <v>9</v>
      </c>
      <c r="D228" s="364"/>
    </row>
    <row r="229" spans="1:19">
      <c r="A229" s="112">
        <f t="shared" si="73"/>
        <v>215</v>
      </c>
      <c r="B229" s="838"/>
      <c r="D229" s="364"/>
    </row>
    <row r="230" spans="1:19">
      <c r="A230" s="112">
        <f t="shared" si="73"/>
        <v>216</v>
      </c>
      <c r="B230" s="334"/>
      <c r="C230" s="500" t="s">
        <v>299</v>
      </c>
      <c r="D230" s="364"/>
    </row>
    <row r="231" spans="1:19">
      <c r="A231" s="112">
        <f t="shared" si="73"/>
        <v>217</v>
      </c>
      <c r="B231" s="431">
        <v>38900</v>
      </c>
      <c r="C231" s="80" t="s">
        <v>1498</v>
      </c>
      <c r="D231" s="304">
        <f>[4]Reserve!Q50</f>
        <v>0</v>
      </c>
      <c r="E231" s="304">
        <v>0</v>
      </c>
      <c r="F231" s="304">
        <f t="shared" ref="F231:F260" si="74">D231+E231</f>
        <v>0</v>
      </c>
      <c r="G231" s="395">
        <f>Allocation!$G$15</f>
        <v>0.11020000000000001</v>
      </c>
      <c r="H231" s="395">
        <f>Allocation!$H$15</f>
        <v>0.50429999999999997</v>
      </c>
      <c r="I231" s="304">
        <f t="shared" ref="I231:I260" si="75">F231*G231*H231</f>
        <v>0</v>
      </c>
      <c r="K231" s="304">
        <f>[4]Reserve!C50</f>
        <v>0</v>
      </c>
      <c r="L231" s="395">
        <f t="shared" ref="L231:L260" si="76">G231</f>
        <v>0.11020000000000001</v>
      </c>
      <c r="M231" s="395">
        <f t="shared" ref="M231:M260" si="77">H231</f>
        <v>0.50429999999999997</v>
      </c>
      <c r="N231" s="304">
        <f t="shared" ref="N231:N260" si="78">K231*L231*M231</f>
        <v>0</v>
      </c>
      <c r="P231" s="537"/>
      <c r="R231" s="358"/>
      <c r="S231" s="358"/>
    </row>
    <row r="232" spans="1:19">
      <c r="A232" s="112">
        <f t="shared" si="73"/>
        <v>218</v>
      </c>
      <c r="B232" s="431">
        <v>38910</v>
      </c>
      <c r="C232" s="80" t="s">
        <v>1499</v>
      </c>
      <c r="D232" s="364">
        <f>[4]Reserve!Q51</f>
        <v>0</v>
      </c>
      <c r="E232" s="364">
        <v>0</v>
      </c>
      <c r="F232" s="364">
        <f t="shared" si="74"/>
        <v>0</v>
      </c>
      <c r="G232" s="395">
        <v>1</v>
      </c>
      <c r="H232" s="395">
        <f>Allocation!$I$21</f>
        <v>2.4788790000000002E-2</v>
      </c>
      <c r="I232" s="364">
        <f t="shared" si="75"/>
        <v>0</v>
      </c>
      <c r="K232" s="364">
        <f>[4]Reserve!C51</f>
        <v>0</v>
      </c>
      <c r="L232" s="395">
        <f t="shared" si="76"/>
        <v>1</v>
      </c>
      <c r="M232" s="395">
        <f t="shared" si="77"/>
        <v>2.4788790000000002E-2</v>
      </c>
      <c r="N232" s="364">
        <f t="shared" si="78"/>
        <v>0</v>
      </c>
      <c r="P232" s="537"/>
      <c r="R232" s="358"/>
      <c r="S232" s="358"/>
    </row>
    <row r="233" spans="1:19">
      <c r="A233" s="112">
        <f t="shared" si="73"/>
        <v>219</v>
      </c>
      <c r="B233" s="431">
        <v>39000</v>
      </c>
      <c r="C233" s="80" t="s">
        <v>1464</v>
      </c>
      <c r="D233" s="364">
        <f>[4]Reserve!Q52</f>
        <v>3165475.5770774493</v>
      </c>
      <c r="E233" s="364">
        <v>0</v>
      </c>
      <c r="F233" s="364">
        <f t="shared" si="74"/>
        <v>3165475.5770774493</v>
      </c>
      <c r="G233" s="395">
        <f>$G$231</f>
        <v>0.11020000000000001</v>
      </c>
      <c r="H233" s="395">
        <f>$H$231</f>
        <v>0.50429999999999997</v>
      </c>
      <c r="I233" s="364">
        <f t="shared" si="75"/>
        <v>175917.69655392139</v>
      </c>
      <c r="K233" s="364">
        <f>[4]Reserve!C52</f>
        <v>2962991.0998761365</v>
      </c>
      <c r="L233" s="395">
        <f t="shared" si="76"/>
        <v>0.11020000000000001</v>
      </c>
      <c r="M233" s="395">
        <f t="shared" si="77"/>
        <v>0.50429999999999997</v>
      </c>
      <c r="N233" s="364">
        <f t="shared" si="78"/>
        <v>164664.85256576241</v>
      </c>
      <c r="P233" s="537"/>
      <c r="R233" s="358"/>
      <c r="S233" s="358"/>
    </row>
    <row r="234" spans="1:19">
      <c r="A234" s="112">
        <f t="shared" si="73"/>
        <v>220</v>
      </c>
      <c r="B234" s="431">
        <v>39009</v>
      </c>
      <c r="C234" s="80" t="s">
        <v>1468</v>
      </c>
      <c r="D234" s="364">
        <f>[4]Reserve!Q53</f>
        <v>1994629.3101874995</v>
      </c>
      <c r="E234" s="364">
        <v>0</v>
      </c>
      <c r="F234" s="364">
        <f t="shared" si="74"/>
        <v>1994629.3101874995</v>
      </c>
      <c r="G234" s="395">
        <f>$G$231</f>
        <v>0.11020000000000001</v>
      </c>
      <c r="H234" s="395">
        <f>$H$231</f>
        <v>0.50429999999999997</v>
      </c>
      <c r="I234" s="364">
        <f t="shared" si="75"/>
        <v>110849.25003625668</v>
      </c>
      <c r="K234" s="364">
        <f>[4]Reserve!C53</f>
        <v>1946614.3812043266</v>
      </c>
      <c r="L234" s="395">
        <f t="shared" ref="L234:L259" si="79">G234</f>
        <v>0.11020000000000001</v>
      </c>
      <c r="M234" s="395">
        <f t="shared" ref="M234:M259" si="80">H234</f>
        <v>0.50429999999999997</v>
      </c>
      <c r="N234" s="364">
        <f t="shared" si="78"/>
        <v>108180.87509503588</v>
      </c>
      <c r="P234" s="537"/>
      <c r="R234" s="358"/>
      <c r="S234" s="358"/>
    </row>
    <row r="235" spans="1:19">
      <c r="A235" s="112">
        <f t="shared" si="73"/>
        <v>221</v>
      </c>
      <c r="B235" s="431">
        <v>39010</v>
      </c>
      <c r="C235" s="80" t="s">
        <v>1500</v>
      </c>
      <c r="D235" s="364">
        <f>[4]Reserve!Q54</f>
        <v>4078545.9461004995</v>
      </c>
      <c r="E235" s="364">
        <v>0</v>
      </c>
      <c r="F235" s="364">
        <f t="shared" si="74"/>
        <v>4078545.9461004995</v>
      </c>
      <c r="G235" s="395">
        <v>1</v>
      </c>
      <c r="H235" s="395">
        <f>Allocation!$I$21</f>
        <v>2.4788790000000002E-2</v>
      </c>
      <c r="I235" s="364">
        <f t="shared" si="75"/>
        <v>101102.21896323661</v>
      </c>
      <c r="K235" s="364">
        <f>[4]Reserve!C54</f>
        <v>3884958.9958732128</v>
      </c>
      <c r="L235" s="395">
        <f t="shared" si="79"/>
        <v>1</v>
      </c>
      <c r="M235" s="395">
        <f t="shared" si="80"/>
        <v>2.4788790000000002E-2</v>
      </c>
      <c r="N235" s="364">
        <f t="shared" si="78"/>
        <v>96303.432707311949</v>
      </c>
      <c r="P235" s="537"/>
      <c r="R235" s="358"/>
      <c r="S235" s="358"/>
    </row>
    <row r="236" spans="1:19">
      <c r="A236" s="112">
        <f t="shared" si="73"/>
        <v>222</v>
      </c>
      <c r="B236" s="431">
        <v>39100</v>
      </c>
      <c r="C236" s="80" t="s">
        <v>1469</v>
      </c>
      <c r="D236" s="364">
        <f>[4]Reserve!Q55</f>
        <v>1158556.3192079989</v>
      </c>
      <c r="E236" s="364">
        <v>0</v>
      </c>
      <c r="F236" s="364">
        <f t="shared" si="74"/>
        <v>1158556.3192079989</v>
      </c>
      <c r="G236" s="395">
        <f t="shared" ref="G236:G239" si="81">$G$231</f>
        <v>0.11020000000000001</v>
      </c>
      <c r="H236" s="395">
        <f t="shared" ref="H236:H239" si="82">$H$231</f>
        <v>0.50429999999999997</v>
      </c>
      <c r="I236" s="364">
        <f t="shared" si="75"/>
        <v>64385.44668578064</v>
      </c>
      <c r="K236" s="364">
        <f>[4]Reserve!C55</f>
        <v>1106063.1747867686</v>
      </c>
      <c r="L236" s="395">
        <f t="shared" si="79"/>
        <v>0.11020000000000001</v>
      </c>
      <c r="M236" s="395">
        <f t="shared" si="80"/>
        <v>0.50429999999999997</v>
      </c>
      <c r="N236" s="364">
        <f t="shared" si="78"/>
        <v>61468.20002675541</v>
      </c>
      <c r="P236" s="537"/>
      <c r="R236" s="358"/>
      <c r="S236" s="358"/>
    </row>
    <row r="237" spans="1:19">
      <c r="A237" s="112">
        <f t="shared" si="73"/>
        <v>223</v>
      </c>
      <c r="B237" s="431">
        <v>39101</v>
      </c>
      <c r="C237" s="80" t="s">
        <v>1439</v>
      </c>
      <c r="D237" s="364">
        <f>[4]Reserve!Q56</f>
        <v>0</v>
      </c>
      <c r="E237" s="364">
        <v>0</v>
      </c>
      <c r="F237" s="364">
        <f t="shared" si="74"/>
        <v>0</v>
      </c>
      <c r="G237" s="395">
        <f t="shared" si="81"/>
        <v>0.11020000000000001</v>
      </c>
      <c r="H237" s="395">
        <f t="shared" si="82"/>
        <v>0.50429999999999997</v>
      </c>
      <c r="I237" s="364">
        <f t="shared" si="75"/>
        <v>0</v>
      </c>
      <c r="K237" s="364">
        <f>[4]Reserve!C56</f>
        <v>0</v>
      </c>
      <c r="L237" s="395">
        <f t="shared" si="79"/>
        <v>0.11020000000000001</v>
      </c>
      <c r="M237" s="395">
        <f t="shared" si="80"/>
        <v>0.50429999999999997</v>
      </c>
      <c r="N237" s="364">
        <f t="shared" si="78"/>
        <v>0</v>
      </c>
      <c r="P237" s="537"/>
      <c r="R237" s="358"/>
      <c r="S237" s="358"/>
    </row>
    <row r="238" spans="1:19">
      <c r="A238" s="112">
        <f t="shared" si="73"/>
        <v>224</v>
      </c>
      <c r="B238" s="431">
        <v>39102</v>
      </c>
      <c r="C238" s="80" t="s">
        <v>1449</v>
      </c>
      <c r="D238" s="364">
        <f>[4]Reserve!Q57</f>
        <v>0</v>
      </c>
      <c r="E238" s="364">
        <v>0</v>
      </c>
      <c r="F238" s="364">
        <f t="shared" si="74"/>
        <v>0</v>
      </c>
      <c r="G238" s="395">
        <f t="shared" si="81"/>
        <v>0.11020000000000001</v>
      </c>
      <c r="H238" s="395">
        <f t="shared" si="82"/>
        <v>0.50429999999999997</v>
      </c>
      <c r="I238" s="364">
        <f t="shared" si="75"/>
        <v>0</v>
      </c>
      <c r="K238" s="364">
        <f>[4]Reserve!C57</f>
        <v>0</v>
      </c>
      <c r="L238" s="395">
        <f t="shared" si="79"/>
        <v>0.11020000000000001</v>
      </c>
      <c r="M238" s="395">
        <f t="shared" si="80"/>
        <v>0.50429999999999997</v>
      </c>
      <c r="N238" s="364">
        <f t="shared" si="78"/>
        <v>0</v>
      </c>
      <c r="P238" s="537"/>
      <c r="R238" s="358"/>
      <c r="S238" s="358"/>
    </row>
    <row r="239" spans="1:19">
      <c r="A239" s="112">
        <f t="shared" si="73"/>
        <v>225</v>
      </c>
      <c r="B239" s="431">
        <v>39103</v>
      </c>
      <c r="C239" s="80" t="s">
        <v>1275</v>
      </c>
      <c r="D239" s="364">
        <f>[4]Reserve!Q58</f>
        <v>0</v>
      </c>
      <c r="E239" s="364">
        <v>0</v>
      </c>
      <c r="F239" s="364">
        <f t="shared" si="74"/>
        <v>0</v>
      </c>
      <c r="G239" s="395">
        <f t="shared" si="81"/>
        <v>0.11020000000000001</v>
      </c>
      <c r="H239" s="395">
        <f t="shared" si="82"/>
        <v>0.50429999999999997</v>
      </c>
      <c r="I239" s="364">
        <f t="shared" si="75"/>
        <v>0</v>
      </c>
      <c r="K239" s="364">
        <f>[4]Reserve!C58</f>
        <v>0</v>
      </c>
      <c r="L239" s="395">
        <f t="shared" si="79"/>
        <v>0.11020000000000001</v>
      </c>
      <c r="M239" s="395">
        <f t="shared" si="80"/>
        <v>0.50429999999999997</v>
      </c>
      <c r="N239" s="364">
        <f t="shared" si="78"/>
        <v>0</v>
      </c>
      <c r="P239" s="537"/>
      <c r="R239" s="358"/>
      <c r="S239" s="358"/>
    </row>
    <row r="240" spans="1:19">
      <c r="A240" s="112">
        <f t="shared" si="73"/>
        <v>226</v>
      </c>
      <c r="B240" s="431">
        <v>39110</v>
      </c>
      <c r="C240" s="80" t="s">
        <v>1450</v>
      </c>
      <c r="D240" s="364">
        <f>[4]Reserve!Q59</f>
        <v>107023.48871400002</v>
      </c>
      <c r="E240" s="364">
        <v>0</v>
      </c>
      <c r="F240" s="364">
        <f t="shared" si="74"/>
        <v>107023.48871400002</v>
      </c>
      <c r="G240" s="395">
        <v>1</v>
      </c>
      <c r="H240" s="395">
        <f>Allocation!$I$21</f>
        <v>2.4788790000000002E-2</v>
      </c>
      <c r="I240" s="364">
        <f t="shared" si="75"/>
        <v>2652.9827867987169</v>
      </c>
      <c r="K240" s="364">
        <f>[4]Reserve!C59</f>
        <v>96403.959653769241</v>
      </c>
      <c r="L240" s="395">
        <f t="shared" si="79"/>
        <v>1</v>
      </c>
      <c r="M240" s="395">
        <f t="shared" si="80"/>
        <v>2.4788790000000002E-2</v>
      </c>
      <c r="N240" s="364">
        <f t="shared" si="78"/>
        <v>2389.7375110257585</v>
      </c>
      <c r="P240" s="537"/>
      <c r="R240" s="358"/>
      <c r="S240" s="358"/>
    </row>
    <row r="241" spans="1:19">
      <c r="A241" s="112">
        <f t="shared" si="73"/>
        <v>227</v>
      </c>
      <c r="B241" s="431">
        <v>39210</v>
      </c>
      <c r="C241" s="80" t="s">
        <v>1451</v>
      </c>
      <c r="D241" s="364">
        <f>[4]Reserve!Q60</f>
        <v>96686.997029000035</v>
      </c>
      <c r="E241" s="364">
        <v>0</v>
      </c>
      <c r="F241" s="364">
        <f t="shared" si="74"/>
        <v>96686.997029000035</v>
      </c>
      <c r="G241" s="395">
        <v>1</v>
      </c>
      <c r="H241" s="395">
        <f>Allocation!$I$21</f>
        <v>2.4788790000000002E-2</v>
      </c>
      <c r="I241" s="364">
        <f t="shared" si="75"/>
        <v>2396.7536650825059</v>
      </c>
      <c r="K241" s="364">
        <f>[4]Reserve!C60</f>
        <v>96243.764013384629</v>
      </c>
      <c r="L241" s="395">
        <f t="shared" si="79"/>
        <v>1</v>
      </c>
      <c r="M241" s="395">
        <f t="shared" si="80"/>
        <v>2.4788790000000002E-2</v>
      </c>
      <c r="N241" s="364">
        <f t="shared" si="78"/>
        <v>2385.766454937349</v>
      </c>
      <c r="P241" s="537"/>
      <c r="R241" s="358"/>
      <c r="S241" s="358"/>
    </row>
    <row r="242" spans="1:19">
      <c r="A242" s="112">
        <f t="shared" si="73"/>
        <v>228</v>
      </c>
      <c r="B242" s="431">
        <v>39410</v>
      </c>
      <c r="C242" s="80" t="s">
        <v>1452</v>
      </c>
      <c r="D242" s="364">
        <f>[4]Reserve!Q61</f>
        <v>241879.77648700002</v>
      </c>
      <c r="E242" s="364">
        <v>0</v>
      </c>
      <c r="F242" s="364">
        <f t="shared" si="74"/>
        <v>241879.77648700002</v>
      </c>
      <c r="G242" s="395">
        <v>1</v>
      </c>
      <c r="H242" s="395">
        <f>Allocation!$I$21</f>
        <v>2.4788790000000002E-2</v>
      </c>
      <c r="I242" s="364">
        <f t="shared" si="75"/>
        <v>5995.9069845831818</v>
      </c>
      <c r="K242" s="364">
        <f>[4]Reserve!C61</f>
        <v>216593.89713111534</v>
      </c>
      <c r="L242" s="395">
        <f t="shared" si="79"/>
        <v>1</v>
      </c>
      <c r="M242" s="395">
        <f t="shared" si="80"/>
        <v>2.4788790000000002E-2</v>
      </c>
      <c r="N242" s="364">
        <f t="shared" si="78"/>
        <v>5369.1006312648215</v>
      </c>
      <c r="P242" s="537"/>
      <c r="R242" s="358"/>
      <c r="S242" s="358"/>
    </row>
    <row r="243" spans="1:19">
      <c r="A243" s="112">
        <f t="shared" si="73"/>
        <v>229</v>
      </c>
      <c r="B243" s="431">
        <v>39510</v>
      </c>
      <c r="C243" s="80" t="s">
        <v>1453</v>
      </c>
      <c r="D243" s="364">
        <f>[4]Reserve!Q62</f>
        <v>22977.511517500006</v>
      </c>
      <c r="E243" s="364">
        <v>0</v>
      </c>
      <c r="F243" s="364">
        <f t="shared" si="74"/>
        <v>22977.511517500006</v>
      </c>
      <c r="G243" s="395">
        <v>1</v>
      </c>
      <c r="H243" s="395">
        <f>Allocation!$I$21</f>
        <v>2.4788790000000002E-2</v>
      </c>
      <c r="I243" s="364">
        <f t="shared" si="75"/>
        <v>569.58470772988903</v>
      </c>
      <c r="K243" s="364">
        <f>[4]Reserve!C62</f>
        <v>21819.418485480768</v>
      </c>
      <c r="L243" s="395">
        <f t="shared" si="79"/>
        <v>1</v>
      </c>
      <c r="M243" s="395">
        <f t="shared" si="80"/>
        <v>2.4788790000000002E-2</v>
      </c>
      <c r="N243" s="364">
        <f t="shared" si="78"/>
        <v>540.87698275870082</v>
      </c>
      <c r="P243" s="537"/>
      <c r="R243" s="358"/>
      <c r="S243" s="358"/>
    </row>
    <row r="244" spans="1:19">
      <c r="A244" s="112">
        <f t="shared" si="73"/>
        <v>230</v>
      </c>
      <c r="B244" s="431">
        <v>39700</v>
      </c>
      <c r="C244" s="80" t="s">
        <v>1476</v>
      </c>
      <c r="D244" s="364">
        <f>[4]Reserve!Q63</f>
        <v>1385392.4154675012</v>
      </c>
      <c r="E244" s="364">
        <v>0</v>
      </c>
      <c r="F244" s="364">
        <f t="shared" si="74"/>
        <v>1385392.4154675012</v>
      </c>
      <c r="G244" s="395">
        <f t="shared" ref="G244" si="83">$G$231</f>
        <v>0.11020000000000001</v>
      </c>
      <c r="H244" s="395">
        <f t="shared" ref="H244" si="84">$H$231</f>
        <v>0.50429999999999997</v>
      </c>
      <c r="I244" s="364">
        <f t="shared" si="75"/>
        <v>76991.604142252749</v>
      </c>
      <c r="K244" s="364">
        <f>[4]Reserve!C63</f>
        <v>1329992.8018566354</v>
      </c>
      <c r="L244" s="395">
        <f t="shared" si="79"/>
        <v>0.11020000000000001</v>
      </c>
      <c r="M244" s="395">
        <f t="shared" si="80"/>
        <v>0.50429999999999997</v>
      </c>
      <c r="N244" s="364">
        <f t="shared" si="78"/>
        <v>73912.833771388396</v>
      </c>
      <c r="P244" s="537"/>
      <c r="R244" s="358"/>
      <c r="S244" s="358"/>
    </row>
    <row r="245" spans="1:19">
      <c r="A245" s="112">
        <f t="shared" si="73"/>
        <v>231</v>
      </c>
      <c r="B245" s="431">
        <v>39710</v>
      </c>
      <c r="C245" s="80" t="s">
        <v>1501</v>
      </c>
      <c r="D245" s="364">
        <f>[4]Reserve!Q64</f>
        <v>208280.93529000005</v>
      </c>
      <c r="E245" s="364">
        <v>0</v>
      </c>
      <c r="F245" s="364">
        <f t="shared" si="74"/>
        <v>208280.93529000005</v>
      </c>
      <c r="G245" s="395">
        <v>1</v>
      </c>
      <c r="H245" s="395">
        <f>Allocation!$I$21</f>
        <v>2.4788790000000002E-2</v>
      </c>
      <c r="I245" s="364">
        <f t="shared" si="75"/>
        <v>5163.0323659074011</v>
      </c>
      <c r="K245" s="364">
        <f>[4]Reserve!C64</f>
        <v>198807.50642423081</v>
      </c>
      <c r="L245" s="395">
        <f t="shared" si="79"/>
        <v>1</v>
      </c>
      <c r="M245" s="395">
        <f t="shared" si="80"/>
        <v>2.4788790000000002E-2</v>
      </c>
      <c r="N245" s="364">
        <f t="shared" si="78"/>
        <v>4928.1975271739093</v>
      </c>
      <c r="P245" s="537"/>
      <c r="R245" s="358"/>
      <c r="S245" s="358"/>
    </row>
    <row r="246" spans="1:19">
      <c r="A246" s="112">
        <f t="shared" si="73"/>
        <v>232</v>
      </c>
      <c r="B246" s="431">
        <v>39800</v>
      </c>
      <c r="C246" s="80" t="s">
        <v>1478</v>
      </c>
      <c r="D246" s="364">
        <f>[4]Reserve!Q65</f>
        <v>19248.674508499997</v>
      </c>
      <c r="E246" s="364">
        <v>0</v>
      </c>
      <c r="F246" s="364">
        <f t="shared" si="74"/>
        <v>19248.674508499997</v>
      </c>
      <c r="G246" s="395">
        <f>$G$231</f>
        <v>0.11020000000000001</v>
      </c>
      <c r="H246" s="395">
        <f>$H$231</f>
        <v>0.50429999999999997</v>
      </c>
      <c r="I246" s="364">
        <f t="shared" si="75"/>
        <v>1069.7231423209475</v>
      </c>
      <c r="K246" s="364">
        <f>[4]Reserve!C65</f>
        <v>17598.758521519227</v>
      </c>
      <c r="L246" s="395">
        <f t="shared" si="79"/>
        <v>0.11020000000000001</v>
      </c>
      <c r="M246" s="395">
        <f t="shared" si="80"/>
        <v>0.50429999999999997</v>
      </c>
      <c r="N246" s="364">
        <f t="shared" ref="N246" si="85">K246*L246*M246</f>
        <v>978.03094224871654</v>
      </c>
      <c r="P246" s="537"/>
      <c r="R246" s="358"/>
      <c r="S246" s="358"/>
    </row>
    <row r="247" spans="1:19">
      <c r="A247" s="112">
        <f t="shared" si="73"/>
        <v>233</v>
      </c>
      <c r="B247" s="570">
        <v>39810</v>
      </c>
      <c r="C247" s="80" t="s">
        <v>1454</v>
      </c>
      <c r="D247" s="364">
        <f>[4]Reserve!Q66</f>
        <v>182954.12414899998</v>
      </c>
      <c r="E247" s="364">
        <v>0</v>
      </c>
      <c r="F247" s="364">
        <f t="shared" si="74"/>
        <v>182954.12414899998</v>
      </c>
      <c r="G247" s="395">
        <v>1</v>
      </c>
      <c r="H247" s="395">
        <f>Allocation!$I$21</f>
        <v>2.4788790000000002E-2</v>
      </c>
      <c r="I247" s="364">
        <f t="shared" si="75"/>
        <v>4535.2113631634893</v>
      </c>
      <c r="K247" s="364">
        <f>[4]Reserve!C66</f>
        <v>170774.92534780764</v>
      </c>
      <c r="L247" s="395">
        <f t="shared" si="79"/>
        <v>1</v>
      </c>
      <c r="M247" s="395">
        <f t="shared" si="80"/>
        <v>2.4788790000000002E-2</v>
      </c>
      <c r="N247" s="364">
        <f t="shared" si="78"/>
        <v>4233.303761712481</v>
      </c>
      <c r="P247" s="537"/>
      <c r="R247" s="358"/>
      <c r="S247" s="358"/>
    </row>
    <row r="248" spans="1:19">
      <c r="A248" s="112">
        <f t="shared" si="73"/>
        <v>234</v>
      </c>
      <c r="B248" s="570">
        <v>39900</v>
      </c>
      <c r="C248" s="80" t="s">
        <v>1486</v>
      </c>
      <c r="D248" s="364">
        <f>[4]Reserve!Q67</f>
        <v>-154264.63</v>
      </c>
      <c r="E248" s="364">
        <v>0</v>
      </c>
      <c r="F248" s="364">
        <f t="shared" si="74"/>
        <v>-154264.63</v>
      </c>
      <c r="G248" s="395">
        <f t="shared" ref="G248:G254" si="86">$G$231</f>
        <v>0.11020000000000001</v>
      </c>
      <c r="H248" s="395">
        <f t="shared" ref="H248:H254" si="87">$H$231</f>
        <v>0.50429999999999997</v>
      </c>
      <c r="I248" s="364">
        <f t="shared" si="75"/>
        <v>-8573.0809505718007</v>
      </c>
      <c r="K248" s="364">
        <f>[4]Reserve!C67</f>
        <v>-154264.62999999995</v>
      </c>
      <c r="L248" s="395">
        <f t="shared" si="79"/>
        <v>0.11020000000000001</v>
      </c>
      <c r="M248" s="395">
        <f t="shared" si="80"/>
        <v>0.50429999999999997</v>
      </c>
      <c r="N248" s="364">
        <f t="shared" si="78"/>
        <v>-8573.0809505717971</v>
      </c>
      <c r="P248" s="537"/>
      <c r="R248" s="358"/>
      <c r="S248" s="358"/>
    </row>
    <row r="249" spans="1:19">
      <c r="A249" s="112">
        <f t="shared" si="73"/>
        <v>235</v>
      </c>
      <c r="B249" s="570">
        <v>39901</v>
      </c>
      <c r="C249" s="80" t="s">
        <v>1487</v>
      </c>
      <c r="D249" s="364">
        <f>[4]Reserve!Q68</f>
        <v>6627886.447047662</v>
      </c>
      <c r="E249" s="364">
        <v>0</v>
      </c>
      <c r="F249" s="364">
        <f t="shared" si="74"/>
        <v>6627886.447047662</v>
      </c>
      <c r="G249" s="395">
        <f t="shared" si="86"/>
        <v>0.11020000000000001</v>
      </c>
      <c r="H249" s="395">
        <f t="shared" si="87"/>
        <v>0.50429999999999997</v>
      </c>
      <c r="I249" s="364">
        <f t="shared" si="75"/>
        <v>368337.23350412422</v>
      </c>
      <c r="K249" s="364">
        <f>[4]Reserve!C68</f>
        <v>6163505.824550054</v>
      </c>
      <c r="L249" s="395">
        <f t="shared" si="79"/>
        <v>0.11020000000000001</v>
      </c>
      <c r="M249" s="395">
        <f t="shared" si="80"/>
        <v>0.50429999999999997</v>
      </c>
      <c r="N249" s="364">
        <f t="shared" si="78"/>
        <v>342529.80980272929</v>
      </c>
      <c r="P249" s="537"/>
      <c r="R249" s="358"/>
      <c r="S249" s="358"/>
    </row>
    <row r="250" spans="1:19">
      <c r="A250" s="112">
        <f t="shared" si="73"/>
        <v>236</v>
      </c>
      <c r="B250" s="570">
        <v>39902</v>
      </c>
      <c r="C250" s="80" t="s">
        <v>1488</v>
      </c>
      <c r="D250" s="364">
        <f>[4]Reserve!Q69</f>
        <v>1761228.9627960003</v>
      </c>
      <c r="E250" s="364">
        <v>0</v>
      </c>
      <c r="F250" s="364">
        <f t="shared" si="74"/>
        <v>1761228.9627960003</v>
      </c>
      <c r="G250" s="395">
        <f t="shared" si="86"/>
        <v>0.11020000000000001</v>
      </c>
      <c r="H250" s="395">
        <f t="shared" si="87"/>
        <v>0.50429999999999997</v>
      </c>
      <c r="I250" s="364">
        <f t="shared" si="75"/>
        <v>97878.291806370136</v>
      </c>
      <c r="K250" s="364">
        <f>[4]Reserve!C69</f>
        <v>1663107.3549835384</v>
      </c>
      <c r="L250" s="395">
        <f t="shared" si="79"/>
        <v>0.11020000000000001</v>
      </c>
      <c r="M250" s="395">
        <f t="shared" si="80"/>
        <v>0.50429999999999997</v>
      </c>
      <c r="N250" s="364">
        <f t="shared" si="78"/>
        <v>92425.295310825459</v>
      </c>
      <c r="P250" s="537"/>
      <c r="R250" s="358"/>
      <c r="S250" s="358"/>
    </row>
    <row r="251" spans="1:19">
      <c r="A251" s="112">
        <f t="shared" si="73"/>
        <v>237</v>
      </c>
      <c r="B251" s="570">
        <v>39903</v>
      </c>
      <c r="C251" s="80" t="s">
        <v>1479</v>
      </c>
      <c r="D251" s="364">
        <f>[4]Reserve!Q70</f>
        <v>190861.63826049995</v>
      </c>
      <c r="E251" s="364">
        <v>0</v>
      </c>
      <c r="F251" s="364">
        <f t="shared" si="74"/>
        <v>190861.63826049995</v>
      </c>
      <c r="G251" s="395">
        <f t="shared" si="86"/>
        <v>0.11020000000000001</v>
      </c>
      <c r="H251" s="395">
        <f t="shared" si="87"/>
        <v>0.50429999999999997</v>
      </c>
      <c r="I251" s="364">
        <f t="shared" si="75"/>
        <v>10606.917964059669</v>
      </c>
      <c r="K251" s="364">
        <f>[4]Reserve!C70</f>
        <v>178484.25530090384</v>
      </c>
      <c r="L251" s="395">
        <f t="shared" si="79"/>
        <v>0.11020000000000001</v>
      </c>
      <c r="M251" s="395">
        <f t="shared" si="80"/>
        <v>0.50429999999999997</v>
      </c>
      <c r="N251" s="364">
        <f t="shared" si="78"/>
        <v>9919.0590162966873</v>
      </c>
      <c r="P251" s="537"/>
      <c r="R251" s="358"/>
      <c r="S251" s="358"/>
    </row>
    <row r="252" spans="1:19">
      <c r="A252" s="112">
        <f t="shared" si="73"/>
        <v>238</v>
      </c>
      <c r="B252" s="570">
        <v>39906</v>
      </c>
      <c r="C252" s="80" t="s">
        <v>1480</v>
      </c>
      <c r="D252" s="364">
        <f>[4]Reserve!Q71</f>
        <v>-147067.25272037211</v>
      </c>
      <c r="E252" s="364">
        <v>0</v>
      </c>
      <c r="F252" s="364">
        <f t="shared" si="74"/>
        <v>-147067.25272037211</v>
      </c>
      <c r="G252" s="395">
        <f t="shared" si="86"/>
        <v>0.11020000000000001</v>
      </c>
      <c r="H252" s="395">
        <f t="shared" si="87"/>
        <v>0.50429999999999997</v>
      </c>
      <c r="I252" s="364">
        <f t="shared" si="75"/>
        <v>-8173.0949132665783</v>
      </c>
      <c r="K252" s="364">
        <f>[4]Reserve!C71</f>
        <v>-187460.10192934566</v>
      </c>
      <c r="L252" s="395">
        <f t="shared" si="79"/>
        <v>0.11020000000000001</v>
      </c>
      <c r="M252" s="395">
        <f t="shared" si="80"/>
        <v>0.50429999999999997</v>
      </c>
      <c r="N252" s="364">
        <f t="shared" si="78"/>
        <v>-10417.881460207185</v>
      </c>
      <c r="P252" s="537"/>
      <c r="R252" s="358"/>
      <c r="S252" s="358"/>
    </row>
    <row r="253" spans="1:19">
      <c r="A253" s="112">
        <f t="shared" si="73"/>
        <v>239</v>
      </c>
      <c r="B253" s="570">
        <v>39907</v>
      </c>
      <c r="C253" s="80" t="s">
        <v>1481</v>
      </c>
      <c r="D253" s="364">
        <f>[4]Reserve!Q72</f>
        <v>-57199.47</v>
      </c>
      <c r="E253" s="364">
        <v>0</v>
      </c>
      <c r="F253" s="364">
        <f t="shared" si="74"/>
        <v>-57199.47</v>
      </c>
      <c r="G253" s="395">
        <f t="shared" si="86"/>
        <v>0.11020000000000001</v>
      </c>
      <c r="H253" s="395">
        <f t="shared" si="87"/>
        <v>0.50429999999999997</v>
      </c>
      <c r="I253" s="364">
        <f t="shared" si="75"/>
        <v>-3178.7953378542002</v>
      </c>
      <c r="K253" s="364">
        <f>[4]Reserve!C72</f>
        <v>-57199.469999999979</v>
      </c>
      <c r="L253" s="395">
        <f t="shared" si="79"/>
        <v>0.11020000000000001</v>
      </c>
      <c r="M253" s="395">
        <f t="shared" si="80"/>
        <v>0.50429999999999997</v>
      </c>
      <c r="N253" s="364">
        <f t="shared" si="78"/>
        <v>-3178.7953378541988</v>
      </c>
      <c r="P253" s="537"/>
      <c r="R253" s="358"/>
      <c r="S253" s="358"/>
    </row>
    <row r="254" spans="1:19">
      <c r="A254" s="112">
        <f t="shared" si="73"/>
        <v>240</v>
      </c>
      <c r="B254" s="570">
        <v>39908</v>
      </c>
      <c r="C254" s="80" t="s">
        <v>1482</v>
      </c>
      <c r="D254" s="364">
        <f>[4]Reserve!Q73</f>
        <v>48829188.1365081</v>
      </c>
      <c r="E254" s="364">
        <v>0</v>
      </c>
      <c r="F254" s="364">
        <f t="shared" si="74"/>
        <v>48829188.1365081</v>
      </c>
      <c r="G254" s="395">
        <f t="shared" si="86"/>
        <v>0.11020000000000001</v>
      </c>
      <c r="H254" s="395">
        <f t="shared" si="87"/>
        <v>0.50429999999999997</v>
      </c>
      <c r="I254" s="364">
        <f t="shared" si="75"/>
        <v>2713626.465411962</v>
      </c>
      <c r="K254" s="364">
        <f>[4]Reserve!C73</f>
        <v>45635047.344762444</v>
      </c>
      <c r="L254" s="395">
        <f t="shared" si="79"/>
        <v>0.11020000000000001</v>
      </c>
      <c r="M254" s="395">
        <f t="shared" si="80"/>
        <v>0.50429999999999997</v>
      </c>
      <c r="N254" s="364">
        <f t="shared" si="78"/>
        <v>2536115.7322311997</v>
      </c>
      <c r="P254" s="537"/>
      <c r="R254" s="358"/>
      <c r="S254" s="358"/>
    </row>
    <row r="255" spans="1:19">
      <c r="A255" s="112">
        <f t="shared" si="73"/>
        <v>241</v>
      </c>
      <c r="B255" s="570">
        <v>39910</v>
      </c>
      <c r="C255" s="80" t="s">
        <v>1502</v>
      </c>
      <c r="D255" s="364">
        <f>[4]Reserve!Q74</f>
        <v>206002.76479200009</v>
      </c>
      <c r="E255" s="364">
        <v>0</v>
      </c>
      <c r="F255" s="364">
        <f t="shared" si="74"/>
        <v>206002.76479200009</v>
      </c>
      <c r="G255" s="395">
        <v>1</v>
      </c>
      <c r="H255" s="395">
        <f>$H$232</f>
        <v>2.4788790000000002E-2</v>
      </c>
      <c r="I255" s="364">
        <f t="shared" si="75"/>
        <v>5106.5592758482844</v>
      </c>
      <c r="K255" s="364">
        <f>[4]Reserve!C74</f>
        <v>186069.1328286154</v>
      </c>
      <c r="L255" s="395">
        <f t="shared" si="79"/>
        <v>1</v>
      </c>
      <c r="M255" s="395">
        <f t="shared" si="80"/>
        <v>2.4788790000000002E-2</v>
      </c>
      <c r="N255" s="364">
        <f t="shared" si="78"/>
        <v>4612.4286591706532</v>
      </c>
      <c r="P255" s="537"/>
      <c r="R255" s="358"/>
      <c r="S255" s="358"/>
    </row>
    <row r="256" spans="1:19">
      <c r="A256" s="112">
        <f t="shared" si="73"/>
        <v>242</v>
      </c>
      <c r="B256" s="570">
        <v>39916</v>
      </c>
      <c r="C256" s="80" t="s">
        <v>1503</v>
      </c>
      <c r="D256" s="364">
        <f>[4]Reserve!Q75</f>
        <v>52975.079963999982</v>
      </c>
      <c r="E256" s="364">
        <v>0</v>
      </c>
      <c r="F256" s="364">
        <f t="shared" si="74"/>
        <v>52975.079963999982</v>
      </c>
      <c r="G256" s="395">
        <v>1</v>
      </c>
      <c r="H256" s="395">
        <f>$H$232</f>
        <v>2.4788790000000002E-2</v>
      </c>
      <c r="I256" s="364">
        <f t="shared" si="75"/>
        <v>1313.1881324608032</v>
      </c>
      <c r="K256" s="364">
        <f>[4]Reserve!C75</f>
        <v>49347.898836461543</v>
      </c>
      <c r="L256" s="395">
        <f t="shared" si="79"/>
        <v>1</v>
      </c>
      <c r="M256" s="395">
        <f t="shared" si="80"/>
        <v>2.4788790000000002E-2</v>
      </c>
      <c r="N256" s="364">
        <f t="shared" si="78"/>
        <v>1223.2747011982897</v>
      </c>
      <c r="P256" s="537"/>
      <c r="R256" s="358"/>
      <c r="S256" s="358"/>
    </row>
    <row r="257" spans="1:19">
      <c r="A257" s="112">
        <f t="shared" si="73"/>
        <v>243</v>
      </c>
      <c r="B257" s="570">
        <v>39917</v>
      </c>
      <c r="C257" s="80" t="s">
        <v>1504</v>
      </c>
      <c r="D257" s="364">
        <f>[4]Reserve!Q76</f>
        <v>-27684.866823999997</v>
      </c>
      <c r="E257" s="364">
        <v>0</v>
      </c>
      <c r="F257" s="364">
        <f t="shared" si="74"/>
        <v>-27684.866823999997</v>
      </c>
      <c r="G257" s="395">
        <v>1</v>
      </c>
      <c r="H257" s="395">
        <f>$H$232</f>
        <v>2.4788790000000002E-2</v>
      </c>
      <c r="I257" s="364">
        <f t="shared" si="75"/>
        <v>-686.27434987810295</v>
      </c>
      <c r="K257" s="364">
        <f>[4]Reserve!C76</f>
        <v>-27794.299144923079</v>
      </c>
      <c r="L257" s="395">
        <f t="shared" si="79"/>
        <v>1</v>
      </c>
      <c r="M257" s="395">
        <f t="shared" si="80"/>
        <v>2.4788790000000002E-2</v>
      </c>
      <c r="N257" s="364">
        <f t="shared" si="78"/>
        <v>-688.98704470067787</v>
      </c>
      <c r="P257" s="537"/>
      <c r="R257" s="358"/>
      <c r="S257" s="358"/>
    </row>
    <row r="258" spans="1:19">
      <c r="A258" s="112">
        <f t="shared" si="73"/>
        <v>244</v>
      </c>
      <c r="B258" s="570">
        <v>39918</v>
      </c>
      <c r="C258" s="80" t="s">
        <v>1455</v>
      </c>
      <c r="D258" s="364">
        <f>[4]Reserve!Q77</f>
        <v>-9966.41</v>
      </c>
      <c r="E258" s="364">
        <v>0</v>
      </c>
      <c r="F258" s="364">
        <f t="shared" ref="F258:F259" si="88">D258+E258</f>
        <v>-9966.41</v>
      </c>
      <c r="G258" s="395">
        <v>1</v>
      </c>
      <c r="H258" s="395">
        <f>$H$232</f>
        <v>2.4788790000000002E-2</v>
      </c>
      <c r="I258" s="364">
        <f t="shared" ref="I258:I259" si="89">F258*G258*H258</f>
        <v>-247.05524454390002</v>
      </c>
      <c r="K258" s="364">
        <f>[4]Reserve!C77</f>
        <v>-9966.4100000000017</v>
      </c>
      <c r="L258" s="395">
        <f t="shared" si="79"/>
        <v>1</v>
      </c>
      <c r="M258" s="395">
        <f t="shared" si="80"/>
        <v>2.4788790000000002E-2</v>
      </c>
      <c r="N258" s="364">
        <f t="shared" ref="N258:N259" si="90">K258*L258*M258</f>
        <v>-247.05524454390005</v>
      </c>
      <c r="P258" s="537"/>
      <c r="R258" s="358"/>
      <c r="S258" s="358"/>
    </row>
    <row r="259" spans="1:19">
      <c r="A259" s="112">
        <f t="shared" si="73"/>
        <v>245</v>
      </c>
      <c r="B259" s="570">
        <v>39924</v>
      </c>
      <c r="C259" s="80" t="s">
        <v>1456</v>
      </c>
      <c r="D259" s="364">
        <f>[4]Reserve!Q78</f>
        <v>0</v>
      </c>
      <c r="E259" s="364">
        <v>0</v>
      </c>
      <c r="F259" s="364">
        <f t="shared" si="88"/>
        <v>0</v>
      </c>
      <c r="G259" s="395">
        <f t="shared" ref="G259" si="91">$G$231</f>
        <v>0.11020000000000001</v>
      </c>
      <c r="H259" s="395">
        <f t="shared" ref="H259" si="92">$H$231</f>
        <v>0.50429999999999997</v>
      </c>
      <c r="I259" s="364">
        <f t="shared" si="89"/>
        <v>0</v>
      </c>
      <c r="K259" s="364">
        <f>[4]Reserve!C78</f>
        <v>0</v>
      </c>
      <c r="L259" s="395">
        <f t="shared" si="79"/>
        <v>0.11020000000000001</v>
      </c>
      <c r="M259" s="395">
        <f t="shared" si="80"/>
        <v>0.50429999999999997</v>
      </c>
      <c r="N259" s="364">
        <f t="shared" si="90"/>
        <v>0</v>
      </c>
      <c r="P259" s="537"/>
      <c r="R259" s="358"/>
      <c r="S259" s="358"/>
    </row>
    <row r="260" spans="1:19">
      <c r="A260" s="112">
        <f t="shared" si="73"/>
        <v>246</v>
      </c>
      <c r="B260" s="570"/>
      <c r="C260" s="80" t="s">
        <v>1505</v>
      </c>
      <c r="D260" s="364">
        <f>[4]Reserve!Q79</f>
        <v>0</v>
      </c>
      <c r="E260" s="326">
        <v>0</v>
      </c>
      <c r="F260" s="364">
        <f t="shared" si="74"/>
        <v>0</v>
      </c>
      <c r="G260" s="395">
        <f>$G$231</f>
        <v>0.11020000000000001</v>
      </c>
      <c r="H260" s="395">
        <f>$H$231</f>
        <v>0.50429999999999997</v>
      </c>
      <c r="I260" s="842">
        <f t="shared" si="75"/>
        <v>0</v>
      </c>
      <c r="K260" s="364">
        <f>[4]Reserve!C79</f>
        <v>0</v>
      </c>
      <c r="L260" s="395">
        <f t="shared" si="76"/>
        <v>0.11020000000000001</v>
      </c>
      <c r="M260" s="395">
        <f t="shared" si="77"/>
        <v>0.50429999999999997</v>
      </c>
      <c r="N260" s="842">
        <f t="shared" si="78"/>
        <v>0</v>
      </c>
      <c r="P260" s="537"/>
      <c r="R260" s="358"/>
      <c r="S260" s="358"/>
    </row>
    <row r="261" spans="1:19">
      <c r="A261" s="112">
        <f t="shared" si="73"/>
        <v>247</v>
      </c>
      <c r="B261" s="73"/>
      <c r="C261" s="80"/>
      <c r="D261" s="853"/>
      <c r="E261" s="499"/>
      <c r="F261" s="499"/>
      <c r="K261" s="499"/>
    </row>
    <row r="262" spans="1:19" ht="15.75" thickBot="1">
      <c r="A262" s="112">
        <f t="shared" si="73"/>
        <v>248</v>
      </c>
      <c r="B262" s="73"/>
      <c r="C262" s="205" t="s">
        <v>1278</v>
      </c>
      <c r="D262" s="1060">
        <f>SUM(D231:D261)</f>
        <v>69933611.475559831</v>
      </c>
      <c r="E262" s="1060">
        <f>SUM(E231:E261)</f>
        <v>0</v>
      </c>
      <c r="F262" s="1060">
        <f>SUM(F231:F261)</f>
        <v>69933611.475559831</v>
      </c>
      <c r="I262" s="1060">
        <f>SUM(I231:I261)</f>
        <v>3727639.7666957444</v>
      </c>
      <c r="K262" s="1060">
        <f>SUM(K231:K261)</f>
        <v>65487739.583362147</v>
      </c>
      <c r="N262" s="1060">
        <f>SUM(N231:N261)</f>
        <v>3489075.0076609175</v>
      </c>
    </row>
    <row r="263" spans="1:19" ht="15.75" thickTop="1">
      <c r="A263" s="112">
        <f t="shared" si="73"/>
        <v>249</v>
      </c>
    </row>
    <row r="264" spans="1:19" ht="30.75" thickBot="1">
      <c r="A264" s="112">
        <f t="shared" si="73"/>
        <v>250</v>
      </c>
      <c r="C264" s="496" t="s">
        <v>1126</v>
      </c>
      <c r="D264" s="1060">
        <f>D262+D226+D181+D120</f>
        <v>344225835.41264552</v>
      </c>
      <c r="E264" s="1060">
        <f>E262+E226+E181+E120</f>
        <v>0</v>
      </c>
      <c r="F264" s="1060">
        <f>F262+F226+F181+F120</f>
        <v>344173318.11264551</v>
      </c>
      <c r="I264" s="1060">
        <f>I262+I226+I181+I120</f>
        <v>185508667.31563732</v>
      </c>
      <c r="K264" s="1060">
        <f>K262+K226+K181+K120</f>
        <v>331932184.44141197</v>
      </c>
      <c r="N264" s="1060">
        <f>N262+N226+N181+N120</f>
        <v>183424493.12494141</v>
      </c>
      <c r="P264" s="544"/>
    </row>
    <row r="265" spans="1:19" ht="15.75" thickTop="1"/>
    <row r="267" spans="1:19">
      <c r="B267" s="72" t="s">
        <v>1607</v>
      </c>
    </row>
    <row r="268" spans="1:19">
      <c r="B268" s="72" t="s">
        <v>1608</v>
      </c>
    </row>
  </sheetData>
  <mergeCells count="4">
    <mergeCell ref="A1:N1"/>
    <mergeCell ref="A2:N2"/>
    <mergeCell ref="A3:N3"/>
    <mergeCell ref="A4:N4"/>
  </mergeCells>
  <phoneticPr fontId="21" type="noConversion"/>
  <pageMargins left="0.75" right="0.75" top="1" bottom="0.94" header="0.5" footer="0.5"/>
  <pageSetup scale="54" orientation="landscape" r:id="rId1"/>
  <headerFooter alignWithMargins="0">
    <oddFooter>&amp;RSchedule &amp;A
Page &amp;P of &amp;N</oddFooter>
  </headerFooter>
  <rowBreaks count="6" manualBreakCount="6">
    <brk id="47" max="13" man="1"/>
    <brk id="86" max="13" man="1"/>
    <brk id="120" max="13" man="1"/>
    <brk id="153" max="13" man="1"/>
    <brk id="181" max="13" man="1"/>
    <brk id="227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T270"/>
  <sheetViews>
    <sheetView view="pageBreakPreview" zoomScale="80" zoomScaleNormal="100" zoomScaleSheetLayoutView="80" workbookViewId="0">
      <selection sqref="A1:N1"/>
    </sheetView>
  </sheetViews>
  <sheetFormatPr defaultColWidth="8.88671875" defaultRowHeight="15"/>
  <cols>
    <col min="1" max="1" width="5" style="72" customWidth="1"/>
    <col min="2" max="2" width="9.33203125" style="72" customWidth="1"/>
    <col min="3" max="3" width="33.88671875" style="72" customWidth="1"/>
    <col min="4" max="4" width="14.44140625" style="72" customWidth="1"/>
    <col min="5" max="5" width="10.33203125" style="72" customWidth="1"/>
    <col min="6" max="6" width="14.33203125" style="72" customWidth="1"/>
    <col min="7" max="7" width="12.6640625" style="686" bestFit="1" customWidth="1"/>
    <col min="8" max="8" width="13.5546875" style="686" customWidth="1"/>
    <col min="9" max="9" width="14.5546875" style="72" customWidth="1"/>
    <col min="10" max="10" width="3.21875" style="72" customWidth="1"/>
    <col min="11" max="11" width="13.88671875" style="72" customWidth="1"/>
    <col min="12" max="12" width="12.6640625" style="686" bestFit="1" customWidth="1"/>
    <col min="13" max="13" width="9.77734375" style="686" bestFit="1" customWidth="1"/>
    <col min="14" max="14" width="16" style="72" bestFit="1" customWidth="1"/>
    <col min="15" max="15" width="6.21875" style="72" customWidth="1"/>
    <col min="16" max="16" width="20.88671875" style="72" bestFit="1" customWidth="1"/>
    <col min="17" max="17" width="12" style="72" bestFit="1" customWidth="1"/>
    <col min="18" max="18" width="1.77734375" style="72" customWidth="1"/>
    <col min="19" max="19" width="7.77734375" style="72" customWidth="1"/>
    <col min="20" max="20" width="7.109375" style="72" bestFit="1" customWidth="1"/>
    <col min="21" max="16384" width="8.88671875" style="72"/>
  </cols>
  <sheetData>
    <row r="1" spans="1:19">
      <c r="A1" s="1260" t="str">
        <f>'Table of Contents'!A1:C1</f>
        <v>Atmos Energy Corporation, Kentucky/Mid-States Division</v>
      </c>
      <c r="B1" s="1260"/>
      <c r="C1" s="1260"/>
      <c r="D1" s="1260"/>
      <c r="E1" s="1260"/>
      <c r="F1" s="1260"/>
      <c r="G1" s="1260"/>
      <c r="H1" s="1260"/>
      <c r="I1" s="1260"/>
      <c r="J1" s="1260"/>
      <c r="K1" s="1260"/>
      <c r="L1" s="1260"/>
      <c r="M1" s="1260"/>
      <c r="N1" s="1260"/>
    </row>
    <row r="2" spans="1:19">
      <c r="A2" s="1260" t="str">
        <f>'Table of Contents'!A2:C2</f>
        <v>Kentucky Jurisdiction Case No. 2021-00214</v>
      </c>
      <c r="B2" s="1260"/>
      <c r="C2" s="1260"/>
      <c r="D2" s="1260"/>
      <c r="E2" s="1260"/>
      <c r="F2" s="1260"/>
      <c r="G2" s="1260"/>
      <c r="H2" s="1260"/>
      <c r="I2" s="1260"/>
      <c r="J2" s="1260"/>
      <c r="K2" s="1260"/>
      <c r="L2" s="1260"/>
      <c r="M2" s="1260"/>
      <c r="N2" s="1260"/>
    </row>
    <row r="3" spans="1:19">
      <c r="A3" s="1261" t="s">
        <v>1099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1261"/>
      <c r="N3" s="1261"/>
    </row>
    <row r="4" spans="1:19" ht="15.75">
      <c r="A4" s="1262" t="str">
        <f>'B.1 F '!A4</f>
        <v>Forecasted Test Period: Twelve Months Ended December 31, 2022</v>
      </c>
      <c r="B4" s="1262"/>
      <c r="C4" s="1262"/>
      <c r="D4" s="1262"/>
      <c r="E4" s="1262"/>
      <c r="F4" s="1262"/>
      <c r="G4" s="1262"/>
      <c r="H4" s="1262"/>
      <c r="I4" s="1262"/>
      <c r="J4" s="1262"/>
      <c r="K4" s="1262"/>
      <c r="L4" s="1262"/>
      <c r="M4" s="1262"/>
      <c r="N4" s="1262"/>
    </row>
    <row r="5" spans="1:19" ht="15.75">
      <c r="A5" s="133"/>
      <c r="B5" s="133"/>
      <c r="C5" s="133"/>
      <c r="D5" s="589"/>
      <c r="E5" s="133"/>
      <c r="F5" s="133"/>
      <c r="G5" s="689"/>
      <c r="H5" s="689"/>
      <c r="I5" s="73"/>
      <c r="J5" s="73"/>
      <c r="K5" s="133"/>
      <c r="P5" s="729"/>
    </row>
    <row r="6" spans="1:19" ht="15.75">
      <c r="A6" s="472" t="str">
        <f>'B.1 F '!A6</f>
        <v>Data:______Base Period__X___Forecasted Period</v>
      </c>
      <c r="B6" s="73"/>
      <c r="C6" s="73"/>
      <c r="D6" s="73"/>
      <c r="E6" s="729"/>
      <c r="F6" s="73"/>
      <c r="G6" s="689"/>
      <c r="K6" s="73"/>
      <c r="N6" s="728" t="s">
        <v>1362</v>
      </c>
    </row>
    <row r="7" spans="1:19">
      <c r="A7" s="472" t="str">
        <f>'B.1 F '!A7</f>
        <v>Type of Filing:___X____Original________Updated ________Revised</v>
      </c>
      <c r="B7" s="80"/>
      <c r="C7" s="73"/>
      <c r="D7" s="73"/>
      <c r="E7" s="73"/>
      <c r="F7" s="73"/>
      <c r="G7" s="689"/>
      <c r="I7" s="80"/>
      <c r="J7" s="826"/>
      <c r="K7" s="73"/>
      <c r="N7" s="827" t="s">
        <v>998</v>
      </c>
    </row>
    <row r="8" spans="1:19">
      <c r="A8" s="674" t="str">
        <f>'B.1 F '!A8</f>
        <v>Workpaper Reference No(s).</v>
      </c>
      <c r="B8" s="66"/>
      <c r="C8" s="66"/>
      <c r="D8" s="66"/>
      <c r="E8" s="66"/>
      <c r="F8" s="66"/>
      <c r="G8" s="68"/>
      <c r="H8" s="825"/>
      <c r="I8" s="826"/>
      <c r="J8" s="826"/>
      <c r="K8" s="66"/>
      <c r="L8" s="825"/>
      <c r="N8" s="800" t="str">
        <f>'B.2 B'!N8</f>
        <v>Witness: Christian</v>
      </c>
    </row>
    <row r="9" spans="1:19">
      <c r="A9" s="828"/>
      <c r="B9" s="667"/>
      <c r="C9" s="847"/>
      <c r="D9" s="336"/>
      <c r="E9" s="667"/>
      <c r="F9" s="667"/>
      <c r="G9" s="718"/>
      <c r="H9" s="829"/>
      <c r="I9" s="830"/>
      <c r="J9" s="826"/>
      <c r="K9" s="336"/>
      <c r="L9" s="720"/>
      <c r="M9" s="720"/>
      <c r="N9" s="831"/>
    </row>
    <row r="10" spans="1:19" ht="15.75">
      <c r="A10" s="832"/>
      <c r="B10" s="66"/>
      <c r="C10" s="848"/>
      <c r="D10" s="479">
        <v>44926</v>
      </c>
      <c r="E10" s="66"/>
      <c r="F10" s="66"/>
      <c r="G10" s="68" t="s">
        <v>13</v>
      </c>
      <c r="H10" s="67" t="s">
        <v>11</v>
      </c>
      <c r="I10" s="833"/>
      <c r="J10" s="826"/>
      <c r="K10" s="834"/>
      <c r="L10" s="68" t="s">
        <v>13</v>
      </c>
      <c r="M10" s="67" t="s">
        <v>11</v>
      </c>
      <c r="N10" s="833"/>
    </row>
    <row r="11" spans="1:19" ht="15.75">
      <c r="A11" s="832" t="s">
        <v>92</v>
      </c>
      <c r="B11" s="67" t="s">
        <v>266</v>
      </c>
      <c r="C11" s="411" t="s">
        <v>215</v>
      </c>
      <c r="D11" s="851" t="s">
        <v>1280</v>
      </c>
      <c r="E11" s="67"/>
      <c r="F11" s="67" t="s">
        <v>10</v>
      </c>
      <c r="G11" s="67" t="s">
        <v>14</v>
      </c>
      <c r="H11" s="67" t="s">
        <v>589</v>
      </c>
      <c r="I11" s="411" t="s">
        <v>12</v>
      </c>
      <c r="J11" s="67"/>
      <c r="K11" s="835" t="s">
        <v>44</v>
      </c>
      <c r="L11" s="67" t="s">
        <v>14</v>
      </c>
      <c r="M11" s="67" t="s">
        <v>589</v>
      </c>
      <c r="N11" s="411" t="s">
        <v>12</v>
      </c>
    </row>
    <row r="12" spans="1:19" ht="15.75">
      <c r="A12" s="836" t="s">
        <v>98</v>
      </c>
      <c r="B12" s="163" t="s">
        <v>98</v>
      </c>
      <c r="C12" s="837" t="s">
        <v>294</v>
      </c>
      <c r="D12" s="852" t="s">
        <v>104</v>
      </c>
      <c r="E12" s="163" t="s">
        <v>974</v>
      </c>
      <c r="F12" s="163" t="s">
        <v>104</v>
      </c>
      <c r="G12" s="163" t="s">
        <v>622</v>
      </c>
      <c r="H12" s="163" t="s">
        <v>622</v>
      </c>
      <c r="I12" s="837" t="s">
        <v>103</v>
      </c>
      <c r="J12" s="67"/>
      <c r="K12" s="852" t="s">
        <v>97</v>
      </c>
      <c r="L12" s="163" t="s">
        <v>622</v>
      </c>
      <c r="M12" s="163" t="s">
        <v>622</v>
      </c>
      <c r="N12" s="837" t="s">
        <v>103</v>
      </c>
      <c r="P12" s="363"/>
      <c r="Q12" s="363"/>
    </row>
    <row r="13" spans="1:19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1:19" ht="15.75">
      <c r="B14" s="764" t="s">
        <v>6</v>
      </c>
      <c r="J14" s="650"/>
    </row>
    <row r="15" spans="1:19">
      <c r="A15" s="687">
        <v>1</v>
      </c>
      <c r="B15" s="73"/>
      <c r="C15" s="500" t="s">
        <v>295</v>
      </c>
    </row>
    <row r="16" spans="1:19">
      <c r="A16" s="112">
        <f>A15+1</f>
        <v>2</v>
      </c>
      <c r="B16" s="431">
        <v>30100</v>
      </c>
      <c r="C16" s="80" t="s">
        <v>289</v>
      </c>
      <c r="D16" s="304">
        <f>[4]Reserve!AF112</f>
        <v>8329.7199999999993</v>
      </c>
      <c r="E16" s="310">
        <v>0</v>
      </c>
      <c r="F16" s="304">
        <f>D16-E16</f>
        <v>8329.7199999999993</v>
      </c>
      <c r="G16" s="394">
        <v>1</v>
      </c>
      <c r="H16" s="394">
        <f>$G$16</f>
        <v>1</v>
      </c>
      <c r="I16" s="304">
        <f>F16*G16*H16</f>
        <v>8329.7199999999993</v>
      </c>
      <c r="J16" s="740"/>
      <c r="K16" s="304">
        <f>[4]Reserve!D112</f>
        <v>8329.7199999999993</v>
      </c>
      <c r="L16" s="394">
        <f t="shared" ref="L16:M17" si="0">$G$16</f>
        <v>1</v>
      </c>
      <c r="M16" s="394">
        <f t="shared" si="0"/>
        <v>1</v>
      </c>
      <c r="N16" s="304">
        <f>K16*L16*M16</f>
        <v>8329.7199999999993</v>
      </c>
      <c r="S16" s="431"/>
    </row>
    <row r="17" spans="1:19">
      <c r="A17" s="112">
        <f t="shared" ref="A17:A83" si="1">A16+1</f>
        <v>3</v>
      </c>
      <c r="B17" s="431">
        <v>30200</v>
      </c>
      <c r="C17" s="80" t="s">
        <v>152</v>
      </c>
      <c r="D17" s="364">
        <f>[4]Reserve!AF113</f>
        <v>119852.69</v>
      </c>
      <c r="E17" s="498">
        <v>0</v>
      </c>
      <c r="F17" s="364">
        <f t="shared" ref="F17:F78" si="2">D17-E17</f>
        <v>119852.69</v>
      </c>
      <c r="G17" s="394">
        <f>$G$16</f>
        <v>1</v>
      </c>
      <c r="H17" s="394">
        <f>$G$16</f>
        <v>1</v>
      </c>
      <c r="I17" s="364">
        <f>F17*G17*H17</f>
        <v>119852.69</v>
      </c>
      <c r="K17" s="364">
        <f>[4]Reserve!D113</f>
        <v>119852.68999999996</v>
      </c>
      <c r="L17" s="394">
        <f t="shared" si="0"/>
        <v>1</v>
      </c>
      <c r="M17" s="394">
        <f t="shared" si="0"/>
        <v>1</v>
      </c>
      <c r="N17" s="364">
        <f>K17*L17*M17</f>
        <v>119852.68999999996</v>
      </c>
      <c r="S17" s="431"/>
    </row>
    <row r="18" spans="1:19">
      <c r="A18" s="112">
        <f t="shared" si="1"/>
        <v>4</v>
      </c>
      <c r="B18" s="431"/>
      <c r="C18" s="80"/>
      <c r="D18" s="857"/>
      <c r="E18" s="857"/>
      <c r="F18" s="857"/>
      <c r="G18" s="394"/>
      <c r="H18" s="394"/>
      <c r="I18" s="857"/>
      <c r="K18" s="857"/>
      <c r="N18" s="857"/>
    </row>
    <row r="19" spans="1:19">
      <c r="A19" s="112">
        <f t="shared" si="1"/>
        <v>5</v>
      </c>
      <c r="B19" s="570"/>
      <c r="C19" s="80" t="s">
        <v>1335</v>
      </c>
      <c r="D19" s="304">
        <f>SUM(D16:D18)</f>
        <v>128182.41</v>
      </c>
      <c r="E19" s="304">
        <f>SUM(E16:E18)</f>
        <v>0</v>
      </c>
      <c r="F19" s="304">
        <f>SUM(F16:F18)</f>
        <v>128182.41</v>
      </c>
      <c r="G19" s="394"/>
      <c r="H19" s="394"/>
      <c r="I19" s="304">
        <f>SUM(I16:I18)</f>
        <v>128182.41</v>
      </c>
      <c r="K19" s="304">
        <f>SUM(K16:K18)</f>
        <v>128182.40999999996</v>
      </c>
      <c r="N19" s="304">
        <f>SUM(N16:N17)</f>
        <v>128182.40999999996</v>
      </c>
    </row>
    <row r="20" spans="1:19">
      <c r="A20" s="112">
        <f t="shared" si="1"/>
        <v>6</v>
      </c>
      <c r="B20" s="570"/>
      <c r="C20" s="73"/>
      <c r="D20" s="498"/>
      <c r="E20" s="498"/>
      <c r="F20" s="498"/>
      <c r="G20" s="394"/>
      <c r="H20" s="394"/>
      <c r="I20" s="498"/>
      <c r="K20" s="498"/>
      <c r="N20" s="498"/>
    </row>
    <row r="21" spans="1:19">
      <c r="A21" s="112">
        <f t="shared" si="1"/>
        <v>7</v>
      </c>
      <c r="B21" s="570"/>
      <c r="C21" s="500" t="s">
        <v>153</v>
      </c>
      <c r="D21" s="498"/>
      <c r="E21" s="498"/>
      <c r="F21" s="498"/>
      <c r="G21" s="394"/>
      <c r="H21" s="394"/>
      <c r="I21" s="498"/>
      <c r="K21" s="498"/>
      <c r="N21" s="498"/>
    </row>
    <row r="22" spans="1:19">
      <c r="A22" s="112">
        <f t="shared" si="1"/>
        <v>8</v>
      </c>
      <c r="B22" s="431">
        <v>32540</v>
      </c>
      <c r="C22" s="80" t="s">
        <v>160</v>
      </c>
      <c r="D22" s="304">
        <f>[4]Reserve!AF114</f>
        <v>0</v>
      </c>
      <c r="E22" s="310">
        <v>0</v>
      </c>
      <c r="F22" s="304">
        <f t="shared" si="2"/>
        <v>0</v>
      </c>
      <c r="G22" s="394">
        <f t="shared" ref="G22:H24" si="3">$G$16</f>
        <v>1</v>
      </c>
      <c r="H22" s="394">
        <f t="shared" si="3"/>
        <v>1</v>
      </c>
      <c r="I22" s="304">
        <f t="shared" ref="I22:I24" si="4">F22*G22*H22</f>
        <v>0</v>
      </c>
      <c r="K22" s="304">
        <f>[4]Reserve!D114</f>
        <v>0</v>
      </c>
      <c r="L22" s="394">
        <f t="shared" ref="L22:M24" si="5">$G$16</f>
        <v>1</v>
      </c>
      <c r="M22" s="394">
        <f t="shared" si="5"/>
        <v>1</v>
      </c>
      <c r="N22" s="304">
        <f t="shared" ref="N22:N24" si="6">K22*L22*M22</f>
        <v>0</v>
      </c>
      <c r="S22" s="431"/>
    </row>
    <row r="23" spans="1:19">
      <c r="A23" s="112">
        <f t="shared" si="1"/>
        <v>9</v>
      </c>
      <c r="B23" s="431">
        <v>33202</v>
      </c>
      <c r="C23" s="80" t="s">
        <v>591</v>
      </c>
      <c r="D23" s="364">
        <f>[4]Reserve!AF115</f>
        <v>0</v>
      </c>
      <c r="E23" s="498">
        <v>0</v>
      </c>
      <c r="F23" s="364">
        <f t="shared" si="2"/>
        <v>0</v>
      </c>
      <c r="G23" s="394">
        <f t="shared" si="3"/>
        <v>1</v>
      </c>
      <c r="H23" s="394">
        <f t="shared" si="3"/>
        <v>1</v>
      </c>
      <c r="I23" s="364">
        <f t="shared" si="4"/>
        <v>0</v>
      </c>
      <c r="K23" s="364">
        <f>[4]Reserve!D115</f>
        <v>0</v>
      </c>
      <c r="L23" s="394">
        <f t="shared" si="5"/>
        <v>1</v>
      </c>
      <c r="M23" s="394">
        <f t="shared" si="5"/>
        <v>1</v>
      </c>
      <c r="N23" s="364">
        <f t="shared" si="6"/>
        <v>0</v>
      </c>
      <c r="S23" s="431"/>
    </row>
    <row r="24" spans="1:19">
      <c r="A24" s="112">
        <f t="shared" si="1"/>
        <v>10</v>
      </c>
      <c r="B24" s="431">
        <v>33400</v>
      </c>
      <c r="C24" s="80" t="s">
        <v>1101</v>
      </c>
      <c r="D24" s="364">
        <f>[4]Reserve!AF116</f>
        <v>0</v>
      </c>
      <c r="E24" s="498">
        <v>0</v>
      </c>
      <c r="F24" s="364">
        <f t="shared" si="2"/>
        <v>0</v>
      </c>
      <c r="G24" s="394">
        <f t="shared" si="3"/>
        <v>1</v>
      </c>
      <c r="H24" s="394">
        <f t="shared" si="3"/>
        <v>1</v>
      </c>
      <c r="I24" s="364">
        <f t="shared" si="4"/>
        <v>0</v>
      </c>
      <c r="K24" s="364">
        <f>[4]Reserve!D116</f>
        <v>0</v>
      </c>
      <c r="L24" s="394">
        <f t="shared" si="5"/>
        <v>1</v>
      </c>
      <c r="M24" s="394">
        <f t="shared" si="5"/>
        <v>1</v>
      </c>
      <c r="N24" s="364">
        <f t="shared" si="6"/>
        <v>0</v>
      </c>
      <c r="S24" s="431"/>
    </row>
    <row r="25" spans="1:19">
      <c r="A25" s="112">
        <f t="shared" si="1"/>
        <v>11</v>
      </c>
      <c r="B25" s="431"/>
      <c r="C25" s="73"/>
      <c r="D25" s="857"/>
      <c r="E25" s="498"/>
      <c r="F25" s="498"/>
      <c r="G25" s="394"/>
      <c r="H25" s="394"/>
      <c r="I25" s="498"/>
      <c r="K25" s="857"/>
      <c r="N25" s="498"/>
    </row>
    <row r="26" spans="1:19">
      <c r="A26" s="112">
        <f t="shared" si="1"/>
        <v>12</v>
      </c>
      <c r="B26" s="431"/>
      <c r="C26" s="73" t="s">
        <v>1334</v>
      </c>
      <c r="D26" s="304">
        <f>SUM(D22:D25)</f>
        <v>0</v>
      </c>
      <c r="E26" s="304">
        <f>SUM(E22:E25)</f>
        <v>0</v>
      </c>
      <c r="F26" s="304">
        <f>SUM(F22:F25)</f>
        <v>0</v>
      </c>
      <c r="G26" s="394"/>
      <c r="H26" s="394"/>
      <c r="I26" s="304">
        <f>SUM(I22:I25)</f>
        <v>0</v>
      </c>
      <c r="K26" s="304">
        <f>SUM(K22:K25)</f>
        <v>0</v>
      </c>
      <c r="N26" s="304">
        <f>SUM(N22:N25)</f>
        <v>0</v>
      </c>
    </row>
    <row r="27" spans="1:19">
      <c r="A27" s="112">
        <f t="shared" si="1"/>
        <v>13</v>
      </c>
      <c r="B27" s="431"/>
      <c r="C27" s="80"/>
      <c r="D27" s="498"/>
      <c r="E27" s="498"/>
      <c r="F27" s="498"/>
      <c r="G27" s="394"/>
      <c r="H27" s="394"/>
      <c r="I27" s="498"/>
      <c r="K27" s="498"/>
      <c r="N27" s="498"/>
    </row>
    <row r="28" spans="1:19">
      <c r="A28" s="112">
        <f t="shared" si="1"/>
        <v>14</v>
      </c>
      <c r="B28" s="431"/>
      <c r="C28" s="500" t="s">
        <v>277</v>
      </c>
      <c r="D28" s="498"/>
      <c r="E28" s="498"/>
      <c r="F28" s="498"/>
      <c r="G28" s="394"/>
      <c r="H28" s="394"/>
      <c r="I28" s="498"/>
      <c r="K28" s="498"/>
      <c r="N28" s="498"/>
    </row>
    <row r="29" spans="1:19">
      <c r="A29" s="112">
        <f t="shared" si="1"/>
        <v>15</v>
      </c>
      <c r="B29" s="431">
        <v>35010</v>
      </c>
      <c r="C29" s="80" t="s">
        <v>290</v>
      </c>
      <c r="D29" s="304">
        <f>[4]Reserve!AF117</f>
        <v>0</v>
      </c>
      <c r="E29" s="310">
        <v>0</v>
      </c>
      <c r="F29" s="304">
        <f t="shared" si="2"/>
        <v>0</v>
      </c>
      <c r="G29" s="394">
        <f t="shared" ref="G29:H45" si="7">$G$16</f>
        <v>1</v>
      </c>
      <c r="H29" s="394">
        <f t="shared" si="7"/>
        <v>1</v>
      </c>
      <c r="I29" s="304">
        <f t="shared" ref="I29:I45" si="8">F29*G29*H29</f>
        <v>0</v>
      </c>
      <c r="K29" s="304">
        <f>[4]Reserve!D117</f>
        <v>0</v>
      </c>
      <c r="L29" s="394">
        <f t="shared" ref="L29:M45" si="9">$G$16</f>
        <v>1</v>
      </c>
      <c r="M29" s="394">
        <f t="shared" si="9"/>
        <v>1</v>
      </c>
      <c r="N29" s="304">
        <f t="shared" ref="N29:N45" si="10">K29*L29*M29</f>
        <v>0</v>
      </c>
      <c r="S29" s="431"/>
    </row>
    <row r="30" spans="1:19">
      <c r="A30" s="112">
        <f t="shared" si="1"/>
        <v>16</v>
      </c>
      <c r="B30" s="431">
        <v>35020</v>
      </c>
      <c r="C30" s="80" t="s">
        <v>785</v>
      </c>
      <c r="D30" s="364">
        <f>[4]Reserve!AF118</f>
        <v>4141.3850100000036</v>
      </c>
      <c r="E30" s="498">
        <v>0</v>
      </c>
      <c r="F30" s="364">
        <f t="shared" si="2"/>
        <v>4141.3850100000036</v>
      </c>
      <c r="G30" s="394">
        <f t="shared" si="7"/>
        <v>1</v>
      </c>
      <c r="H30" s="394">
        <f t="shared" si="7"/>
        <v>1</v>
      </c>
      <c r="I30" s="364">
        <f t="shared" si="8"/>
        <v>4141.3850100000036</v>
      </c>
      <c r="K30" s="364">
        <f>[4]Reserve!D118</f>
        <v>4125.4676380000019</v>
      </c>
      <c r="L30" s="394">
        <f t="shared" si="9"/>
        <v>1</v>
      </c>
      <c r="M30" s="394">
        <f t="shared" si="9"/>
        <v>1</v>
      </c>
      <c r="N30" s="364">
        <f t="shared" si="10"/>
        <v>4125.4676380000019</v>
      </c>
      <c r="S30" s="431"/>
    </row>
    <row r="31" spans="1:19">
      <c r="A31" s="112">
        <f t="shared" si="1"/>
        <v>17</v>
      </c>
      <c r="B31" s="431">
        <v>35100</v>
      </c>
      <c r="C31" s="80" t="s">
        <v>956</v>
      </c>
      <c r="D31" s="364">
        <f>[4]Reserve!AF119</f>
        <v>7102.6697959999992</v>
      </c>
      <c r="E31" s="498">
        <v>0</v>
      </c>
      <c r="F31" s="364">
        <f t="shared" si="2"/>
        <v>7102.6697959999992</v>
      </c>
      <c r="G31" s="394">
        <f t="shared" si="7"/>
        <v>1</v>
      </c>
      <c r="H31" s="394">
        <f t="shared" si="7"/>
        <v>1</v>
      </c>
      <c r="I31" s="364">
        <f t="shared" si="8"/>
        <v>7102.6697959999992</v>
      </c>
      <c r="K31" s="364">
        <f>[4]Reserve!D119</f>
        <v>6955.7570380000006</v>
      </c>
      <c r="L31" s="394">
        <f t="shared" si="9"/>
        <v>1</v>
      </c>
      <c r="M31" s="394">
        <f t="shared" si="9"/>
        <v>1</v>
      </c>
      <c r="N31" s="364">
        <f t="shared" si="10"/>
        <v>6955.7570380000006</v>
      </c>
      <c r="S31" s="431"/>
    </row>
    <row r="32" spans="1:19">
      <c r="A32" s="112">
        <f t="shared" si="1"/>
        <v>18</v>
      </c>
      <c r="B32" s="431">
        <v>35102</v>
      </c>
      <c r="C32" s="80" t="s">
        <v>278</v>
      </c>
      <c r="D32" s="364">
        <f>[4]Reserve!AF120</f>
        <v>115214.70231500002</v>
      </c>
      <c r="E32" s="498">
        <v>0</v>
      </c>
      <c r="F32" s="364">
        <f t="shared" si="2"/>
        <v>115214.70231500002</v>
      </c>
      <c r="G32" s="394">
        <f t="shared" si="7"/>
        <v>1</v>
      </c>
      <c r="H32" s="394">
        <f t="shared" si="7"/>
        <v>1</v>
      </c>
      <c r="I32" s="364">
        <f t="shared" si="8"/>
        <v>115214.70231500002</v>
      </c>
      <c r="K32" s="364">
        <f>[4]Reserve!D120</f>
        <v>114164.86241</v>
      </c>
      <c r="L32" s="394">
        <f t="shared" si="9"/>
        <v>1</v>
      </c>
      <c r="M32" s="394">
        <f t="shared" si="9"/>
        <v>1</v>
      </c>
      <c r="N32" s="364">
        <f t="shared" si="10"/>
        <v>114164.86241</v>
      </c>
      <c r="S32" s="431"/>
    </row>
    <row r="33" spans="1:19">
      <c r="A33" s="112">
        <f t="shared" si="1"/>
        <v>19</v>
      </c>
      <c r="B33" s="431">
        <v>35103</v>
      </c>
      <c r="C33" s="80" t="s">
        <v>580</v>
      </c>
      <c r="D33" s="364">
        <f>[4]Reserve!AF121</f>
        <v>20366.587081499994</v>
      </c>
      <c r="E33" s="498">
        <v>0</v>
      </c>
      <c r="F33" s="364">
        <f t="shared" si="2"/>
        <v>20366.587081499994</v>
      </c>
      <c r="G33" s="394">
        <f t="shared" si="7"/>
        <v>1</v>
      </c>
      <c r="H33" s="394">
        <f t="shared" si="7"/>
        <v>1</v>
      </c>
      <c r="I33" s="364">
        <f t="shared" si="8"/>
        <v>20366.587081499994</v>
      </c>
      <c r="K33" s="364">
        <f>[4]Reserve!D121</f>
        <v>20239.325991500002</v>
      </c>
      <c r="L33" s="394">
        <f t="shared" si="9"/>
        <v>1</v>
      </c>
      <c r="M33" s="394">
        <f t="shared" si="9"/>
        <v>1</v>
      </c>
      <c r="N33" s="364">
        <f t="shared" si="10"/>
        <v>20239.325991500002</v>
      </c>
      <c r="S33" s="431"/>
    </row>
    <row r="34" spans="1:19">
      <c r="A34" s="112">
        <f t="shared" si="1"/>
        <v>20</v>
      </c>
      <c r="B34" s="431">
        <v>35104</v>
      </c>
      <c r="C34" s="80" t="s">
        <v>581</v>
      </c>
      <c r="D34" s="364">
        <f>[4]Reserve!AF122</f>
        <v>101972.20968400006</v>
      </c>
      <c r="E34" s="498">
        <v>0</v>
      </c>
      <c r="F34" s="364">
        <f t="shared" si="2"/>
        <v>101972.20968400006</v>
      </c>
      <c r="G34" s="394">
        <f t="shared" si="7"/>
        <v>1</v>
      </c>
      <c r="H34" s="394">
        <f t="shared" si="7"/>
        <v>1</v>
      </c>
      <c r="I34" s="364">
        <f t="shared" si="8"/>
        <v>101972.20968400006</v>
      </c>
      <c r="K34" s="364">
        <f>[4]Reserve!D122</f>
        <v>101023.85622700004</v>
      </c>
      <c r="L34" s="394">
        <f t="shared" si="9"/>
        <v>1</v>
      </c>
      <c r="M34" s="394">
        <f t="shared" si="9"/>
        <v>1</v>
      </c>
      <c r="N34" s="364">
        <f t="shared" si="10"/>
        <v>101023.85622700004</v>
      </c>
      <c r="S34" s="431"/>
    </row>
    <row r="35" spans="1:19">
      <c r="A35" s="112">
        <f t="shared" si="1"/>
        <v>21</v>
      </c>
      <c r="B35" s="431">
        <v>35200</v>
      </c>
      <c r="C35" s="80" t="s">
        <v>437</v>
      </c>
      <c r="D35" s="364">
        <f>[4]Reserve!AF123</f>
        <v>1942547.7777595005</v>
      </c>
      <c r="E35" s="498">
        <v>0</v>
      </c>
      <c r="F35" s="364">
        <f t="shared" si="2"/>
        <v>1942547.7777595005</v>
      </c>
      <c r="G35" s="394">
        <f t="shared" si="7"/>
        <v>1</v>
      </c>
      <c r="H35" s="394">
        <f t="shared" si="7"/>
        <v>1</v>
      </c>
      <c r="I35" s="364">
        <f t="shared" si="8"/>
        <v>1942547.7777595005</v>
      </c>
      <c r="K35" s="364">
        <f>[4]Reserve!D123</f>
        <v>1855803.928566</v>
      </c>
      <c r="L35" s="394">
        <f t="shared" si="9"/>
        <v>1</v>
      </c>
      <c r="M35" s="394">
        <f t="shared" si="9"/>
        <v>1</v>
      </c>
      <c r="N35" s="364">
        <f t="shared" si="10"/>
        <v>1855803.928566</v>
      </c>
      <c r="S35" s="431"/>
    </row>
    <row r="36" spans="1:19">
      <c r="A36" s="112">
        <f t="shared" si="1"/>
        <v>22</v>
      </c>
      <c r="B36" s="431">
        <v>35201</v>
      </c>
      <c r="C36" s="80" t="s">
        <v>582</v>
      </c>
      <c r="D36" s="364">
        <f>[4]Reserve!AF124</f>
        <v>1450062.4410909999</v>
      </c>
      <c r="E36" s="498">
        <v>0</v>
      </c>
      <c r="F36" s="364">
        <f t="shared" si="2"/>
        <v>1450062.4410909999</v>
      </c>
      <c r="G36" s="394">
        <f t="shared" si="7"/>
        <v>1</v>
      </c>
      <c r="H36" s="394">
        <f t="shared" si="7"/>
        <v>1</v>
      </c>
      <c r="I36" s="364">
        <f t="shared" si="8"/>
        <v>1450062.4410909999</v>
      </c>
      <c r="K36" s="364">
        <f>[4]Reserve!D124</f>
        <v>1436462.4527709996</v>
      </c>
      <c r="L36" s="394">
        <f t="shared" si="9"/>
        <v>1</v>
      </c>
      <c r="M36" s="394">
        <f t="shared" si="9"/>
        <v>1</v>
      </c>
      <c r="N36" s="364">
        <f t="shared" si="10"/>
        <v>1436462.4527709996</v>
      </c>
      <c r="S36" s="431"/>
    </row>
    <row r="37" spans="1:19">
      <c r="A37" s="112">
        <f t="shared" si="1"/>
        <v>23</v>
      </c>
      <c r="B37" s="431">
        <v>35202</v>
      </c>
      <c r="C37" s="80" t="s">
        <v>583</v>
      </c>
      <c r="D37" s="364">
        <f>[4]Reserve!AF125</f>
        <v>449390.83437699999</v>
      </c>
      <c r="E37" s="498">
        <v>0</v>
      </c>
      <c r="F37" s="364">
        <f t="shared" si="2"/>
        <v>449390.83437699999</v>
      </c>
      <c r="G37" s="394">
        <f t="shared" si="7"/>
        <v>1</v>
      </c>
      <c r="H37" s="394">
        <f t="shared" si="7"/>
        <v>1</v>
      </c>
      <c r="I37" s="364">
        <f t="shared" si="8"/>
        <v>449390.83437699999</v>
      </c>
      <c r="K37" s="364">
        <f>[4]Reserve!D125</f>
        <v>449390.83437700005</v>
      </c>
      <c r="L37" s="394">
        <f t="shared" si="9"/>
        <v>1</v>
      </c>
      <c r="M37" s="394">
        <f t="shared" si="9"/>
        <v>1</v>
      </c>
      <c r="N37" s="364">
        <f t="shared" si="10"/>
        <v>449390.83437700005</v>
      </c>
      <c r="S37" s="431"/>
    </row>
    <row r="38" spans="1:19">
      <c r="A38" s="112">
        <f t="shared" si="1"/>
        <v>24</v>
      </c>
      <c r="B38" s="431">
        <v>35203</v>
      </c>
      <c r="C38" s="80" t="s">
        <v>341</v>
      </c>
      <c r="D38" s="364">
        <f>[4]Reserve!AF126</f>
        <v>643650.02763200121</v>
      </c>
      <c r="E38" s="498">
        <v>0</v>
      </c>
      <c r="F38" s="364">
        <f t="shared" si="2"/>
        <v>643650.02763200121</v>
      </c>
      <c r="G38" s="394">
        <f t="shared" si="7"/>
        <v>1</v>
      </c>
      <c r="H38" s="394">
        <f t="shared" si="7"/>
        <v>1</v>
      </c>
      <c r="I38" s="364">
        <f t="shared" si="8"/>
        <v>643650.02763200121</v>
      </c>
      <c r="K38" s="364">
        <f>[4]Reserve!D126</f>
        <v>631786.196912001</v>
      </c>
      <c r="L38" s="394">
        <f t="shared" si="9"/>
        <v>1</v>
      </c>
      <c r="M38" s="394">
        <f t="shared" si="9"/>
        <v>1</v>
      </c>
      <c r="N38" s="364">
        <f t="shared" si="10"/>
        <v>631786.196912001</v>
      </c>
      <c r="S38" s="431"/>
    </row>
    <row r="39" spans="1:19">
      <c r="A39" s="112">
        <f t="shared" si="1"/>
        <v>25</v>
      </c>
      <c r="B39" s="431">
        <v>35210</v>
      </c>
      <c r="C39" s="80" t="s">
        <v>584</v>
      </c>
      <c r="D39" s="364">
        <f>[4]Reserve!AF127</f>
        <v>164741.0248552502</v>
      </c>
      <c r="E39" s="498">
        <v>0</v>
      </c>
      <c r="F39" s="364">
        <f t="shared" si="2"/>
        <v>164741.0248552502</v>
      </c>
      <c r="G39" s="394">
        <f t="shared" si="7"/>
        <v>1</v>
      </c>
      <c r="H39" s="394">
        <f t="shared" si="7"/>
        <v>1</v>
      </c>
      <c r="I39" s="364">
        <f t="shared" si="8"/>
        <v>164741.0248552502</v>
      </c>
      <c r="K39" s="364">
        <f>[4]Reserve!D127</f>
        <v>164241.1406032501</v>
      </c>
      <c r="L39" s="394">
        <f t="shared" si="9"/>
        <v>1</v>
      </c>
      <c r="M39" s="394">
        <f t="shared" si="9"/>
        <v>1</v>
      </c>
      <c r="N39" s="364">
        <f t="shared" si="10"/>
        <v>164241.1406032501</v>
      </c>
      <c r="S39" s="431"/>
    </row>
    <row r="40" spans="1:19">
      <c r="A40" s="112">
        <f t="shared" si="1"/>
        <v>26</v>
      </c>
      <c r="B40" s="431">
        <v>35211</v>
      </c>
      <c r="C40" s="80" t="s">
        <v>585</v>
      </c>
      <c r="D40" s="364">
        <f>[4]Reserve!AF128</f>
        <v>43808.839033500015</v>
      </c>
      <c r="E40" s="498">
        <v>0</v>
      </c>
      <c r="F40" s="364">
        <f t="shared" si="2"/>
        <v>43808.839033500015</v>
      </c>
      <c r="G40" s="394">
        <f t="shared" si="7"/>
        <v>1</v>
      </c>
      <c r="H40" s="394">
        <f t="shared" si="7"/>
        <v>1</v>
      </c>
      <c r="I40" s="364">
        <f t="shared" si="8"/>
        <v>43808.839033500015</v>
      </c>
      <c r="K40" s="364">
        <f>[4]Reserve!D128</f>
        <v>43530.306256500007</v>
      </c>
      <c r="L40" s="394">
        <f t="shared" si="9"/>
        <v>1</v>
      </c>
      <c r="M40" s="394">
        <f t="shared" si="9"/>
        <v>1</v>
      </c>
      <c r="N40" s="364">
        <f t="shared" si="10"/>
        <v>43530.306256500007</v>
      </c>
      <c r="S40" s="431"/>
    </row>
    <row r="41" spans="1:19">
      <c r="A41" s="112">
        <f t="shared" si="1"/>
        <v>27</v>
      </c>
      <c r="B41" s="431">
        <v>35301</v>
      </c>
      <c r="C41" s="73" t="s">
        <v>161</v>
      </c>
      <c r="D41" s="364">
        <f>[4]Reserve!AF129</f>
        <v>102777.47777000003</v>
      </c>
      <c r="E41" s="498">
        <v>0</v>
      </c>
      <c r="F41" s="364">
        <f t="shared" si="2"/>
        <v>102777.47777000003</v>
      </c>
      <c r="G41" s="394">
        <f t="shared" si="7"/>
        <v>1</v>
      </c>
      <c r="H41" s="394">
        <f t="shared" si="7"/>
        <v>1</v>
      </c>
      <c r="I41" s="364">
        <f t="shared" si="8"/>
        <v>102777.47777000003</v>
      </c>
      <c r="K41" s="364">
        <f>[4]Reserve!D129</f>
        <v>101672.77043900004</v>
      </c>
      <c r="L41" s="394">
        <f t="shared" si="9"/>
        <v>1</v>
      </c>
      <c r="M41" s="394">
        <f t="shared" si="9"/>
        <v>1</v>
      </c>
      <c r="N41" s="364">
        <f t="shared" si="10"/>
        <v>101672.77043900004</v>
      </c>
      <c r="S41" s="431"/>
    </row>
    <row r="42" spans="1:19">
      <c r="A42" s="112">
        <f t="shared" si="1"/>
        <v>28</v>
      </c>
      <c r="B42" s="431">
        <v>35302</v>
      </c>
      <c r="C42" s="80" t="s">
        <v>591</v>
      </c>
      <c r="D42" s="364">
        <f>[4]Reserve!AF130</f>
        <v>152657.24689999968</v>
      </c>
      <c r="E42" s="498">
        <v>0</v>
      </c>
      <c r="F42" s="364">
        <f t="shared" si="2"/>
        <v>152657.24689999968</v>
      </c>
      <c r="G42" s="394">
        <f t="shared" si="7"/>
        <v>1</v>
      </c>
      <c r="H42" s="394">
        <f t="shared" si="7"/>
        <v>1</v>
      </c>
      <c r="I42" s="364">
        <f t="shared" si="8"/>
        <v>152657.24689999968</v>
      </c>
      <c r="K42" s="364">
        <f>[4]Reserve!D130</f>
        <v>151338.53782999978</v>
      </c>
      <c r="L42" s="394">
        <f t="shared" si="9"/>
        <v>1</v>
      </c>
      <c r="M42" s="394">
        <f t="shared" si="9"/>
        <v>1</v>
      </c>
      <c r="N42" s="364">
        <f t="shared" si="10"/>
        <v>151338.53782999978</v>
      </c>
      <c r="S42" s="431"/>
    </row>
    <row r="43" spans="1:19">
      <c r="A43" s="112">
        <f t="shared" si="1"/>
        <v>29</v>
      </c>
      <c r="B43" s="431">
        <v>35400</v>
      </c>
      <c r="C43" s="80" t="s">
        <v>586</v>
      </c>
      <c r="D43" s="364">
        <f>[4]Reserve!AF131</f>
        <v>513529.36386999954</v>
      </c>
      <c r="E43" s="498">
        <v>0</v>
      </c>
      <c r="F43" s="364">
        <f t="shared" si="2"/>
        <v>513529.36386999954</v>
      </c>
      <c r="G43" s="394">
        <f t="shared" si="7"/>
        <v>1</v>
      </c>
      <c r="H43" s="394">
        <f t="shared" si="7"/>
        <v>1</v>
      </c>
      <c r="I43" s="364">
        <f t="shared" si="8"/>
        <v>513529.36386999954</v>
      </c>
      <c r="K43" s="364">
        <f>[4]Reserve!D131</f>
        <v>505633.90014249959</v>
      </c>
      <c r="L43" s="394">
        <f t="shared" si="9"/>
        <v>1</v>
      </c>
      <c r="M43" s="394">
        <f t="shared" si="9"/>
        <v>1</v>
      </c>
      <c r="N43" s="364">
        <f t="shared" si="10"/>
        <v>505633.90014249959</v>
      </c>
      <c r="S43" s="431"/>
    </row>
    <row r="44" spans="1:19">
      <c r="A44" s="112">
        <f t="shared" si="1"/>
        <v>30</v>
      </c>
      <c r="B44" s="431">
        <v>35500</v>
      </c>
      <c r="C44" s="80" t="s">
        <v>979</v>
      </c>
      <c r="D44" s="364">
        <f>[4]Reserve!AF132</f>
        <v>160497.97507950009</v>
      </c>
      <c r="E44" s="498">
        <v>0</v>
      </c>
      <c r="F44" s="364">
        <f t="shared" si="2"/>
        <v>160497.97507950009</v>
      </c>
      <c r="G44" s="394">
        <f t="shared" si="7"/>
        <v>1</v>
      </c>
      <c r="H44" s="394">
        <f t="shared" si="7"/>
        <v>1</v>
      </c>
      <c r="I44" s="364">
        <f t="shared" si="8"/>
        <v>160497.97507950009</v>
      </c>
      <c r="K44" s="364">
        <f>[4]Reserve!D132</f>
        <v>157944.63612650003</v>
      </c>
      <c r="L44" s="394">
        <f t="shared" si="9"/>
        <v>1</v>
      </c>
      <c r="M44" s="394">
        <f t="shared" si="9"/>
        <v>1</v>
      </c>
      <c r="N44" s="364">
        <f t="shared" si="10"/>
        <v>157944.63612650003</v>
      </c>
      <c r="S44" s="431"/>
    </row>
    <row r="45" spans="1:19">
      <c r="A45" s="112">
        <f t="shared" si="1"/>
        <v>31</v>
      </c>
      <c r="B45" s="431">
        <v>35600</v>
      </c>
      <c r="C45" s="80" t="s">
        <v>1024</v>
      </c>
      <c r="D45" s="364">
        <f>[4]Reserve!AF133</f>
        <v>240461.40622125004</v>
      </c>
      <c r="E45" s="844">
        <v>0</v>
      </c>
      <c r="F45" s="842">
        <f t="shared" si="2"/>
        <v>240461.40622125004</v>
      </c>
      <c r="G45" s="394">
        <f t="shared" si="7"/>
        <v>1</v>
      </c>
      <c r="H45" s="394">
        <f t="shared" si="7"/>
        <v>1</v>
      </c>
      <c r="I45" s="842">
        <f t="shared" si="8"/>
        <v>240461.40622125004</v>
      </c>
      <c r="K45" s="364">
        <f>[4]Reserve!D133</f>
        <v>230098.53359625002</v>
      </c>
      <c r="L45" s="394">
        <f t="shared" si="9"/>
        <v>1</v>
      </c>
      <c r="M45" s="394">
        <f t="shared" si="9"/>
        <v>1</v>
      </c>
      <c r="N45" s="842">
        <f t="shared" si="10"/>
        <v>230098.53359625002</v>
      </c>
      <c r="S45" s="431"/>
    </row>
    <row r="46" spans="1:19">
      <c r="A46" s="112">
        <f t="shared" si="1"/>
        <v>32</v>
      </c>
      <c r="B46" s="431"/>
      <c r="C46" s="80"/>
      <c r="D46" s="857"/>
      <c r="E46" s="498"/>
      <c r="F46" s="498"/>
      <c r="G46" s="394"/>
      <c r="H46" s="394"/>
      <c r="I46" s="498"/>
      <c r="K46" s="857"/>
      <c r="N46" s="498"/>
    </row>
    <row r="47" spans="1:19">
      <c r="A47" s="112">
        <f t="shared" si="1"/>
        <v>33</v>
      </c>
      <c r="B47" s="431"/>
      <c r="C47" s="80" t="s">
        <v>1333</v>
      </c>
      <c r="D47" s="304">
        <f>SUM(D29:D46)</f>
        <v>6112921.9684755011</v>
      </c>
      <c r="E47" s="304">
        <f>SUM(E29:E46)</f>
        <v>0</v>
      </c>
      <c r="F47" s="304">
        <f>SUM(F29:F46)</f>
        <v>6112921.9684755011</v>
      </c>
      <c r="G47" s="394"/>
      <c r="H47" s="394"/>
      <c r="I47" s="304">
        <f>SUM(I29:I46)</f>
        <v>6112921.9684755011</v>
      </c>
      <c r="K47" s="304">
        <f>SUM(K29:K46)</f>
        <v>5974412.5069244998</v>
      </c>
      <c r="N47" s="304">
        <f>SUM(N29:N46)</f>
        <v>5974412.5069244998</v>
      </c>
    </row>
    <row r="48" spans="1:19">
      <c r="A48" s="112">
        <f t="shared" si="1"/>
        <v>34</v>
      </c>
      <c r="B48" s="431"/>
      <c r="C48" s="80"/>
      <c r="D48" s="498"/>
      <c r="E48" s="498"/>
      <c r="F48" s="498"/>
      <c r="G48" s="394"/>
      <c r="H48" s="394"/>
      <c r="I48" s="498"/>
      <c r="K48" s="498"/>
      <c r="N48" s="498"/>
    </row>
    <row r="49" spans="1:20">
      <c r="A49" s="112">
        <f t="shared" si="1"/>
        <v>35</v>
      </c>
      <c r="B49" s="431"/>
      <c r="C49" s="500" t="s">
        <v>980</v>
      </c>
      <c r="D49" s="498"/>
      <c r="E49" s="498"/>
      <c r="F49" s="498"/>
      <c r="G49" s="394"/>
      <c r="H49" s="394"/>
      <c r="I49" s="498"/>
      <c r="K49" s="498"/>
      <c r="N49" s="498"/>
    </row>
    <row r="50" spans="1:20">
      <c r="A50" s="112">
        <f t="shared" si="1"/>
        <v>36</v>
      </c>
      <c r="B50" s="431">
        <v>36510</v>
      </c>
      <c r="C50" s="80" t="s">
        <v>290</v>
      </c>
      <c r="D50" s="304">
        <f>[4]Reserve!AF134</f>
        <v>0</v>
      </c>
      <c r="E50" s="310">
        <v>0</v>
      </c>
      <c r="F50" s="304">
        <f t="shared" si="2"/>
        <v>0</v>
      </c>
      <c r="G50" s="394">
        <f t="shared" ref="G50:H58" si="11">$G$16</f>
        <v>1</v>
      </c>
      <c r="H50" s="394">
        <f t="shared" si="11"/>
        <v>1</v>
      </c>
      <c r="I50" s="304">
        <f t="shared" ref="I50:I58" si="12">F50*G50*H50</f>
        <v>0</v>
      </c>
      <c r="K50" s="304">
        <f>[4]Reserve!D134</f>
        <v>0</v>
      </c>
      <c r="L50" s="394">
        <f t="shared" ref="L50:M58" si="13">$G$16</f>
        <v>1</v>
      </c>
      <c r="M50" s="394">
        <f t="shared" si="13"/>
        <v>1</v>
      </c>
      <c r="N50" s="304">
        <f t="shared" ref="N50:N58" si="14">K50*L50*M50</f>
        <v>0</v>
      </c>
      <c r="S50" s="431"/>
    </row>
    <row r="51" spans="1:20">
      <c r="A51" s="112">
        <f t="shared" si="1"/>
        <v>37</v>
      </c>
      <c r="B51" s="431">
        <v>36520</v>
      </c>
      <c r="C51" s="80" t="s">
        <v>785</v>
      </c>
      <c r="D51" s="364">
        <f>[4]Reserve!AF135</f>
        <v>591849.70660000003</v>
      </c>
      <c r="E51" s="498">
        <v>0</v>
      </c>
      <c r="F51" s="364">
        <f t="shared" si="2"/>
        <v>591849.70660000003</v>
      </c>
      <c r="G51" s="394">
        <f t="shared" si="11"/>
        <v>1</v>
      </c>
      <c r="H51" s="394">
        <f t="shared" si="11"/>
        <v>1</v>
      </c>
      <c r="I51" s="364">
        <f t="shared" si="12"/>
        <v>591849.70660000003</v>
      </c>
      <c r="K51" s="364">
        <f>[4]Reserve!D135</f>
        <v>588161.67560000008</v>
      </c>
      <c r="L51" s="394">
        <f t="shared" si="13"/>
        <v>1</v>
      </c>
      <c r="M51" s="394">
        <f t="shared" si="13"/>
        <v>1</v>
      </c>
      <c r="N51" s="364">
        <f t="shared" si="14"/>
        <v>588161.67560000008</v>
      </c>
      <c r="S51" s="431"/>
    </row>
    <row r="52" spans="1:20">
      <c r="A52" s="112">
        <f t="shared" si="1"/>
        <v>38</v>
      </c>
      <c r="B52" s="431">
        <v>36602</v>
      </c>
      <c r="C52" s="80" t="s">
        <v>848</v>
      </c>
      <c r="D52" s="364">
        <f>[4]Reserve!AF136</f>
        <v>24138.923595000004</v>
      </c>
      <c r="E52" s="498">
        <v>0</v>
      </c>
      <c r="F52" s="364">
        <f t="shared" si="2"/>
        <v>24138.923595000004</v>
      </c>
      <c r="G52" s="394">
        <f t="shared" si="11"/>
        <v>1</v>
      </c>
      <c r="H52" s="394">
        <f t="shared" si="11"/>
        <v>1</v>
      </c>
      <c r="I52" s="364">
        <f t="shared" si="12"/>
        <v>24138.923595000004</v>
      </c>
      <c r="K52" s="364">
        <f>[4]Reserve!D136</f>
        <v>23862.063877000011</v>
      </c>
      <c r="L52" s="394">
        <f t="shared" si="13"/>
        <v>1</v>
      </c>
      <c r="M52" s="394">
        <f t="shared" si="13"/>
        <v>1</v>
      </c>
      <c r="N52" s="364">
        <f t="shared" si="14"/>
        <v>23862.063877000011</v>
      </c>
      <c r="S52" s="431"/>
    </row>
    <row r="53" spans="1:20">
      <c r="A53" s="112">
        <f t="shared" si="1"/>
        <v>39</v>
      </c>
      <c r="B53" s="431">
        <v>36603</v>
      </c>
      <c r="C53" s="80" t="s">
        <v>981</v>
      </c>
      <c r="D53" s="364">
        <f>[4]Reserve!AF137</f>
        <v>65485.02</v>
      </c>
      <c r="E53" s="498">
        <v>0</v>
      </c>
      <c r="F53" s="364">
        <f t="shared" si="2"/>
        <v>65485.02</v>
      </c>
      <c r="G53" s="394">
        <f t="shared" si="11"/>
        <v>1</v>
      </c>
      <c r="H53" s="394">
        <f t="shared" si="11"/>
        <v>1</v>
      </c>
      <c r="I53" s="364">
        <f t="shared" si="12"/>
        <v>65485.02</v>
      </c>
      <c r="K53" s="364">
        <f>[4]Reserve!D137</f>
        <v>65485.020000000011</v>
      </c>
      <c r="L53" s="394">
        <f t="shared" si="13"/>
        <v>1</v>
      </c>
      <c r="M53" s="394">
        <f t="shared" si="13"/>
        <v>1</v>
      </c>
      <c r="N53" s="364">
        <f t="shared" si="14"/>
        <v>65485.020000000011</v>
      </c>
      <c r="S53" s="431"/>
    </row>
    <row r="54" spans="1:20">
      <c r="A54" s="112">
        <f t="shared" si="1"/>
        <v>40</v>
      </c>
      <c r="B54" s="431">
        <v>36700</v>
      </c>
      <c r="C54" s="80" t="s">
        <v>836</v>
      </c>
      <c r="D54" s="364">
        <f>[4]Reserve!AF138</f>
        <v>26652.780786999963</v>
      </c>
      <c r="E54" s="498">
        <v>0</v>
      </c>
      <c r="F54" s="364">
        <f t="shared" si="2"/>
        <v>26652.780786999963</v>
      </c>
      <c r="G54" s="394">
        <f t="shared" si="11"/>
        <v>1</v>
      </c>
      <c r="H54" s="394">
        <f t="shared" si="11"/>
        <v>1</v>
      </c>
      <c r="I54" s="364">
        <f t="shared" si="12"/>
        <v>26652.780786999963</v>
      </c>
      <c r="K54" s="364">
        <f>[4]Reserve!D138</f>
        <v>25913.585432499971</v>
      </c>
      <c r="L54" s="394">
        <f t="shared" si="13"/>
        <v>1</v>
      </c>
      <c r="M54" s="394">
        <f t="shared" si="13"/>
        <v>1</v>
      </c>
      <c r="N54" s="364">
        <f t="shared" si="14"/>
        <v>25913.585432499971</v>
      </c>
      <c r="S54" s="431"/>
    </row>
    <row r="55" spans="1:20">
      <c r="A55" s="112">
        <f t="shared" si="1"/>
        <v>41</v>
      </c>
      <c r="B55" s="431">
        <v>36701</v>
      </c>
      <c r="C55" s="80" t="s">
        <v>16</v>
      </c>
      <c r="D55" s="364">
        <f>[4]Reserve!AF139</f>
        <v>16933573.619575009</v>
      </c>
      <c r="E55" s="498">
        <v>0</v>
      </c>
      <c r="F55" s="364">
        <f t="shared" si="2"/>
        <v>16933573.619575009</v>
      </c>
      <c r="G55" s="394">
        <f t="shared" si="11"/>
        <v>1</v>
      </c>
      <c r="H55" s="394">
        <f t="shared" si="11"/>
        <v>1</v>
      </c>
      <c r="I55" s="364">
        <f t="shared" si="12"/>
        <v>16933573.619575009</v>
      </c>
      <c r="K55" s="364">
        <f>[4]Reserve!D139</f>
        <v>16741557.929572005</v>
      </c>
      <c r="L55" s="394">
        <f t="shared" si="13"/>
        <v>1</v>
      </c>
      <c r="M55" s="394">
        <f t="shared" si="13"/>
        <v>1</v>
      </c>
      <c r="N55" s="364">
        <f t="shared" si="14"/>
        <v>16741557.929572005</v>
      </c>
      <c r="S55" s="431"/>
    </row>
    <row r="56" spans="1:20">
      <c r="A56" s="112">
        <f t="shared" si="1"/>
        <v>42</v>
      </c>
      <c r="B56" s="838">
        <v>36703</v>
      </c>
      <c r="C56" s="205" t="s">
        <v>1529</v>
      </c>
      <c r="D56" s="364">
        <f>[4]Reserve!AF140</f>
        <v>50483.574249999961</v>
      </c>
      <c r="E56" s="498">
        <v>0</v>
      </c>
      <c r="F56" s="364">
        <f t="shared" ref="F56" si="15">D56-E56</f>
        <v>50483.574249999961</v>
      </c>
      <c r="G56" s="394">
        <f t="shared" si="11"/>
        <v>1</v>
      </c>
      <c r="H56" s="394">
        <f t="shared" si="11"/>
        <v>1</v>
      </c>
      <c r="I56" s="364">
        <f t="shared" ref="I56" si="16">F56*G56*H56</f>
        <v>50483.574249999961</v>
      </c>
      <c r="K56" s="364">
        <f>[4]Reserve!D140</f>
        <v>49204.138749999969</v>
      </c>
      <c r="L56" s="394">
        <f t="shared" si="13"/>
        <v>1</v>
      </c>
      <c r="M56" s="394">
        <f t="shared" si="13"/>
        <v>1</v>
      </c>
      <c r="N56" s="364">
        <f t="shared" ref="N56" si="17">K56*L56*M56</f>
        <v>49204.138749999969</v>
      </c>
      <c r="O56"/>
      <c r="P56"/>
      <c r="Q56"/>
      <c r="R56"/>
      <c r="S56"/>
      <c r="T56"/>
    </row>
    <row r="57" spans="1:20">
      <c r="A57" s="112">
        <f t="shared" si="1"/>
        <v>43</v>
      </c>
      <c r="B57" s="431">
        <v>36900</v>
      </c>
      <c r="C57" s="80" t="s">
        <v>982</v>
      </c>
      <c r="D57" s="364">
        <f>[4]Reserve!AF141</f>
        <v>463597.30606225011</v>
      </c>
      <c r="E57" s="498">
        <v>0</v>
      </c>
      <c r="F57" s="364">
        <f t="shared" si="2"/>
        <v>463597.30606225011</v>
      </c>
      <c r="G57" s="394">
        <f t="shared" si="11"/>
        <v>1</v>
      </c>
      <c r="H57" s="394">
        <f t="shared" si="11"/>
        <v>1</v>
      </c>
      <c r="I57" s="364">
        <f t="shared" si="12"/>
        <v>463597.30606225011</v>
      </c>
      <c r="K57" s="364">
        <f>[4]Reserve!D141</f>
        <v>445700.99892175006</v>
      </c>
      <c r="L57" s="394">
        <f t="shared" si="13"/>
        <v>1</v>
      </c>
      <c r="M57" s="394">
        <f t="shared" si="13"/>
        <v>1</v>
      </c>
      <c r="N57" s="364">
        <f t="shared" si="14"/>
        <v>445700.99892175006</v>
      </c>
      <c r="O57"/>
      <c r="P57"/>
      <c r="Q57"/>
      <c r="R57"/>
      <c r="S57"/>
      <c r="T57"/>
    </row>
    <row r="58" spans="1:20">
      <c r="A58" s="112">
        <f t="shared" si="1"/>
        <v>44</v>
      </c>
      <c r="B58" s="431">
        <v>36901</v>
      </c>
      <c r="C58" s="80" t="s">
        <v>982</v>
      </c>
      <c r="D58" s="364">
        <f>[4]Reserve!AF142</f>
        <v>2036209.2531347505</v>
      </c>
      <c r="E58" s="844">
        <v>0</v>
      </c>
      <c r="F58" s="842">
        <f t="shared" si="2"/>
        <v>2036209.2531347505</v>
      </c>
      <c r="G58" s="394">
        <f t="shared" si="11"/>
        <v>1</v>
      </c>
      <c r="H58" s="394">
        <f t="shared" si="11"/>
        <v>1</v>
      </c>
      <c r="I58" s="842">
        <f t="shared" si="12"/>
        <v>2036209.2531347505</v>
      </c>
      <c r="K58" s="364">
        <f>[4]Reserve!D142</f>
        <v>2015897.2344892507</v>
      </c>
      <c r="L58" s="394">
        <f t="shared" si="13"/>
        <v>1</v>
      </c>
      <c r="M58" s="394">
        <f t="shared" si="13"/>
        <v>1</v>
      </c>
      <c r="N58" s="842">
        <f t="shared" si="14"/>
        <v>2015897.2344892507</v>
      </c>
      <c r="O58"/>
      <c r="P58"/>
      <c r="Q58"/>
      <c r="R58"/>
      <c r="S58"/>
      <c r="T58"/>
    </row>
    <row r="59" spans="1:20">
      <c r="A59" s="112">
        <f t="shared" si="1"/>
        <v>45</v>
      </c>
      <c r="B59" s="431"/>
      <c r="C59" s="80"/>
      <c r="D59" s="857"/>
      <c r="E59" s="498"/>
      <c r="F59" s="498"/>
      <c r="G59" s="394"/>
      <c r="H59" s="394"/>
      <c r="I59" s="498"/>
      <c r="K59" s="857"/>
      <c r="N59" s="498"/>
      <c r="O59"/>
      <c r="P59"/>
      <c r="Q59"/>
      <c r="R59"/>
      <c r="S59"/>
      <c r="T59"/>
    </row>
    <row r="60" spans="1:20">
      <c r="A60" s="112">
        <f t="shared" si="1"/>
        <v>46</v>
      </c>
      <c r="B60" s="570"/>
      <c r="C60" s="80" t="s">
        <v>1332</v>
      </c>
      <c r="D60" s="304">
        <f>SUM(D50:D59)</f>
        <v>20191990.184004012</v>
      </c>
      <c r="E60" s="304">
        <f>SUM(E50:E59)</f>
        <v>0</v>
      </c>
      <c r="F60" s="304">
        <f>SUM(F50:F59)</f>
        <v>20191990.184004012</v>
      </c>
      <c r="G60" s="394"/>
      <c r="H60" s="394"/>
      <c r="I60" s="304">
        <f>SUM(I50:I59)</f>
        <v>20191990.184004012</v>
      </c>
      <c r="K60" s="304">
        <f>SUM(K50:K59)</f>
        <v>19955782.646642506</v>
      </c>
      <c r="N60" s="304">
        <f>SUM(N50:N59)</f>
        <v>19955782.646642506</v>
      </c>
      <c r="O60"/>
      <c r="P60"/>
      <c r="Q60"/>
      <c r="R60"/>
      <c r="S60"/>
      <c r="T60"/>
    </row>
    <row r="61" spans="1:20">
      <c r="A61" s="112">
        <f t="shared" si="1"/>
        <v>47</v>
      </c>
      <c r="B61" s="570"/>
      <c r="C61" s="73"/>
      <c r="D61" s="498"/>
      <c r="E61" s="498"/>
      <c r="F61" s="498"/>
      <c r="G61" s="394"/>
      <c r="H61" s="394"/>
      <c r="I61" s="498"/>
      <c r="K61" s="498"/>
      <c r="N61" s="498"/>
      <c r="O61"/>
      <c r="P61"/>
      <c r="Q61"/>
      <c r="R61"/>
      <c r="S61"/>
      <c r="T61"/>
    </row>
    <row r="62" spans="1:20">
      <c r="A62" s="112">
        <f t="shared" si="1"/>
        <v>48</v>
      </c>
      <c r="B62" s="570"/>
      <c r="C62" s="500" t="s">
        <v>297</v>
      </c>
      <c r="D62" s="498"/>
      <c r="E62" s="498"/>
      <c r="F62" s="498"/>
      <c r="G62" s="394"/>
      <c r="H62" s="394"/>
      <c r="I62" s="498"/>
      <c r="K62" s="498"/>
      <c r="N62" s="498"/>
      <c r="O62"/>
      <c r="P62"/>
      <c r="Q62"/>
      <c r="R62"/>
      <c r="S62"/>
      <c r="T62"/>
    </row>
    <row r="63" spans="1:20">
      <c r="A63" s="112">
        <f t="shared" si="1"/>
        <v>49</v>
      </c>
      <c r="B63" s="431">
        <v>37400</v>
      </c>
      <c r="C63" s="80" t="s">
        <v>1128</v>
      </c>
      <c r="D63" s="304">
        <f>[4]Reserve!AF143</f>
        <v>0</v>
      </c>
      <c r="E63" s="310">
        <v>0</v>
      </c>
      <c r="F63" s="304">
        <f t="shared" si="2"/>
        <v>0</v>
      </c>
      <c r="G63" s="394">
        <f t="shared" ref="G63:H84" si="18">$G$16</f>
        <v>1</v>
      </c>
      <c r="H63" s="394">
        <f t="shared" si="18"/>
        <v>1</v>
      </c>
      <c r="I63" s="304">
        <f t="shared" ref="I63:I84" si="19">F63*G63*H63</f>
        <v>0</v>
      </c>
      <c r="K63" s="304">
        <f>[4]Reserve!D143</f>
        <v>0</v>
      </c>
      <c r="L63" s="394">
        <f t="shared" ref="L63:M84" si="20">$G$16</f>
        <v>1</v>
      </c>
      <c r="M63" s="394">
        <f t="shared" si="20"/>
        <v>1</v>
      </c>
      <c r="N63" s="304">
        <f t="shared" ref="N63:N84" si="21">K63*L63*M63</f>
        <v>0</v>
      </c>
      <c r="O63"/>
      <c r="P63"/>
      <c r="Q63"/>
      <c r="R63"/>
      <c r="S63"/>
      <c r="T63"/>
    </row>
    <row r="64" spans="1:20">
      <c r="A64" s="112">
        <f t="shared" si="1"/>
        <v>50</v>
      </c>
      <c r="B64" s="431">
        <v>37401</v>
      </c>
      <c r="C64" s="80" t="s">
        <v>290</v>
      </c>
      <c r="D64" s="364">
        <f>[4]Reserve!AF144</f>
        <v>0</v>
      </c>
      <c r="E64" s="498">
        <v>0</v>
      </c>
      <c r="F64" s="364">
        <f t="shared" si="2"/>
        <v>0</v>
      </c>
      <c r="G64" s="394">
        <f t="shared" si="18"/>
        <v>1</v>
      </c>
      <c r="H64" s="394">
        <f t="shared" si="18"/>
        <v>1</v>
      </c>
      <c r="I64" s="364">
        <f t="shared" si="19"/>
        <v>0</v>
      </c>
      <c r="K64" s="364">
        <f>[4]Reserve!D144</f>
        <v>0</v>
      </c>
      <c r="L64" s="394">
        <f t="shared" si="20"/>
        <v>1</v>
      </c>
      <c r="M64" s="394">
        <f t="shared" si="20"/>
        <v>1</v>
      </c>
      <c r="N64" s="364">
        <f t="shared" si="21"/>
        <v>0</v>
      </c>
      <c r="O64"/>
      <c r="P64"/>
      <c r="Q64"/>
      <c r="R64"/>
      <c r="S64"/>
      <c r="T64"/>
    </row>
    <row r="65" spans="1:20">
      <c r="A65" s="112">
        <f t="shared" si="1"/>
        <v>51</v>
      </c>
      <c r="B65" s="431">
        <v>37402</v>
      </c>
      <c r="C65" s="80" t="s">
        <v>986</v>
      </c>
      <c r="D65" s="364">
        <f>[4]Reserve!AF145</f>
        <v>490635.41216575023</v>
      </c>
      <c r="E65" s="498">
        <v>0</v>
      </c>
      <c r="F65" s="364">
        <f t="shared" si="2"/>
        <v>490635.41216575023</v>
      </c>
      <c r="G65" s="394">
        <f t="shared" si="18"/>
        <v>1</v>
      </c>
      <c r="H65" s="394">
        <f t="shared" si="18"/>
        <v>1</v>
      </c>
      <c r="I65" s="364">
        <f t="shared" si="19"/>
        <v>490635.41216575023</v>
      </c>
      <c r="K65" s="364">
        <f>[4]Reserve!D145</f>
        <v>467304.79470425029</v>
      </c>
      <c r="L65" s="394">
        <f t="shared" si="20"/>
        <v>1</v>
      </c>
      <c r="M65" s="394">
        <f t="shared" si="20"/>
        <v>1</v>
      </c>
      <c r="N65" s="364">
        <f t="shared" si="21"/>
        <v>467304.79470425029</v>
      </c>
      <c r="O65"/>
      <c r="P65"/>
      <c r="Q65"/>
      <c r="R65"/>
      <c r="S65"/>
      <c r="T65"/>
    </row>
    <row r="66" spans="1:20">
      <c r="A66" s="112">
        <f t="shared" si="1"/>
        <v>52</v>
      </c>
      <c r="B66" s="431">
        <v>37403</v>
      </c>
      <c r="C66" s="80" t="s">
        <v>983</v>
      </c>
      <c r="D66" s="364">
        <f>[4]Reserve!AF146</f>
        <v>0</v>
      </c>
      <c r="E66" s="498">
        <v>0</v>
      </c>
      <c r="F66" s="364">
        <f t="shared" si="2"/>
        <v>0</v>
      </c>
      <c r="G66" s="394">
        <f t="shared" si="18"/>
        <v>1</v>
      </c>
      <c r="H66" s="394">
        <f t="shared" si="18"/>
        <v>1</v>
      </c>
      <c r="I66" s="364">
        <f t="shared" si="19"/>
        <v>0</v>
      </c>
      <c r="K66" s="364">
        <f>[4]Reserve!D146</f>
        <v>0</v>
      </c>
      <c r="L66" s="394">
        <f t="shared" si="20"/>
        <v>1</v>
      </c>
      <c r="M66" s="394">
        <f t="shared" si="20"/>
        <v>1</v>
      </c>
      <c r="N66" s="364">
        <f t="shared" si="21"/>
        <v>0</v>
      </c>
      <c r="O66"/>
      <c r="P66"/>
      <c r="Q66"/>
      <c r="R66"/>
      <c r="S66"/>
      <c r="T66"/>
    </row>
    <row r="67" spans="1:20">
      <c r="A67" s="112">
        <f t="shared" si="1"/>
        <v>53</v>
      </c>
      <c r="B67" s="431">
        <v>37500</v>
      </c>
      <c r="C67" s="80" t="s">
        <v>848</v>
      </c>
      <c r="D67" s="364">
        <f>[4]Reserve!AF147</f>
        <v>142620.44326350006</v>
      </c>
      <c r="E67" s="498">
        <v>0</v>
      </c>
      <c r="F67" s="364">
        <f t="shared" si="2"/>
        <v>142620.44326350006</v>
      </c>
      <c r="G67" s="394">
        <f t="shared" si="18"/>
        <v>1</v>
      </c>
      <c r="H67" s="394">
        <f t="shared" si="18"/>
        <v>1</v>
      </c>
      <c r="I67" s="364">
        <f t="shared" si="19"/>
        <v>142620.44326350006</v>
      </c>
      <c r="K67" s="364">
        <f>[4]Reserve!D147</f>
        <v>140200.03697550006</v>
      </c>
      <c r="L67" s="394">
        <f t="shared" si="20"/>
        <v>1</v>
      </c>
      <c r="M67" s="394">
        <f t="shared" si="20"/>
        <v>1</v>
      </c>
      <c r="N67" s="364">
        <f t="shared" si="21"/>
        <v>140200.03697550006</v>
      </c>
      <c r="O67"/>
      <c r="P67"/>
      <c r="Q67"/>
      <c r="R67"/>
      <c r="S67"/>
      <c r="T67"/>
    </row>
    <row r="68" spans="1:20">
      <c r="A68" s="112">
        <f t="shared" si="1"/>
        <v>54</v>
      </c>
      <c r="B68" s="431">
        <v>37501</v>
      </c>
      <c r="C68" s="80" t="s">
        <v>984</v>
      </c>
      <c r="D68" s="364">
        <f>[4]Reserve!AF148</f>
        <v>92276.73604074998</v>
      </c>
      <c r="E68" s="498">
        <v>0</v>
      </c>
      <c r="F68" s="364">
        <f t="shared" si="2"/>
        <v>92276.73604074998</v>
      </c>
      <c r="G68" s="394">
        <f t="shared" si="18"/>
        <v>1</v>
      </c>
      <c r="H68" s="394">
        <f t="shared" si="18"/>
        <v>1</v>
      </c>
      <c r="I68" s="364">
        <f t="shared" si="19"/>
        <v>92276.73604074998</v>
      </c>
      <c r="K68" s="364">
        <f>[4]Reserve!D148</f>
        <v>91558.04550475</v>
      </c>
      <c r="L68" s="394">
        <f t="shared" si="20"/>
        <v>1</v>
      </c>
      <c r="M68" s="394">
        <f t="shared" si="20"/>
        <v>1</v>
      </c>
      <c r="N68" s="364">
        <f t="shared" si="21"/>
        <v>91558.04550475</v>
      </c>
      <c r="O68"/>
      <c r="P68"/>
      <c r="Q68"/>
      <c r="R68"/>
      <c r="S68"/>
      <c r="T68"/>
    </row>
    <row r="69" spans="1:20">
      <c r="A69" s="112">
        <f t="shared" si="1"/>
        <v>55</v>
      </c>
      <c r="B69" s="431">
        <v>37502</v>
      </c>
      <c r="C69" s="80" t="s">
        <v>986</v>
      </c>
      <c r="D69" s="364">
        <f>[4]Reserve!AF149</f>
        <v>46283.397061250056</v>
      </c>
      <c r="E69" s="498">
        <v>0</v>
      </c>
      <c r="F69" s="364">
        <f t="shared" si="2"/>
        <v>46283.397061250056</v>
      </c>
      <c r="G69" s="394">
        <f t="shared" si="18"/>
        <v>1</v>
      </c>
      <c r="H69" s="394">
        <f t="shared" si="18"/>
        <v>1</v>
      </c>
      <c r="I69" s="364">
        <f t="shared" si="19"/>
        <v>46283.397061250056</v>
      </c>
      <c r="K69" s="364">
        <f>[4]Reserve!D149</f>
        <v>46048.51732740389</v>
      </c>
      <c r="L69" s="394">
        <f t="shared" si="20"/>
        <v>1</v>
      </c>
      <c r="M69" s="394">
        <f t="shared" si="20"/>
        <v>1</v>
      </c>
      <c r="N69" s="364">
        <f t="shared" si="21"/>
        <v>46048.51732740389</v>
      </c>
      <c r="O69"/>
      <c r="P69"/>
      <c r="Q69"/>
      <c r="R69"/>
      <c r="S69"/>
      <c r="T69"/>
    </row>
    <row r="70" spans="1:20">
      <c r="A70" s="112">
        <f t="shared" si="1"/>
        <v>56</v>
      </c>
      <c r="B70" s="431">
        <v>37503</v>
      </c>
      <c r="C70" s="80" t="s">
        <v>985</v>
      </c>
      <c r="D70" s="364">
        <f>[4]Reserve!AF150</f>
        <v>3457.2307769999979</v>
      </c>
      <c r="E70" s="498">
        <v>0</v>
      </c>
      <c r="F70" s="364">
        <f t="shared" si="2"/>
        <v>3457.2307769999979</v>
      </c>
      <c r="G70" s="394">
        <f t="shared" si="18"/>
        <v>1</v>
      </c>
      <c r="H70" s="394">
        <f t="shared" si="18"/>
        <v>1</v>
      </c>
      <c r="I70" s="364">
        <f t="shared" si="19"/>
        <v>3457.2307769999979</v>
      </c>
      <c r="K70" s="364">
        <f>[4]Reserve!D150</f>
        <v>3428.3942009999987</v>
      </c>
      <c r="L70" s="394">
        <f t="shared" si="20"/>
        <v>1</v>
      </c>
      <c r="M70" s="394">
        <f t="shared" si="20"/>
        <v>1</v>
      </c>
      <c r="N70" s="364">
        <f t="shared" si="21"/>
        <v>3428.3942009999987</v>
      </c>
      <c r="O70"/>
      <c r="P70"/>
      <c r="Q70"/>
      <c r="R70"/>
      <c r="S70"/>
      <c r="T70"/>
    </row>
    <row r="71" spans="1:20">
      <c r="A71" s="112">
        <f t="shared" si="1"/>
        <v>57</v>
      </c>
      <c r="B71" s="431">
        <v>37600</v>
      </c>
      <c r="C71" s="80" t="s">
        <v>836</v>
      </c>
      <c r="D71" s="364">
        <f>[4]Reserve!AF151</f>
        <v>1315310.4681985781</v>
      </c>
      <c r="E71" s="498">
        <v>0</v>
      </c>
      <c r="F71" s="364">
        <f t="shared" si="2"/>
        <v>1315310.4681985781</v>
      </c>
      <c r="G71" s="394">
        <f t="shared" si="18"/>
        <v>1</v>
      </c>
      <c r="H71" s="394">
        <f t="shared" si="18"/>
        <v>1</v>
      </c>
      <c r="I71" s="364">
        <f t="shared" si="19"/>
        <v>1315310.4681985781</v>
      </c>
      <c r="K71" s="364">
        <f>[4]Reserve!D151</f>
        <v>1232142.9648947881</v>
      </c>
      <c r="L71" s="394">
        <f t="shared" si="20"/>
        <v>1</v>
      </c>
      <c r="M71" s="394">
        <f t="shared" si="20"/>
        <v>1</v>
      </c>
      <c r="N71" s="364">
        <f t="shared" si="21"/>
        <v>1232142.9648947881</v>
      </c>
      <c r="O71"/>
      <c r="P71"/>
      <c r="Q71"/>
      <c r="R71"/>
      <c r="S71"/>
      <c r="T71"/>
    </row>
    <row r="72" spans="1:20">
      <c r="A72" s="112">
        <f t="shared" si="1"/>
        <v>58</v>
      </c>
      <c r="B72" s="431">
        <v>37601</v>
      </c>
      <c r="C72" s="80" t="s">
        <v>16</v>
      </c>
      <c r="D72" s="364">
        <f>[4]Reserve!AF152</f>
        <v>25277575.995357566</v>
      </c>
      <c r="E72" s="498">
        <v>0</v>
      </c>
      <c r="F72" s="364">
        <f t="shared" si="2"/>
        <v>25277575.995357566</v>
      </c>
      <c r="G72" s="394">
        <f t="shared" si="18"/>
        <v>1</v>
      </c>
      <c r="H72" s="394">
        <f t="shared" si="18"/>
        <v>1</v>
      </c>
      <c r="I72" s="364">
        <f t="shared" si="19"/>
        <v>25277575.995357566</v>
      </c>
      <c r="K72" s="364">
        <f>[4]Reserve!D152</f>
        <v>24831671.178000007</v>
      </c>
      <c r="L72" s="394">
        <f t="shared" si="20"/>
        <v>1</v>
      </c>
      <c r="M72" s="394">
        <f t="shared" si="20"/>
        <v>1</v>
      </c>
      <c r="N72" s="364">
        <f t="shared" si="21"/>
        <v>24831671.178000007</v>
      </c>
      <c r="O72"/>
      <c r="P72"/>
      <c r="Q72"/>
      <c r="R72"/>
      <c r="S72"/>
      <c r="T72"/>
    </row>
    <row r="73" spans="1:20">
      <c r="A73" s="112">
        <f t="shared" si="1"/>
        <v>59</v>
      </c>
      <c r="B73" s="431">
        <v>37602</v>
      </c>
      <c r="C73" s="80" t="s">
        <v>837</v>
      </c>
      <c r="D73" s="364">
        <f>[4]Reserve!AF153</f>
        <v>21837909.253346913</v>
      </c>
      <c r="E73" s="498">
        <v>0</v>
      </c>
      <c r="F73" s="364">
        <f t="shared" si="2"/>
        <v>21837909.253346913</v>
      </c>
      <c r="G73" s="394">
        <f t="shared" si="18"/>
        <v>1</v>
      </c>
      <c r="H73" s="394">
        <f t="shared" si="18"/>
        <v>1</v>
      </c>
      <c r="I73" s="364">
        <f t="shared" si="19"/>
        <v>21837909.253346913</v>
      </c>
      <c r="K73" s="364">
        <f>[4]Reserve!D153</f>
        <v>20292484.793292549</v>
      </c>
      <c r="L73" s="394">
        <f t="shared" si="20"/>
        <v>1</v>
      </c>
      <c r="M73" s="394">
        <f t="shared" si="20"/>
        <v>1</v>
      </c>
      <c r="N73" s="364">
        <f t="shared" si="21"/>
        <v>20292484.793292549</v>
      </c>
      <c r="O73"/>
      <c r="P73"/>
      <c r="Q73"/>
      <c r="R73"/>
      <c r="S73"/>
      <c r="T73"/>
    </row>
    <row r="74" spans="1:20">
      <c r="A74" s="112">
        <f t="shared" si="1"/>
        <v>60</v>
      </c>
      <c r="B74" s="838">
        <v>37603</v>
      </c>
      <c r="C74" s="205" t="s">
        <v>1529</v>
      </c>
      <c r="D74" s="364">
        <f>[4]Reserve!AF154</f>
        <v>2568474.4231230468</v>
      </c>
      <c r="E74" s="498">
        <v>0</v>
      </c>
      <c r="F74" s="364">
        <f t="shared" ref="F74:F75" si="22">D74-E74</f>
        <v>2568474.4231230468</v>
      </c>
      <c r="G74" s="394">
        <f t="shared" si="18"/>
        <v>1</v>
      </c>
      <c r="H74" s="394">
        <f t="shared" si="18"/>
        <v>1</v>
      </c>
      <c r="I74" s="364">
        <f t="shared" ref="I74:I75" si="23">F74*G74*H74</f>
        <v>2568474.4231230468</v>
      </c>
      <c r="K74" s="364">
        <f>[4]Reserve!D154</f>
        <v>2541354.7289809622</v>
      </c>
      <c r="L74" s="394">
        <f t="shared" si="20"/>
        <v>1</v>
      </c>
      <c r="M74" s="394">
        <f t="shared" si="20"/>
        <v>1</v>
      </c>
      <c r="N74" s="364">
        <f t="shared" ref="N74:N75" si="24">K74*L74*M74</f>
        <v>2541354.7289809622</v>
      </c>
      <c r="O74"/>
      <c r="P74"/>
      <c r="Q74"/>
      <c r="R74"/>
      <c r="S74"/>
      <c r="T74"/>
    </row>
    <row r="75" spans="1:20">
      <c r="A75" s="112">
        <f t="shared" si="1"/>
        <v>61</v>
      </c>
      <c r="B75" s="838">
        <v>37604</v>
      </c>
      <c r="C75" s="205" t="s">
        <v>1530</v>
      </c>
      <c r="D75" s="364">
        <f>[4]Reserve!AF155</f>
        <v>8632675.5360000003</v>
      </c>
      <c r="E75" s="498">
        <v>0</v>
      </c>
      <c r="F75" s="364">
        <f t="shared" si="22"/>
        <v>8632675.5360000003</v>
      </c>
      <c r="G75" s="394">
        <f t="shared" si="18"/>
        <v>1</v>
      </c>
      <c r="H75" s="394">
        <f t="shared" si="18"/>
        <v>1</v>
      </c>
      <c r="I75" s="364">
        <f t="shared" si="23"/>
        <v>8632675.5360000003</v>
      </c>
      <c r="K75" s="364">
        <f>[4]Reserve!D155</f>
        <v>8368387.7400000012</v>
      </c>
      <c r="L75" s="394">
        <f t="shared" si="20"/>
        <v>1</v>
      </c>
      <c r="M75" s="394">
        <f t="shared" si="20"/>
        <v>1</v>
      </c>
      <c r="N75" s="364">
        <f t="shared" si="24"/>
        <v>8368387.7400000012</v>
      </c>
      <c r="O75"/>
      <c r="P75"/>
      <c r="Q75"/>
      <c r="R75"/>
      <c r="S75"/>
      <c r="T75"/>
    </row>
    <row r="76" spans="1:20">
      <c r="A76" s="112">
        <f t="shared" si="1"/>
        <v>62</v>
      </c>
      <c r="B76" s="431">
        <v>37800</v>
      </c>
      <c r="C76" s="80" t="s">
        <v>228</v>
      </c>
      <c r="D76" s="364">
        <f>[4]Reserve!AF156</f>
        <v>3734647.5059296773</v>
      </c>
      <c r="E76" s="498">
        <v>0</v>
      </c>
      <c r="F76" s="364">
        <f t="shared" si="2"/>
        <v>3734647.5059296773</v>
      </c>
      <c r="G76" s="394">
        <f t="shared" si="18"/>
        <v>1</v>
      </c>
      <c r="H76" s="394">
        <f t="shared" si="18"/>
        <v>1</v>
      </c>
      <c r="I76" s="364">
        <f t="shared" si="19"/>
        <v>3734647.5059296773</v>
      </c>
      <c r="K76" s="364">
        <f>[4]Reserve!D156</f>
        <v>3476301.5915876646</v>
      </c>
      <c r="L76" s="394">
        <f t="shared" si="20"/>
        <v>1</v>
      </c>
      <c r="M76" s="394">
        <f t="shared" si="20"/>
        <v>1</v>
      </c>
      <c r="N76" s="364">
        <f t="shared" si="21"/>
        <v>3476301.5915876646</v>
      </c>
      <c r="O76"/>
      <c r="P76"/>
      <c r="Q76"/>
      <c r="R76"/>
      <c r="S76"/>
      <c r="T76"/>
    </row>
    <row r="77" spans="1:20">
      <c r="A77" s="112">
        <f t="shared" si="1"/>
        <v>63</v>
      </c>
      <c r="B77" s="431">
        <v>37900</v>
      </c>
      <c r="C77" s="80" t="s">
        <v>1171</v>
      </c>
      <c r="D77" s="364">
        <f>[4]Reserve!AF157</f>
        <v>550386.40921149112</v>
      </c>
      <c r="E77" s="498">
        <v>0</v>
      </c>
      <c r="F77" s="364">
        <f t="shared" si="2"/>
        <v>550386.40921149112</v>
      </c>
      <c r="G77" s="394">
        <f t="shared" si="18"/>
        <v>1</v>
      </c>
      <c r="H77" s="394">
        <f t="shared" si="18"/>
        <v>1</v>
      </c>
      <c r="I77" s="364">
        <f t="shared" si="19"/>
        <v>550386.40921149112</v>
      </c>
      <c r="K77" s="364">
        <f>[4]Reserve!D157</f>
        <v>655016.24323047267</v>
      </c>
      <c r="L77" s="394">
        <f t="shared" si="20"/>
        <v>1</v>
      </c>
      <c r="M77" s="394">
        <f t="shared" si="20"/>
        <v>1</v>
      </c>
      <c r="N77" s="364">
        <f t="shared" si="21"/>
        <v>655016.24323047267</v>
      </c>
      <c r="S77" s="431"/>
    </row>
    <row r="78" spans="1:20">
      <c r="A78" s="112">
        <f t="shared" si="1"/>
        <v>64</v>
      </c>
      <c r="B78" s="431">
        <v>37905</v>
      </c>
      <c r="C78" s="80" t="s">
        <v>720</v>
      </c>
      <c r="D78" s="364">
        <f>[4]Reserve!AF158</f>
        <v>1116106.3283091874</v>
      </c>
      <c r="E78" s="498">
        <v>0</v>
      </c>
      <c r="F78" s="364">
        <f t="shared" si="2"/>
        <v>1116106.3283091874</v>
      </c>
      <c r="G78" s="394">
        <f t="shared" si="18"/>
        <v>1</v>
      </c>
      <c r="H78" s="394">
        <f t="shared" si="18"/>
        <v>1</v>
      </c>
      <c r="I78" s="364">
        <f t="shared" si="19"/>
        <v>1116106.3283091874</v>
      </c>
      <c r="K78" s="364">
        <f>[4]Reserve!D158</f>
        <v>1101134.7008334526</v>
      </c>
      <c r="L78" s="394">
        <f t="shared" si="20"/>
        <v>1</v>
      </c>
      <c r="M78" s="394">
        <f t="shared" si="20"/>
        <v>1</v>
      </c>
      <c r="N78" s="364">
        <f t="shared" si="21"/>
        <v>1101134.7008334526</v>
      </c>
      <c r="S78" s="431"/>
    </row>
    <row r="79" spans="1:20">
      <c r="A79" s="112">
        <f t="shared" si="1"/>
        <v>65</v>
      </c>
      <c r="B79" s="431">
        <v>38000</v>
      </c>
      <c r="C79" s="80" t="s">
        <v>1036</v>
      </c>
      <c r="D79" s="364">
        <f>[4]Reserve!AF159</f>
        <v>38254847.131651685</v>
      </c>
      <c r="E79" s="498">
        <v>0</v>
      </c>
      <c r="F79" s="364">
        <f t="shared" ref="F79:F113" si="25">D79-E79</f>
        <v>38254847.131651685</v>
      </c>
      <c r="G79" s="394">
        <f t="shared" si="18"/>
        <v>1</v>
      </c>
      <c r="H79" s="394">
        <f t="shared" si="18"/>
        <v>1</v>
      </c>
      <c r="I79" s="364">
        <f t="shared" si="19"/>
        <v>38254847.131651685</v>
      </c>
      <c r="K79" s="364">
        <f>[4]Reserve!D159</f>
        <v>39052235.393643729</v>
      </c>
      <c r="L79" s="394">
        <f t="shared" si="20"/>
        <v>1</v>
      </c>
      <c r="M79" s="394">
        <f t="shared" si="20"/>
        <v>1</v>
      </c>
      <c r="N79" s="364">
        <f t="shared" si="21"/>
        <v>39052235.393643729</v>
      </c>
      <c r="S79" s="431"/>
    </row>
    <row r="80" spans="1:20">
      <c r="A80" s="112">
        <f t="shared" si="1"/>
        <v>66</v>
      </c>
      <c r="B80" s="431">
        <v>38100</v>
      </c>
      <c r="C80" s="80" t="s">
        <v>838</v>
      </c>
      <c r="D80" s="364">
        <f>[4]Reserve!AF160</f>
        <v>20868694.989251688</v>
      </c>
      <c r="E80" s="498">
        <v>0</v>
      </c>
      <c r="F80" s="364">
        <f t="shared" si="25"/>
        <v>20868694.989251688</v>
      </c>
      <c r="G80" s="394">
        <f t="shared" si="18"/>
        <v>1</v>
      </c>
      <c r="H80" s="394">
        <f t="shared" si="18"/>
        <v>1</v>
      </c>
      <c r="I80" s="364">
        <f t="shared" si="19"/>
        <v>20868694.989251688</v>
      </c>
      <c r="K80" s="364">
        <f>[4]Reserve!D160</f>
        <v>19847641.300832935</v>
      </c>
      <c r="L80" s="394">
        <f t="shared" si="20"/>
        <v>1</v>
      </c>
      <c r="M80" s="394">
        <f t="shared" si="20"/>
        <v>1</v>
      </c>
      <c r="N80" s="364">
        <f t="shared" si="21"/>
        <v>19847641.300832935</v>
      </c>
      <c r="S80" s="431"/>
    </row>
    <row r="81" spans="1:19">
      <c r="A81" s="112">
        <f t="shared" si="1"/>
        <v>67</v>
      </c>
      <c r="B81" s="431">
        <v>38200</v>
      </c>
      <c r="C81" s="80" t="s">
        <v>438</v>
      </c>
      <c r="D81" s="364">
        <f>[4]Reserve!AF161</f>
        <v>28526829.353499524</v>
      </c>
      <c r="E81" s="498">
        <v>0</v>
      </c>
      <c r="F81" s="364">
        <f t="shared" si="25"/>
        <v>28526829.353499524</v>
      </c>
      <c r="G81" s="394">
        <f t="shared" si="18"/>
        <v>1</v>
      </c>
      <c r="H81" s="394">
        <f t="shared" si="18"/>
        <v>1</v>
      </c>
      <c r="I81" s="364">
        <f t="shared" si="19"/>
        <v>28526829.353499524</v>
      </c>
      <c r="K81" s="364">
        <f>[4]Reserve!D161</f>
        <v>27765269.163531892</v>
      </c>
      <c r="L81" s="394">
        <f t="shared" si="20"/>
        <v>1</v>
      </c>
      <c r="M81" s="394">
        <f t="shared" si="20"/>
        <v>1</v>
      </c>
      <c r="N81" s="364">
        <f t="shared" si="21"/>
        <v>27765269.163531892</v>
      </c>
      <c r="S81" s="431"/>
    </row>
    <row r="82" spans="1:19">
      <c r="A82" s="112">
        <f t="shared" si="1"/>
        <v>68</v>
      </c>
      <c r="B82" s="431">
        <v>38300</v>
      </c>
      <c r="C82" s="80" t="s">
        <v>1037</v>
      </c>
      <c r="D82" s="364">
        <f>[4]Reserve!AF162</f>
        <v>-11117958.879553134</v>
      </c>
      <c r="E82" s="498">
        <v>0</v>
      </c>
      <c r="F82" s="364">
        <f t="shared" si="25"/>
        <v>-11117958.879553134</v>
      </c>
      <c r="G82" s="394">
        <f t="shared" si="18"/>
        <v>1</v>
      </c>
      <c r="H82" s="394">
        <f t="shared" si="18"/>
        <v>1</v>
      </c>
      <c r="I82" s="364">
        <f t="shared" si="19"/>
        <v>-11117958.879553134</v>
      </c>
      <c r="K82" s="364">
        <f>[4]Reserve!D162</f>
        <v>-10249939.525555925</v>
      </c>
      <c r="L82" s="394">
        <f t="shared" si="20"/>
        <v>1</v>
      </c>
      <c r="M82" s="394">
        <f t="shared" si="20"/>
        <v>1</v>
      </c>
      <c r="N82" s="364">
        <f t="shared" si="21"/>
        <v>-10249939.525555925</v>
      </c>
      <c r="S82" s="431"/>
    </row>
    <row r="83" spans="1:19">
      <c r="A83" s="112">
        <f t="shared" si="1"/>
        <v>69</v>
      </c>
      <c r="B83" s="431">
        <v>38400</v>
      </c>
      <c r="C83" s="80" t="s">
        <v>439</v>
      </c>
      <c r="D83" s="364">
        <f>[4]Reserve!AF163</f>
        <v>149604.50305574815</v>
      </c>
      <c r="E83" s="498">
        <v>0</v>
      </c>
      <c r="F83" s="364">
        <f t="shared" si="25"/>
        <v>149604.50305574815</v>
      </c>
      <c r="G83" s="394">
        <f t="shared" si="18"/>
        <v>1</v>
      </c>
      <c r="H83" s="394">
        <f t="shared" si="18"/>
        <v>1</v>
      </c>
      <c r="I83" s="364">
        <f t="shared" si="19"/>
        <v>149604.50305574815</v>
      </c>
      <c r="K83" s="364">
        <f>[4]Reserve!D163</f>
        <v>143956.28162508336</v>
      </c>
      <c r="L83" s="394">
        <f t="shared" si="20"/>
        <v>1</v>
      </c>
      <c r="M83" s="394">
        <f t="shared" si="20"/>
        <v>1</v>
      </c>
      <c r="N83" s="364">
        <f t="shared" si="21"/>
        <v>143956.28162508336</v>
      </c>
      <c r="S83" s="431"/>
    </row>
    <row r="84" spans="1:19">
      <c r="A84" s="112">
        <f t="shared" ref="A84:A114" si="26">A83+1</f>
        <v>70</v>
      </c>
      <c r="B84" s="431">
        <v>38500</v>
      </c>
      <c r="C84" s="80" t="s">
        <v>440</v>
      </c>
      <c r="D84" s="364">
        <f>[4]Reserve!AF164</f>
        <v>3520929.628791031</v>
      </c>
      <c r="E84" s="498">
        <v>0</v>
      </c>
      <c r="F84" s="364">
        <f t="shared" si="25"/>
        <v>3520929.628791031</v>
      </c>
      <c r="G84" s="394">
        <f t="shared" si="18"/>
        <v>1</v>
      </c>
      <c r="H84" s="394">
        <f t="shared" si="18"/>
        <v>1</v>
      </c>
      <c r="I84" s="364">
        <f t="shared" si="19"/>
        <v>3520929.628791031</v>
      </c>
      <c r="K84" s="364">
        <f>[4]Reserve!D164</f>
        <v>3475215.6343409624</v>
      </c>
      <c r="L84" s="394">
        <f t="shared" si="20"/>
        <v>1</v>
      </c>
      <c r="M84" s="394">
        <f t="shared" si="20"/>
        <v>1</v>
      </c>
      <c r="N84" s="364">
        <f t="shared" si="21"/>
        <v>3475215.6343409624</v>
      </c>
      <c r="S84" s="431"/>
    </row>
    <row r="85" spans="1:19">
      <c r="A85" s="112">
        <f t="shared" si="26"/>
        <v>71</v>
      </c>
      <c r="B85" s="431"/>
      <c r="C85" s="80"/>
      <c r="D85" s="857"/>
      <c r="E85" s="857"/>
      <c r="F85" s="857"/>
      <c r="G85" s="394"/>
      <c r="H85" s="394"/>
      <c r="I85" s="857"/>
      <c r="K85" s="857"/>
      <c r="N85" s="857"/>
    </row>
    <row r="86" spans="1:19">
      <c r="A86" s="112">
        <f t="shared" si="26"/>
        <v>72</v>
      </c>
      <c r="B86" s="431"/>
      <c r="C86" s="80" t="s">
        <v>1331</v>
      </c>
      <c r="D86" s="304">
        <f>SUM(D63:D85)</f>
        <v>146011305.86548126</v>
      </c>
      <c r="E86" s="304">
        <f>SUM(E63:E85)</f>
        <v>0</v>
      </c>
      <c r="F86" s="304">
        <f>SUM(F63:F85)</f>
        <v>146011305.86548126</v>
      </c>
      <c r="G86" s="394"/>
      <c r="H86" s="394"/>
      <c r="I86" s="304">
        <f>SUM(I63:I85)</f>
        <v>146011305.86548126</v>
      </c>
      <c r="K86" s="304">
        <f>SUM(K63:K85)</f>
        <v>143281411.97795147</v>
      </c>
      <c r="N86" s="304">
        <f>SUM(N63:N85)</f>
        <v>143281411.97795147</v>
      </c>
    </row>
    <row r="87" spans="1:19">
      <c r="A87" s="112">
        <f t="shared" si="26"/>
        <v>73</v>
      </c>
      <c r="B87" s="431"/>
      <c r="C87" s="80"/>
      <c r="D87" s="498"/>
      <c r="E87" s="498"/>
      <c r="F87" s="498"/>
      <c r="G87" s="394"/>
      <c r="H87" s="394"/>
      <c r="I87" s="498"/>
      <c r="K87" s="498"/>
      <c r="N87" s="498"/>
    </row>
    <row r="88" spans="1:19">
      <c r="A88" s="112">
        <f t="shared" si="26"/>
        <v>74</v>
      </c>
      <c r="B88" s="570"/>
      <c r="C88" s="500" t="s">
        <v>299</v>
      </c>
      <c r="D88" s="498"/>
      <c r="E88" s="498"/>
      <c r="F88" s="498"/>
      <c r="G88" s="394"/>
      <c r="H88" s="394"/>
      <c r="I88" s="498"/>
      <c r="K88" s="498"/>
      <c r="N88" s="498"/>
    </row>
    <row r="89" spans="1:19">
      <c r="A89" s="112">
        <f t="shared" si="26"/>
        <v>75</v>
      </c>
      <c r="B89" s="431">
        <v>38900</v>
      </c>
      <c r="C89" s="80" t="s">
        <v>1463</v>
      </c>
      <c r="D89" s="304">
        <f>[4]Reserve!AF165</f>
        <v>0</v>
      </c>
      <c r="E89" s="310">
        <v>0</v>
      </c>
      <c r="F89" s="304">
        <f t="shared" si="25"/>
        <v>0</v>
      </c>
      <c r="G89" s="394">
        <f t="shared" ref="G89:H107" si="27">$G$16</f>
        <v>1</v>
      </c>
      <c r="H89" s="394">
        <f t="shared" si="27"/>
        <v>1</v>
      </c>
      <c r="I89" s="304">
        <f t="shared" ref="I89:I113" si="28">F89*G89*H89</f>
        <v>0</v>
      </c>
      <c r="K89" s="304">
        <f>[4]Reserve!D165</f>
        <v>0</v>
      </c>
      <c r="L89" s="394">
        <f t="shared" ref="L89:M107" si="29">$G$16</f>
        <v>1</v>
      </c>
      <c r="M89" s="394">
        <f t="shared" si="29"/>
        <v>1</v>
      </c>
      <c r="N89" s="304">
        <f t="shared" ref="N89:N113" si="30">K89*L89*M89</f>
        <v>0</v>
      </c>
      <c r="S89" s="431"/>
    </row>
    <row r="90" spans="1:19">
      <c r="A90" s="112">
        <f t="shared" si="26"/>
        <v>76</v>
      </c>
      <c r="B90" s="431">
        <v>39000</v>
      </c>
      <c r="C90" s="80" t="s">
        <v>1464</v>
      </c>
      <c r="D90" s="364">
        <f>[4]Reserve!AF166</f>
        <v>1857736.5153713017</v>
      </c>
      <c r="E90" s="498">
        <v>0</v>
      </c>
      <c r="F90" s="364">
        <f t="shared" si="25"/>
        <v>1857736.5153713017</v>
      </c>
      <c r="G90" s="394">
        <f t="shared" si="27"/>
        <v>1</v>
      </c>
      <c r="H90" s="394">
        <f t="shared" si="27"/>
        <v>1</v>
      </c>
      <c r="I90" s="364">
        <f t="shared" si="28"/>
        <v>1857736.5153713017</v>
      </c>
      <c r="K90" s="364">
        <f>[4]Reserve!D166</f>
        <v>1745163.7957468631</v>
      </c>
      <c r="L90" s="394">
        <f t="shared" si="29"/>
        <v>1</v>
      </c>
      <c r="M90" s="394">
        <f t="shared" si="29"/>
        <v>1</v>
      </c>
      <c r="N90" s="364">
        <f t="shared" si="30"/>
        <v>1745163.7957468631</v>
      </c>
      <c r="S90" s="431"/>
    </row>
    <row r="91" spans="1:19">
      <c r="A91" s="112">
        <f t="shared" si="26"/>
        <v>77</v>
      </c>
      <c r="B91" s="431">
        <v>39002</v>
      </c>
      <c r="C91" s="80" t="s">
        <v>1465</v>
      </c>
      <c r="D91" s="364">
        <f>[4]Reserve!AF167</f>
        <v>154826.32067875011</v>
      </c>
      <c r="E91" s="498">
        <v>0</v>
      </c>
      <c r="F91" s="364">
        <f t="shared" si="25"/>
        <v>154826.32067875011</v>
      </c>
      <c r="G91" s="394">
        <f t="shared" si="27"/>
        <v>1</v>
      </c>
      <c r="H91" s="394">
        <f t="shared" si="27"/>
        <v>1</v>
      </c>
      <c r="I91" s="364">
        <f t="shared" si="28"/>
        <v>154826.32067875011</v>
      </c>
      <c r="K91" s="364">
        <f>[4]Reserve!D167</f>
        <v>152722.97525125</v>
      </c>
      <c r="L91" s="394">
        <f t="shared" si="29"/>
        <v>1</v>
      </c>
      <c r="M91" s="394">
        <f t="shared" si="29"/>
        <v>1</v>
      </c>
      <c r="N91" s="364">
        <f t="shared" si="30"/>
        <v>152722.97525125</v>
      </c>
      <c r="S91" s="431"/>
    </row>
    <row r="92" spans="1:19">
      <c r="A92" s="112">
        <f t="shared" si="26"/>
        <v>78</v>
      </c>
      <c r="B92" s="431">
        <v>39003</v>
      </c>
      <c r="C92" s="80" t="s">
        <v>1466</v>
      </c>
      <c r="D92" s="364">
        <f>[4]Reserve!AF168</f>
        <v>391736.26476049999</v>
      </c>
      <c r="E92" s="498">
        <v>0</v>
      </c>
      <c r="F92" s="364">
        <f t="shared" si="25"/>
        <v>391736.26476049999</v>
      </c>
      <c r="G92" s="394">
        <f t="shared" si="27"/>
        <v>1</v>
      </c>
      <c r="H92" s="394">
        <f t="shared" si="27"/>
        <v>1</v>
      </c>
      <c r="I92" s="364">
        <f t="shared" si="28"/>
        <v>391736.26476049999</v>
      </c>
      <c r="K92" s="364">
        <f>[4]Reserve!D168</f>
        <v>383119.49472350004</v>
      </c>
      <c r="L92" s="394">
        <f t="shared" si="29"/>
        <v>1</v>
      </c>
      <c r="M92" s="394">
        <f t="shared" si="29"/>
        <v>1</v>
      </c>
      <c r="N92" s="364">
        <f t="shared" si="30"/>
        <v>383119.49472350004</v>
      </c>
      <c r="S92" s="431"/>
    </row>
    <row r="93" spans="1:19">
      <c r="A93" s="112">
        <f t="shared" si="26"/>
        <v>79</v>
      </c>
      <c r="B93" s="431">
        <v>39004</v>
      </c>
      <c r="C93" s="80" t="s">
        <v>1467</v>
      </c>
      <c r="D93" s="364">
        <f>[4]Reserve!AF169</f>
        <v>11080.661753499991</v>
      </c>
      <c r="E93" s="498">
        <v>0</v>
      </c>
      <c r="F93" s="364">
        <f t="shared" si="25"/>
        <v>11080.661753499991</v>
      </c>
      <c r="G93" s="394">
        <f t="shared" si="27"/>
        <v>1</v>
      </c>
      <c r="H93" s="394">
        <f t="shared" si="27"/>
        <v>1</v>
      </c>
      <c r="I93" s="364">
        <f t="shared" si="28"/>
        <v>11080.661753499991</v>
      </c>
      <c r="K93" s="364">
        <f>[4]Reserve!D169</f>
        <v>10804.078054499996</v>
      </c>
      <c r="L93" s="394">
        <f t="shared" si="29"/>
        <v>1</v>
      </c>
      <c r="M93" s="394">
        <f t="shared" si="29"/>
        <v>1</v>
      </c>
      <c r="N93" s="364">
        <f t="shared" si="30"/>
        <v>10804.078054499996</v>
      </c>
      <c r="S93" s="431"/>
    </row>
    <row r="94" spans="1:19">
      <c r="A94" s="112">
        <f t="shared" si="26"/>
        <v>80</v>
      </c>
      <c r="B94" s="431">
        <v>39009</v>
      </c>
      <c r="C94" s="80" t="s">
        <v>1468</v>
      </c>
      <c r="D94" s="364">
        <f>[4]Reserve!AF170</f>
        <v>1246194.18</v>
      </c>
      <c r="E94" s="498">
        <v>0</v>
      </c>
      <c r="F94" s="364">
        <f t="shared" si="25"/>
        <v>1246194.18</v>
      </c>
      <c r="G94" s="394">
        <f t="shared" si="27"/>
        <v>1</v>
      </c>
      <c r="H94" s="394">
        <f t="shared" si="27"/>
        <v>1</v>
      </c>
      <c r="I94" s="364">
        <f t="shared" si="28"/>
        <v>1246194.18</v>
      </c>
      <c r="K94" s="364">
        <f>[4]Reserve!D170</f>
        <v>1246194.18</v>
      </c>
      <c r="L94" s="394">
        <f t="shared" si="29"/>
        <v>1</v>
      </c>
      <c r="M94" s="394">
        <f t="shared" si="29"/>
        <v>1</v>
      </c>
      <c r="N94" s="364">
        <f t="shared" si="30"/>
        <v>1246194.18</v>
      </c>
      <c r="S94" s="431"/>
    </row>
    <row r="95" spans="1:19">
      <c r="A95" s="112">
        <f t="shared" si="26"/>
        <v>81</v>
      </c>
      <c r="B95" s="431">
        <v>39100</v>
      </c>
      <c r="C95" s="80" t="s">
        <v>1469</v>
      </c>
      <c r="D95" s="364">
        <f>[4]Reserve!AF171</f>
        <v>1231840.2338749983</v>
      </c>
      <c r="E95" s="498">
        <v>0</v>
      </c>
      <c r="F95" s="364">
        <f t="shared" si="25"/>
        <v>1231840.2338749983</v>
      </c>
      <c r="G95" s="394">
        <f t="shared" si="27"/>
        <v>1</v>
      </c>
      <c r="H95" s="394">
        <f t="shared" si="27"/>
        <v>1</v>
      </c>
      <c r="I95" s="364">
        <f t="shared" si="28"/>
        <v>1231840.2338749983</v>
      </c>
      <c r="K95" s="364">
        <f>[4]Reserve!D171</f>
        <v>1188005.9156249987</v>
      </c>
      <c r="L95" s="394">
        <f t="shared" si="29"/>
        <v>1</v>
      </c>
      <c r="M95" s="394">
        <f t="shared" si="29"/>
        <v>1</v>
      </c>
      <c r="N95" s="364">
        <f t="shared" si="30"/>
        <v>1188005.9156249987</v>
      </c>
      <c r="S95" s="431"/>
    </row>
    <row r="96" spans="1:19">
      <c r="A96" s="112">
        <f t="shared" si="26"/>
        <v>82</v>
      </c>
      <c r="B96" s="431">
        <v>39103</v>
      </c>
      <c r="C96" s="80" t="s">
        <v>773</v>
      </c>
      <c r="D96" s="364">
        <f>[4]Reserve!AF172</f>
        <v>0</v>
      </c>
      <c r="E96" s="498">
        <v>0</v>
      </c>
      <c r="F96" s="364">
        <f t="shared" si="25"/>
        <v>0</v>
      </c>
      <c r="G96" s="394">
        <f t="shared" si="27"/>
        <v>1</v>
      </c>
      <c r="H96" s="394">
        <f t="shared" si="27"/>
        <v>1</v>
      </c>
      <c r="I96" s="364">
        <f t="shared" ref="I96:I100" si="31">F96*G96*H96</f>
        <v>0</v>
      </c>
      <c r="K96" s="364">
        <f>[4]Reserve!D172</f>
        <v>0</v>
      </c>
      <c r="L96" s="394">
        <f t="shared" si="29"/>
        <v>1</v>
      </c>
      <c r="M96" s="394">
        <f t="shared" si="29"/>
        <v>1</v>
      </c>
      <c r="N96" s="364">
        <f t="shared" ref="N96:N102" si="32">K96*L96*M96</f>
        <v>0</v>
      </c>
      <c r="S96" s="431"/>
    </row>
    <row r="97" spans="1:19">
      <c r="A97" s="112">
        <f t="shared" si="26"/>
        <v>83</v>
      </c>
      <c r="B97" s="431">
        <v>39200</v>
      </c>
      <c r="C97" s="80" t="s">
        <v>1470</v>
      </c>
      <c r="D97" s="364">
        <f>[4]Reserve!AF173</f>
        <v>106447.2466475001</v>
      </c>
      <c r="E97" s="498">
        <v>0</v>
      </c>
      <c r="F97" s="364">
        <f t="shared" si="25"/>
        <v>106447.2466475001</v>
      </c>
      <c r="G97" s="394">
        <f t="shared" si="27"/>
        <v>1</v>
      </c>
      <c r="H97" s="394">
        <f t="shared" si="27"/>
        <v>1</v>
      </c>
      <c r="I97" s="364">
        <f t="shared" si="31"/>
        <v>106447.2466475001</v>
      </c>
      <c r="K97" s="364">
        <f>[4]Reserve!D173</f>
        <v>102175.94507500008</v>
      </c>
      <c r="L97" s="394">
        <f t="shared" si="29"/>
        <v>1</v>
      </c>
      <c r="M97" s="394">
        <f t="shared" si="29"/>
        <v>1</v>
      </c>
      <c r="N97" s="364">
        <f t="shared" si="32"/>
        <v>102175.94507500008</v>
      </c>
      <c r="S97" s="431"/>
    </row>
    <row r="98" spans="1:19">
      <c r="A98" s="112">
        <f t="shared" si="26"/>
        <v>84</v>
      </c>
      <c r="B98" s="431">
        <v>39202</v>
      </c>
      <c r="C98" s="80" t="s">
        <v>1471</v>
      </c>
      <c r="D98" s="364">
        <f>[4]Reserve!AF174</f>
        <v>4829.010809999997</v>
      </c>
      <c r="E98" s="498">
        <v>0</v>
      </c>
      <c r="F98" s="364">
        <f t="shared" si="25"/>
        <v>4829.010809999997</v>
      </c>
      <c r="G98" s="394">
        <f t="shared" si="27"/>
        <v>1</v>
      </c>
      <c r="H98" s="394">
        <f t="shared" si="27"/>
        <v>1</v>
      </c>
      <c r="I98" s="364">
        <f t="shared" si="31"/>
        <v>4829.010809999997</v>
      </c>
      <c r="K98" s="364">
        <f>[4]Reserve!D174</f>
        <v>4226.8376999999973</v>
      </c>
      <c r="L98" s="394">
        <f t="shared" si="29"/>
        <v>1</v>
      </c>
      <c r="M98" s="394">
        <f t="shared" si="29"/>
        <v>1</v>
      </c>
      <c r="N98" s="364">
        <f t="shared" si="32"/>
        <v>4226.8376999999973</v>
      </c>
      <c r="S98" s="431"/>
    </row>
    <row r="99" spans="1:19">
      <c r="A99" s="112">
        <f t="shared" si="26"/>
        <v>85</v>
      </c>
      <c r="B99" s="431">
        <v>39400</v>
      </c>
      <c r="C99" s="80" t="s">
        <v>1472</v>
      </c>
      <c r="D99" s="364">
        <f>[4]Reserve!AF175</f>
        <v>2448053.9923950536</v>
      </c>
      <c r="E99" s="498">
        <v>0</v>
      </c>
      <c r="F99" s="364">
        <f t="shared" si="25"/>
        <v>2448053.9923950536</v>
      </c>
      <c r="G99" s="394">
        <f t="shared" si="27"/>
        <v>1</v>
      </c>
      <c r="H99" s="394">
        <f t="shared" si="27"/>
        <v>1</v>
      </c>
      <c r="I99" s="364">
        <f t="shared" si="31"/>
        <v>2448053.9923950536</v>
      </c>
      <c r="K99" s="364">
        <f>[4]Reserve!D175</f>
        <v>2184300.0389655191</v>
      </c>
      <c r="L99" s="394">
        <f t="shared" si="29"/>
        <v>1</v>
      </c>
      <c r="M99" s="394">
        <f t="shared" si="29"/>
        <v>1</v>
      </c>
      <c r="N99" s="364">
        <f t="shared" si="32"/>
        <v>2184300.0389655191</v>
      </c>
      <c r="S99" s="431"/>
    </row>
    <row r="100" spans="1:19">
      <c r="A100" s="112">
        <f t="shared" si="26"/>
        <v>86</v>
      </c>
      <c r="B100" s="431">
        <v>39603</v>
      </c>
      <c r="C100" s="80" t="s">
        <v>1473</v>
      </c>
      <c r="D100" s="364">
        <f>[4]Reserve!AF176</f>
        <v>-6489.75</v>
      </c>
      <c r="E100" s="498">
        <v>0</v>
      </c>
      <c r="F100" s="364">
        <f t="shared" si="25"/>
        <v>-6489.75</v>
      </c>
      <c r="G100" s="394">
        <f t="shared" si="27"/>
        <v>1</v>
      </c>
      <c r="H100" s="394">
        <f t="shared" si="27"/>
        <v>1</v>
      </c>
      <c r="I100" s="364">
        <f t="shared" si="31"/>
        <v>-6489.75</v>
      </c>
      <c r="K100" s="364">
        <f>[4]Reserve!D176</f>
        <v>-6489.75</v>
      </c>
      <c r="L100" s="394">
        <f t="shared" si="29"/>
        <v>1</v>
      </c>
      <c r="M100" s="394">
        <f t="shared" si="29"/>
        <v>1</v>
      </c>
      <c r="N100" s="364">
        <f t="shared" si="32"/>
        <v>-6489.75</v>
      </c>
      <c r="S100" s="431"/>
    </row>
    <row r="101" spans="1:19">
      <c r="A101" s="112">
        <f t="shared" si="26"/>
        <v>87</v>
      </c>
      <c r="B101" s="431">
        <v>39604</v>
      </c>
      <c r="C101" s="80" t="s">
        <v>1474</v>
      </c>
      <c r="D101" s="364">
        <f>[4]Reserve!AF177</f>
        <v>3201.29</v>
      </c>
      <c r="E101" s="498">
        <v>0</v>
      </c>
      <c r="F101" s="364">
        <f t="shared" si="25"/>
        <v>3201.29</v>
      </c>
      <c r="G101" s="394">
        <f t="shared" si="27"/>
        <v>1</v>
      </c>
      <c r="H101" s="394">
        <f t="shared" si="27"/>
        <v>1</v>
      </c>
      <c r="I101" s="364">
        <f t="shared" si="28"/>
        <v>3201.29</v>
      </c>
      <c r="K101" s="364">
        <f>[4]Reserve!D177</f>
        <v>3201.2900000000004</v>
      </c>
      <c r="L101" s="394">
        <f t="shared" si="29"/>
        <v>1</v>
      </c>
      <c r="M101" s="394">
        <f t="shared" si="29"/>
        <v>1</v>
      </c>
      <c r="N101" s="364">
        <f t="shared" si="32"/>
        <v>3201.2900000000004</v>
      </c>
      <c r="S101" s="431"/>
    </row>
    <row r="102" spans="1:19">
      <c r="A102" s="112">
        <f t="shared" si="26"/>
        <v>88</v>
      </c>
      <c r="B102" s="431">
        <v>39605</v>
      </c>
      <c r="C102" s="80" t="s">
        <v>1475</v>
      </c>
      <c r="D102" s="364">
        <f>[4]Reserve!AF178</f>
        <v>0</v>
      </c>
      <c r="E102" s="498">
        <v>0</v>
      </c>
      <c r="F102" s="364">
        <f t="shared" si="25"/>
        <v>0</v>
      </c>
      <c r="G102" s="394">
        <f t="shared" si="27"/>
        <v>1</v>
      </c>
      <c r="H102" s="394">
        <f t="shared" si="27"/>
        <v>1</v>
      </c>
      <c r="I102" s="364">
        <f t="shared" si="28"/>
        <v>0</v>
      </c>
      <c r="K102" s="364">
        <f>[4]Reserve!D178</f>
        <v>0</v>
      </c>
      <c r="L102" s="394">
        <f t="shared" si="29"/>
        <v>1</v>
      </c>
      <c r="M102" s="394">
        <f t="shared" si="29"/>
        <v>1</v>
      </c>
      <c r="N102" s="364">
        <f t="shared" si="32"/>
        <v>0</v>
      </c>
      <c r="S102" s="431"/>
    </row>
    <row r="103" spans="1:19">
      <c r="A103" s="112">
        <f t="shared" si="26"/>
        <v>89</v>
      </c>
      <c r="B103" s="431">
        <v>39700</v>
      </c>
      <c r="C103" s="80" t="s">
        <v>1476</v>
      </c>
      <c r="D103" s="364">
        <f>[4]Reserve!AF179</f>
        <v>289706.41053825006</v>
      </c>
      <c r="E103" s="498">
        <v>0</v>
      </c>
      <c r="F103" s="364">
        <f t="shared" si="25"/>
        <v>289706.41053825006</v>
      </c>
      <c r="G103" s="394">
        <f t="shared" si="27"/>
        <v>1</v>
      </c>
      <c r="H103" s="394">
        <f t="shared" si="27"/>
        <v>1</v>
      </c>
      <c r="I103" s="364">
        <f t="shared" si="28"/>
        <v>289706.41053825006</v>
      </c>
      <c r="K103" s="364">
        <f>[4]Reserve!D179</f>
        <v>275521.77609875001</v>
      </c>
      <c r="L103" s="394">
        <f t="shared" si="29"/>
        <v>1</v>
      </c>
      <c r="M103" s="394">
        <f t="shared" si="29"/>
        <v>1</v>
      </c>
      <c r="N103" s="364">
        <f t="shared" si="30"/>
        <v>275521.77609875001</v>
      </c>
      <c r="S103" s="431"/>
    </row>
    <row r="104" spans="1:19">
      <c r="A104" s="112">
        <f t="shared" si="26"/>
        <v>90</v>
      </c>
      <c r="B104" s="570">
        <v>39701</v>
      </c>
      <c r="C104" s="80" t="s">
        <v>1436</v>
      </c>
      <c r="D104" s="364">
        <f>[4]Reserve!AF180</f>
        <v>0</v>
      </c>
      <c r="E104" s="498">
        <v>0</v>
      </c>
      <c r="F104" s="364">
        <f t="shared" si="25"/>
        <v>0</v>
      </c>
      <c r="G104" s="394">
        <f t="shared" si="27"/>
        <v>1</v>
      </c>
      <c r="H104" s="394">
        <f t="shared" si="27"/>
        <v>1</v>
      </c>
      <c r="I104" s="364">
        <f t="shared" si="28"/>
        <v>0</v>
      </c>
      <c r="K104" s="364">
        <f>[4]Reserve!D180</f>
        <v>0</v>
      </c>
      <c r="L104" s="394">
        <f t="shared" si="29"/>
        <v>1</v>
      </c>
      <c r="M104" s="394">
        <f t="shared" si="29"/>
        <v>1</v>
      </c>
      <c r="N104" s="364">
        <f t="shared" si="30"/>
        <v>0</v>
      </c>
      <c r="S104" s="431"/>
    </row>
    <row r="105" spans="1:19">
      <c r="A105" s="112">
        <f t="shared" si="26"/>
        <v>91</v>
      </c>
      <c r="B105" s="570">
        <v>39702</v>
      </c>
      <c r="C105" s="73" t="s">
        <v>1436</v>
      </c>
      <c r="D105" s="364">
        <f>[4]Reserve!AF181</f>
        <v>0</v>
      </c>
      <c r="E105" s="498">
        <v>0</v>
      </c>
      <c r="F105" s="364">
        <f t="shared" si="25"/>
        <v>0</v>
      </c>
      <c r="G105" s="394">
        <f t="shared" si="27"/>
        <v>1</v>
      </c>
      <c r="H105" s="394">
        <f t="shared" si="27"/>
        <v>1</v>
      </c>
      <c r="I105" s="364">
        <f t="shared" si="28"/>
        <v>0</v>
      </c>
      <c r="K105" s="364">
        <f>[4]Reserve!D181</f>
        <v>0</v>
      </c>
      <c r="L105" s="394">
        <f t="shared" si="29"/>
        <v>1</v>
      </c>
      <c r="M105" s="394">
        <f t="shared" si="29"/>
        <v>1</v>
      </c>
      <c r="N105" s="364">
        <f t="shared" si="30"/>
        <v>0</v>
      </c>
      <c r="S105" s="431"/>
    </row>
    <row r="106" spans="1:19">
      <c r="A106" s="112">
        <f t="shared" si="26"/>
        <v>92</v>
      </c>
      <c r="B106" s="570">
        <v>39705</v>
      </c>
      <c r="C106" s="80" t="s">
        <v>1477</v>
      </c>
      <c r="D106" s="364">
        <f>[4]Reserve!AF182</f>
        <v>0</v>
      </c>
      <c r="E106" s="498">
        <v>0</v>
      </c>
      <c r="F106" s="364">
        <f t="shared" si="25"/>
        <v>0</v>
      </c>
      <c r="G106" s="394">
        <f t="shared" si="27"/>
        <v>1</v>
      </c>
      <c r="H106" s="394">
        <f t="shared" si="27"/>
        <v>1</v>
      </c>
      <c r="I106" s="364">
        <f t="shared" si="28"/>
        <v>0</v>
      </c>
      <c r="K106" s="364">
        <f>[4]Reserve!D182</f>
        <v>0</v>
      </c>
      <c r="L106" s="394">
        <f t="shared" si="29"/>
        <v>1</v>
      </c>
      <c r="M106" s="394">
        <f t="shared" si="29"/>
        <v>1</v>
      </c>
      <c r="N106" s="364">
        <f t="shared" si="30"/>
        <v>0</v>
      </c>
      <c r="S106" s="431"/>
    </row>
    <row r="107" spans="1:19">
      <c r="A107" s="112">
        <f t="shared" si="26"/>
        <v>93</v>
      </c>
      <c r="B107" s="570">
        <v>39800</v>
      </c>
      <c r="C107" s="80" t="s">
        <v>1478</v>
      </c>
      <c r="D107" s="364">
        <f>[4]Reserve!AF183</f>
        <v>3027622.0686840042</v>
      </c>
      <c r="E107" s="498">
        <v>0</v>
      </c>
      <c r="F107" s="364">
        <f t="shared" si="25"/>
        <v>3027622.0686840042</v>
      </c>
      <c r="G107" s="394">
        <f t="shared" si="27"/>
        <v>1</v>
      </c>
      <c r="H107" s="394">
        <f t="shared" si="27"/>
        <v>1</v>
      </c>
      <c r="I107" s="364">
        <f t="shared" si="28"/>
        <v>3027622.0686840042</v>
      </c>
      <c r="K107" s="364">
        <f>[4]Reserve!D183</f>
        <v>2897919.8159670029</v>
      </c>
      <c r="L107" s="394">
        <f t="shared" si="29"/>
        <v>1</v>
      </c>
      <c r="M107" s="394">
        <f t="shared" si="29"/>
        <v>1</v>
      </c>
      <c r="N107" s="364">
        <f t="shared" si="30"/>
        <v>2897919.8159670029</v>
      </c>
      <c r="S107" s="431"/>
    </row>
    <row r="108" spans="1:19">
      <c r="A108" s="112">
        <f t="shared" si="26"/>
        <v>94</v>
      </c>
      <c r="B108" s="570">
        <v>39901</v>
      </c>
      <c r="C108" s="80" t="s">
        <v>1437</v>
      </c>
      <c r="D108" s="364">
        <f>[4]Reserve!AF184</f>
        <v>28271.633624250029</v>
      </c>
      <c r="E108" s="498">
        <v>0</v>
      </c>
      <c r="F108" s="364">
        <f t="shared" si="25"/>
        <v>28271.633624250029</v>
      </c>
      <c r="G108" s="394">
        <f t="shared" ref="G108:H116" si="33">$G$16</f>
        <v>1</v>
      </c>
      <c r="H108" s="394">
        <f t="shared" si="33"/>
        <v>1</v>
      </c>
      <c r="I108" s="364">
        <f t="shared" si="28"/>
        <v>28271.633624250029</v>
      </c>
      <c r="K108" s="364">
        <f>[4]Reserve!D184</f>
        <v>25712.652588750025</v>
      </c>
      <c r="L108" s="394">
        <f t="shared" ref="L108:M116" si="34">$G$16</f>
        <v>1</v>
      </c>
      <c r="M108" s="394">
        <f t="shared" si="34"/>
        <v>1</v>
      </c>
      <c r="N108" s="364">
        <f t="shared" si="30"/>
        <v>25712.652588750025</v>
      </c>
      <c r="S108" s="431"/>
    </row>
    <row r="109" spans="1:19">
      <c r="A109" s="112">
        <f t="shared" si="26"/>
        <v>95</v>
      </c>
      <c r="B109" s="570">
        <v>39902</v>
      </c>
      <c r="C109" s="80" t="s">
        <v>1438</v>
      </c>
      <c r="D109" s="364">
        <f>[4]Reserve!AF185</f>
        <v>0</v>
      </c>
      <c r="E109" s="498">
        <v>0</v>
      </c>
      <c r="F109" s="364">
        <f t="shared" si="25"/>
        <v>0</v>
      </c>
      <c r="G109" s="394">
        <f t="shared" si="33"/>
        <v>1</v>
      </c>
      <c r="H109" s="394">
        <f t="shared" si="33"/>
        <v>1</v>
      </c>
      <c r="I109" s="364">
        <f t="shared" si="28"/>
        <v>0</v>
      </c>
      <c r="K109" s="364">
        <f>[4]Reserve!D185</f>
        <v>0</v>
      </c>
      <c r="L109" s="394">
        <f t="shared" si="34"/>
        <v>1</v>
      </c>
      <c r="M109" s="394">
        <f t="shared" si="34"/>
        <v>1</v>
      </c>
      <c r="N109" s="364">
        <f t="shared" si="30"/>
        <v>0</v>
      </c>
      <c r="S109" s="431"/>
    </row>
    <row r="110" spans="1:19">
      <c r="A110" s="112">
        <f t="shared" si="26"/>
        <v>96</v>
      </c>
      <c r="B110" s="570">
        <v>39903</v>
      </c>
      <c r="C110" s="80" t="s">
        <v>1479</v>
      </c>
      <c r="D110" s="364">
        <f>[4]Reserve!AF186</f>
        <v>121162.38159400011</v>
      </c>
      <c r="E110" s="498">
        <v>0</v>
      </c>
      <c r="F110" s="364">
        <f t="shared" si="25"/>
        <v>121162.38159400011</v>
      </c>
      <c r="G110" s="394">
        <f t="shared" si="33"/>
        <v>1</v>
      </c>
      <c r="H110" s="394">
        <f t="shared" si="33"/>
        <v>1</v>
      </c>
      <c r="I110" s="364">
        <f t="shared" si="28"/>
        <v>121162.38159400011</v>
      </c>
      <c r="K110" s="364">
        <f>[4]Reserve!D186</f>
        <v>111545.2930470001</v>
      </c>
      <c r="L110" s="394">
        <f t="shared" si="34"/>
        <v>1</v>
      </c>
      <c r="M110" s="394">
        <f t="shared" si="34"/>
        <v>1</v>
      </c>
      <c r="N110" s="364">
        <f t="shared" si="30"/>
        <v>111545.2930470001</v>
      </c>
      <c r="S110" s="431"/>
    </row>
    <row r="111" spans="1:19">
      <c r="A111" s="112">
        <f t="shared" si="26"/>
        <v>97</v>
      </c>
      <c r="B111" s="570">
        <v>39906</v>
      </c>
      <c r="C111" s="80" t="s">
        <v>1480</v>
      </c>
      <c r="D111" s="364">
        <f>[4]Reserve!AF187</f>
        <v>-956444.98706506286</v>
      </c>
      <c r="E111" s="498">
        <v>0</v>
      </c>
      <c r="F111" s="364">
        <f t="shared" si="25"/>
        <v>-956444.98706506286</v>
      </c>
      <c r="G111" s="394">
        <f t="shared" si="33"/>
        <v>1</v>
      </c>
      <c r="H111" s="394">
        <f t="shared" si="33"/>
        <v>1</v>
      </c>
      <c r="I111" s="364">
        <f t="shared" si="28"/>
        <v>-956444.98706506286</v>
      </c>
      <c r="K111" s="364">
        <f>[4]Reserve!D187</f>
        <v>-618423.020448289</v>
      </c>
      <c r="L111" s="394">
        <f t="shared" si="34"/>
        <v>1</v>
      </c>
      <c r="M111" s="394">
        <f t="shared" si="34"/>
        <v>1</v>
      </c>
      <c r="N111" s="364">
        <f t="shared" si="30"/>
        <v>-618423.020448289</v>
      </c>
      <c r="S111" s="431"/>
    </row>
    <row r="112" spans="1:19" ht="15" customHeight="1">
      <c r="A112" s="112">
        <f t="shared" si="26"/>
        <v>98</v>
      </c>
      <c r="B112" s="570">
        <v>39907</v>
      </c>
      <c r="C112" s="80" t="s">
        <v>1481</v>
      </c>
      <c r="D112" s="364">
        <f>[4]Reserve!AF188</f>
        <v>0</v>
      </c>
      <c r="E112" s="498">
        <v>0</v>
      </c>
      <c r="F112" s="364">
        <f t="shared" si="25"/>
        <v>0</v>
      </c>
      <c r="G112" s="394">
        <f t="shared" si="33"/>
        <v>1</v>
      </c>
      <c r="H112" s="394">
        <f t="shared" si="33"/>
        <v>1</v>
      </c>
      <c r="I112" s="364">
        <f t="shared" si="28"/>
        <v>0</v>
      </c>
      <c r="K112" s="364">
        <f>[4]Reserve!D188</f>
        <v>0</v>
      </c>
      <c r="L112" s="394">
        <f t="shared" si="34"/>
        <v>1</v>
      </c>
      <c r="M112" s="394">
        <f t="shared" si="34"/>
        <v>1</v>
      </c>
      <c r="N112" s="364">
        <f t="shared" si="30"/>
        <v>0</v>
      </c>
      <c r="S112" s="431"/>
    </row>
    <row r="113" spans="1:19">
      <c r="A113" s="112">
        <f t="shared" si="26"/>
        <v>99</v>
      </c>
      <c r="B113" s="570">
        <v>39908</v>
      </c>
      <c r="C113" s="80" t="s">
        <v>1482</v>
      </c>
      <c r="D113" s="364">
        <f>[4]Reserve!AF189</f>
        <v>65651.531899999987</v>
      </c>
      <c r="E113" s="498">
        <v>0</v>
      </c>
      <c r="F113" s="364">
        <f t="shared" si="25"/>
        <v>65651.531899999987</v>
      </c>
      <c r="G113" s="394">
        <f t="shared" si="33"/>
        <v>1</v>
      </c>
      <c r="H113" s="394">
        <f t="shared" si="33"/>
        <v>1</v>
      </c>
      <c r="I113" s="364">
        <f t="shared" si="28"/>
        <v>65651.531899999987</v>
      </c>
      <c r="K113" s="364">
        <f>[4]Reserve!D189</f>
        <v>63339.432109999987</v>
      </c>
      <c r="L113" s="394">
        <f t="shared" si="34"/>
        <v>1</v>
      </c>
      <c r="M113" s="394">
        <f t="shared" si="34"/>
        <v>1</v>
      </c>
      <c r="N113" s="364">
        <f t="shared" si="30"/>
        <v>63339.432109999987</v>
      </c>
      <c r="S113" s="431"/>
    </row>
    <row r="114" spans="1:19" ht="15" customHeight="1">
      <c r="A114" s="112">
        <f t="shared" si="26"/>
        <v>100</v>
      </c>
      <c r="B114" s="570"/>
      <c r="C114" s="80" t="s">
        <v>1124</v>
      </c>
      <c r="D114" s="364">
        <f>[4]Reserve!AF190</f>
        <v>-2179656.359999998</v>
      </c>
      <c r="E114" s="498">
        <v>0</v>
      </c>
      <c r="F114" s="364">
        <f>D114-E114</f>
        <v>-2179656.359999998</v>
      </c>
      <c r="G114" s="394">
        <f t="shared" si="33"/>
        <v>1</v>
      </c>
      <c r="H114" s="394">
        <f t="shared" si="33"/>
        <v>1</v>
      </c>
      <c r="I114" s="364">
        <f>F114*G114*H114</f>
        <v>-2179656.359999998</v>
      </c>
      <c r="K114" s="364">
        <f>[4]Reserve!D190</f>
        <v>-2179656.3599999985</v>
      </c>
      <c r="L114" s="394">
        <f t="shared" si="34"/>
        <v>1</v>
      </c>
      <c r="M114" s="394">
        <f t="shared" si="34"/>
        <v>1</v>
      </c>
      <c r="N114" s="364">
        <f>K114*L114*M114</f>
        <v>-2179656.3599999985</v>
      </c>
    </row>
    <row r="115" spans="1:19" ht="15" customHeight="1">
      <c r="A115" s="687"/>
      <c r="B115" s="570"/>
      <c r="C115" s="80" t="s">
        <v>1346</v>
      </c>
      <c r="D115" s="364">
        <f>[4]Reserve!AF191</f>
        <v>0</v>
      </c>
      <c r="E115" s="498">
        <v>0</v>
      </c>
      <c r="F115" s="364">
        <f>D115-E115</f>
        <v>0</v>
      </c>
      <c r="G115" s="394">
        <f t="shared" si="33"/>
        <v>1</v>
      </c>
      <c r="H115" s="394">
        <f t="shared" si="33"/>
        <v>1</v>
      </c>
      <c r="I115" s="364">
        <f>F115*G115*H115</f>
        <v>0</v>
      </c>
      <c r="K115" s="364">
        <f>[4]Reserve!D191</f>
        <v>0</v>
      </c>
      <c r="L115" s="394">
        <f t="shared" si="34"/>
        <v>1</v>
      </c>
      <c r="M115" s="394">
        <f t="shared" si="34"/>
        <v>1</v>
      </c>
      <c r="N115" s="364">
        <f t="shared" ref="N115:N116" si="35">K115*L115*M115</f>
        <v>0</v>
      </c>
    </row>
    <row r="116" spans="1:19">
      <c r="A116" s="112">
        <f>A114+1</f>
        <v>101</v>
      </c>
      <c r="B116" s="570"/>
      <c r="C116" s="80" t="s">
        <v>1221</v>
      </c>
      <c r="D116" s="364">
        <f>[4]Reserve!AF192</f>
        <v>0</v>
      </c>
      <c r="E116" s="498">
        <v>0</v>
      </c>
      <c r="F116" s="364">
        <f t="shared" ref="F116" si="36">D116-E116</f>
        <v>0</v>
      </c>
      <c r="G116" s="394">
        <f t="shared" si="33"/>
        <v>1</v>
      </c>
      <c r="H116" s="394">
        <f t="shared" si="33"/>
        <v>1</v>
      </c>
      <c r="I116" s="364">
        <f t="shared" ref="I116" si="37">F116*G116*H116</f>
        <v>0</v>
      </c>
      <c r="K116" s="364">
        <f>[4]Reserve!D192</f>
        <v>0</v>
      </c>
      <c r="L116" s="394">
        <f t="shared" si="34"/>
        <v>1</v>
      </c>
      <c r="M116" s="394">
        <f t="shared" si="34"/>
        <v>1</v>
      </c>
      <c r="N116" s="364">
        <f t="shared" si="35"/>
        <v>0</v>
      </c>
      <c r="S116" s="431"/>
    </row>
    <row r="117" spans="1:19" ht="15" customHeight="1">
      <c r="A117" s="112">
        <f t="shared" ref="A117:A153" si="38">A116+1</f>
        <v>102</v>
      </c>
      <c r="B117" s="570"/>
      <c r="C117" s="80"/>
      <c r="D117" s="857"/>
      <c r="E117" s="857"/>
      <c r="F117" s="857"/>
      <c r="I117" s="857"/>
      <c r="K117" s="857"/>
      <c r="N117" s="857"/>
    </row>
    <row r="118" spans="1:19">
      <c r="A118" s="112">
        <f t="shared" si="38"/>
        <v>103</v>
      </c>
      <c r="B118" s="570"/>
      <c r="C118" s="80" t="s">
        <v>1330</v>
      </c>
      <c r="D118" s="304">
        <f>SUM(D89:D117)</f>
        <v>7845768.6455670465</v>
      </c>
      <c r="E118" s="304">
        <f>SUM(E89:E117)</f>
        <v>0</v>
      </c>
      <c r="F118" s="304">
        <f>SUM(F89:F117)</f>
        <v>7845768.6455670465</v>
      </c>
      <c r="I118" s="304">
        <f>SUM(I89:I117)</f>
        <v>7845768.6455670465</v>
      </c>
      <c r="K118" s="304">
        <f>SUM(K89:K117)</f>
        <v>7589384.3905048436</v>
      </c>
      <c r="N118" s="304">
        <f>SUM(N89:N117)</f>
        <v>7589384.3905048436</v>
      </c>
    </row>
    <row r="119" spans="1:19">
      <c r="A119" s="112">
        <f t="shared" si="38"/>
        <v>104</v>
      </c>
      <c r="B119" s="570"/>
      <c r="C119" s="80"/>
      <c r="D119" s="498"/>
      <c r="E119" s="498"/>
      <c r="F119" s="498"/>
      <c r="I119" s="498"/>
      <c r="K119" s="498"/>
      <c r="N119" s="498"/>
    </row>
    <row r="120" spans="1:19">
      <c r="A120" s="112">
        <f t="shared" si="38"/>
        <v>105</v>
      </c>
      <c r="B120" s="334"/>
      <c r="C120" s="205" t="s">
        <v>1276</v>
      </c>
      <c r="D120" s="304">
        <f>D118+D86+D60+D47+D26+D19</f>
        <v>180290169.07352781</v>
      </c>
      <c r="E120" s="304">
        <f>E118+E86+E60+E47+E26+E19</f>
        <v>0</v>
      </c>
      <c r="F120" s="304">
        <f>F118+F86+F60+F47+F26+F19</f>
        <v>180290169.07352781</v>
      </c>
      <c r="I120" s="304">
        <f>I118+I86+I60+I47+I26+I19</f>
        <v>180290169.07352781</v>
      </c>
      <c r="K120" s="304">
        <f>K118+K86+K60+K47+K26+K19</f>
        <v>176929173.93202332</v>
      </c>
      <c r="N120" s="304">
        <f>N118+N86+N60+N47+N26+N19</f>
        <v>176929173.93202332</v>
      </c>
      <c r="R120" s="544"/>
      <c r="S120" s="544"/>
    </row>
    <row r="121" spans="1:19">
      <c r="A121" s="112">
        <f t="shared" si="38"/>
        <v>106</v>
      </c>
      <c r="B121" s="334"/>
      <c r="C121" s="80"/>
      <c r="D121" s="498"/>
    </row>
    <row r="122" spans="1:19">
      <c r="A122" s="112">
        <f t="shared" si="38"/>
        <v>107</v>
      </c>
      <c r="B122" s="334"/>
      <c r="C122" s="73"/>
      <c r="D122" s="498"/>
    </row>
    <row r="123" spans="1:19">
      <c r="A123" s="112">
        <f t="shared" si="38"/>
        <v>108</v>
      </c>
      <c r="B123" s="838"/>
      <c r="D123" s="498"/>
      <c r="G123" s="72"/>
      <c r="H123" s="72"/>
    </row>
    <row r="124" spans="1:19" ht="15.75">
      <c r="A124" s="112">
        <f t="shared" si="38"/>
        <v>109</v>
      </c>
      <c r="B124" s="843" t="s">
        <v>7</v>
      </c>
      <c r="D124" s="498"/>
      <c r="G124" s="72"/>
      <c r="H124" s="72"/>
    </row>
    <row r="125" spans="1:19">
      <c r="A125" s="112">
        <f t="shared" si="38"/>
        <v>110</v>
      </c>
      <c r="B125" s="838"/>
      <c r="D125" s="498"/>
      <c r="G125" s="72"/>
      <c r="H125" s="72"/>
    </row>
    <row r="126" spans="1:19">
      <c r="A126" s="112">
        <f t="shared" si="38"/>
        <v>111</v>
      </c>
      <c r="B126" s="334"/>
      <c r="C126" s="500" t="s">
        <v>295</v>
      </c>
      <c r="D126" s="498"/>
    </row>
    <row r="127" spans="1:19">
      <c r="A127" s="112">
        <f t="shared" si="38"/>
        <v>112</v>
      </c>
      <c r="B127" s="431">
        <v>30100</v>
      </c>
      <c r="C127" s="80" t="s">
        <v>289</v>
      </c>
      <c r="D127" s="304">
        <f>[4]Reserve!AF84</f>
        <v>0</v>
      </c>
      <c r="E127" s="304">
        <v>0</v>
      </c>
      <c r="F127" s="304">
        <f>D127+E127</f>
        <v>0</v>
      </c>
      <c r="G127" s="394">
        <f>$G$16</f>
        <v>1</v>
      </c>
      <c r="H127" s="395">
        <f>Allocation!$D$17</f>
        <v>0.50419999999999998</v>
      </c>
      <c r="I127" s="304">
        <f>F127*G127*H127</f>
        <v>0</v>
      </c>
      <c r="K127" s="304">
        <f>[4]Reserve!D84</f>
        <v>0</v>
      </c>
      <c r="L127" s="394">
        <f t="shared" ref="L127:M128" si="39">G127</f>
        <v>1</v>
      </c>
      <c r="M127" s="395">
        <f t="shared" si="39"/>
        <v>0.50419999999999998</v>
      </c>
      <c r="N127" s="304">
        <f>K127*L127*M127</f>
        <v>0</v>
      </c>
    </row>
    <row r="128" spans="1:19">
      <c r="A128" s="112">
        <f t="shared" si="38"/>
        <v>113</v>
      </c>
      <c r="B128" s="431">
        <v>30300</v>
      </c>
      <c r="C128" s="80" t="s">
        <v>537</v>
      </c>
      <c r="D128" s="364">
        <f>[4]Reserve!AF85</f>
        <v>0</v>
      </c>
      <c r="E128" s="842">
        <v>0</v>
      </c>
      <c r="F128" s="842">
        <f>D128+E128</f>
        <v>0</v>
      </c>
      <c r="G128" s="394">
        <f>$G$16</f>
        <v>1</v>
      </c>
      <c r="H128" s="395">
        <f>$H$127</f>
        <v>0.50419999999999998</v>
      </c>
      <c r="I128" s="842">
        <f>F128*G128*H128</f>
        <v>0</v>
      </c>
      <c r="K128" s="364">
        <f>[4]Reserve!D85</f>
        <v>0</v>
      </c>
      <c r="L128" s="394">
        <f t="shared" si="39"/>
        <v>1</v>
      </c>
      <c r="M128" s="395">
        <f t="shared" si="39"/>
        <v>0.50419999999999998</v>
      </c>
      <c r="N128" s="842">
        <f>K128*L128*M128</f>
        <v>0</v>
      </c>
    </row>
    <row r="129" spans="1:14">
      <c r="A129" s="112">
        <f t="shared" si="38"/>
        <v>114</v>
      </c>
      <c r="B129" s="431"/>
      <c r="C129" s="80"/>
      <c r="D129" s="499"/>
      <c r="E129" s="499"/>
      <c r="F129" s="499"/>
      <c r="K129" s="499"/>
    </row>
    <row r="130" spans="1:14">
      <c r="A130" s="112">
        <f t="shared" si="38"/>
        <v>115</v>
      </c>
      <c r="B130" s="570"/>
      <c r="C130" s="80" t="s">
        <v>296</v>
      </c>
      <c r="D130" s="304">
        <f>SUM(D127:D129)</f>
        <v>0</v>
      </c>
      <c r="E130" s="304">
        <f>SUM(E127:E129)</f>
        <v>0</v>
      </c>
      <c r="F130" s="304">
        <f>SUM(F127:F129)</f>
        <v>0</v>
      </c>
      <c r="G130" s="394"/>
      <c r="H130" s="394"/>
      <c r="I130" s="304">
        <f>SUM(I127:I129)</f>
        <v>0</v>
      </c>
      <c r="K130" s="304">
        <f>SUM(K127:K129)</f>
        <v>0</v>
      </c>
      <c r="N130" s="304">
        <f>SUM(N127:N129)</f>
        <v>0</v>
      </c>
    </row>
    <row r="131" spans="1:14">
      <c r="A131" s="112">
        <f t="shared" si="38"/>
        <v>116</v>
      </c>
      <c r="B131" s="855"/>
    </row>
    <row r="132" spans="1:14">
      <c r="A132" s="112">
        <f t="shared" si="38"/>
        <v>117</v>
      </c>
      <c r="B132" s="570"/>
      <c r="C132" s="500" t="s">
        <v>297</v>
      </c>
    </row>
    <row r="133" spans="1:14">
      <c r="A133" s="112">
        <f t="shared" si="38"/>
        <v>118</v>
      </c>
      <c r="B133" s="431">
        <v>37400</v>
      </c>
      <c r="C133" s="80" t="s">
        <v>1128</v>
      </c>
      <c r="D133" s="304">
        <v>0</v>
      </c>
      <c r="E133" s="304">
        <v>0</v>
      </c>
      <c r="F133" s="304">
        <f t="shared" ref="F133:F153" si="40">D133+E133</f>
        <v>0</v>
      </c>
      <c r="G133" s="394">
        <f t="shared" ref="G133:G153" si="41">$G$16</f>
        <v>1</v>
      </c>
      <c r="H133" s="395">
        <f t="shared" ref="H133:H153" si="42">$H$127</f>
        <v>0.50419999999999998</v>
      </c>
      <c r="I133" s="304">
        <f t="shared" ref="I133:I153" si="43">F133*G133*H133</f>
        <v>0</v>
      </c>
      <c r="K133" s="304">
        <v>0</v>
      </c>
      <c r="L133" s="394">
        <f t="shared" ref="L133:M153" si="44">G133</f>
        <v>1</v>
      </c>
      <c r="M133" s="395">
        <f t="shared" si="44"/>
        <v>0.50419999999999998</v>
      </c>
      <c r="N133" s="304">
        <f t="shared" ref="N133:N153" si="45">K133*L133*M133</f>
        <v>0</v>
      </c>
    </row>
    <row r="134" spans="1:14">
      <c r="A134" s="112">
        <f t="shared" si="38"/>
        <v>119</v>
      </c>
      <c r="B134" s="431">
        <v>35010</v>
      </c>
      <c r="C134" s="80" t="s">
        <v>290</v>
      </c>
      <c r="D134" s="364">
        <v>0</v>
      </c>
      <c r="E134" s="364">
        <v>0</v>
      </c>
      <c r="F134" s="364">
        <f t="shared" si="40"/>
        <v>0</v>
      </c>
      <c r="G134" s="394">
        <f t="shared" si="41"/>
        <v>1</v>
      </c>
      <c r="H134" s="395">
        <f t="shared" si="42"/>
        <v>0.50419999999999998</v>
      </c>
      <c r="I134" s="364">
        <f t="shared" si="43"/>
        <v>0</v>
      </c>
      <c r="K134" s="364">
        <v>0</v>
      </c>
      <c r="L134" s="394">
        <f t="shared" si="44"/>
        <v>1</v>
      </c>
      <c r="M134" s="395">
        <f t="shared" si="44"/>
        <v>0.50419999999999998</v>
      </c>
      <c r="N134" s="364">
        <f t="shared" si="45"/>
        <v>0</v>
      </c>
    </row>
    <row r="135" spans="1:14">
      <c r="A135" s="112">
        <f t="shared" si="38"/>
        <v>120</v>
      </c>
      <c r="B135" s="431">
        <v>37402</v>
      </c>
      <c r="C135" s="80" t="s">
        <v>986</v>
      </c>
      <c r="D135" s="364">
        <v>0</v>
      </c>
      <c r="E135" s="364">
        <v>0</v>
      </c>
      <c r="F135" s="364">
        <f t="shared" si="40"/>
        <v>0</v>
      </c>
      <c r="G135" s="394">
        <f t="shared" si="41"/>
        <v>1</v>
      </c>
      <c r="H135" s="395">
        <f t="shared" si="42"/>
        <v>0.50419999999999998</v>
      </c>
      <c r="I135" s="364">
        <f t="shared" si="43"/>
        <v>0</v>
      </c>
      <c r="K135" s="364">
        <v>0</v>
      </c>
      <c r="L135" s="394">
        <f t="shared" si="44"/>
        <v>1</v>
      </c>
      <c r="M135" s="395">
        <f t="shared" si="44"/>
        <v>0.50419999999999998</v>
      </c>
      <c r="N135" s="364">
        <f t="shared" si="45"/>
        <v>0</v>
      </c>
    </row>
    <row r="136" spans="1:14">
      <c r="A136" s="112">
        <f t="shared" si="38"/>
        <v>121</v>
      </c>
      <c r="B136" s="431">
        <v>37403</v>
      </c>
      <c r="C136" s="80" t="s">
        <v>983</v>
      </c>
      <c r="D136" s="364">
        <v>0</v>
      </c>
      <c r="E136" s="364">
        <v>0</v>
      </c>
      <c r="F136" s="364">
        <f t="shared" si="40"/>
        <v>0</v>
      </c>
      <c r="G136" s="394">
        <f t="shared" si="41"/>
        <v>1</v>
      </c>
      <c r="H136" s="395">
        <f t="shared" si="42"/>
        <v>0.50419999999999998</v>
      </c>
      <c r="I136" s="364">
        <f t="shared" si="43"/>
        <v>0</v>
      </c>
      <c r="K136" s="364">
        <v>0</v>
      </c>
      <c r="L136" s="394">
        <f t="shared" si="44"/>
        <v>1</v>
      </c>
      <c r="M136" s="395">
        <f t="shared" si="44"/>
        <v>0.50419999999999998</v>
      </c>
      <c r="N136" s="364">
        <f t="shared" si="45"/>
        <v>0</v>
      </c>
    </row>
    <row r="137" spans="1:14">
      <c r="A137" s="112">
        <f t="shared" si="38"/>
        <v>122</v>
      </c>
      <c r="B137" s="431">
        <v>36602</v>
      </c>
      <c r="C137" s="80" t="s">
        <v>848</v>
      </c>
      <c r="D137" s="364">
        <v>0</v>
      </c>
      <c r="E137" s="364">
        <v>0</v>
      </c>
      <c r="F137" s="364">
        <f t="shared" si="40"/>
        <v>0</v>
      </c>
      <c r="G137" s="394">
        <f t="shared" si="41"/>
        <v>1</v>
      </c>
      <c r="H137" s="395">
        <f t="shared" si="42"/>
        <v>0.50419999999999998</v>
      </c>
      <c r="I137" s="364">
        <f t="shared" si="43"/>
        <v>0</v>
      </c>
      <c r="K137" s="364">
        <v>0</v>
      </c>
      <c r="L137" s="394">
        <f t="shared" si="44"/>
        <v>1</v>
      </c>
      <c r="M137" s="395">
        <f t="shared" si="44"/>
        <v>0.50419999999999998</v>
      </c>
      <c r="N137" s="364">
        <f t="shared" si="45"/>
        <v>0</v>
      </c>
    </row>
    <row r="138" spans="1:14">
      <c r="A138" s="112">
        <f t="shared" si="38"/>
        <v>123</v>
      </c>
      <c r="B138" s="431">
        <v>37501</v>
      </c>
      <c r="C138" s="80" t="s">
        <v>984</v>
      </c>
      <c r="D138" s="364">
        <v>0</v>
      </c>
      <c r="E138" s="364">
        <v>0</v>
      </c>
      <c r="F138" s="364">
        <f t="shared" si="40"/>
        <v>0</v>
      </c>
      <c r="G138" s="394">
        <f t="shared" si="41"/>
        <v>1</v>
      </c>
      <c r="H138" s="395">
        <f t="shared" si="42"/>
        <v>0.50419999999999998</v>
      </c>
      <c r="I138" s="364">
        <f t="shared" si="43"/>
        <v>0</v>
      </c>
      <c r="K138" s="364">
        <v>0</v>
      </c>
      <c r="L138" s="394">
        <f t="shared" si="44"/>
        <v>1</v>
      </c>
      <c r="M138" s="395">
        <f t="shared" si="44"/>
        <v>0.50419999999999998</v>
      </c>
      <c r="N138" s="364">
        <f t="shared" si="45"/>
        <v>0</v>
      </c>
    </row>
    <row r="139" spans="1:14">
      <c r="A139" s="112">
        <f t="shared" si="38"/>
        <v>124</v>
      </c>
      <c r="B139" s="431">
        <v>37402</v>
      </c>
      <c r="C139" s="80" t="s">
        <v>986</v>
      </c>
      <c r="D139" s="364">
        <v>0</v>
      </c>
      <c r="E139" s="364">
        <v>0</v>
      </c>
      <c r="F139" s="364">
        <f t="shared" si="40"/>
        <v>0</v>
      </c>
      <c r="G139" s="394">
        <f t="shared" si="41"/>
        <v>1</v>
      </c>
      <c r="H139" s="395">
        <f t="shared" si="42"/>
        <v>0.50419999999999998</v>
      </c>
      <c r="I139" s="364">
        <f t="shared" si="43"/>
        <v>0</v>
      </c>
      <c r="K139" s="364">
        <v>0</v>
      </c>
      <c r="L139" s="394">
        <f t="shared" si="44"/>
        <v>1</v>
      </c>
      <c r="M139" s="395">
        <f t="shared" si="44"/>
        <v>0.50419999999999998</v>
      </c>
      <c r="N139" s="364">
        <f t="shared" si="45"/>
        <v>0</v>
      </c>
    </row>
    <row r="140" spans="1:14">
      <c r="A140" s="112">
        <f t="shared" si="38"/>
        <v>125</v>
      </c>
      <c r="B140" s="431">
        <v>37503</v>
      </c>
      <c r="C140" s="80" t="s">
        <v>985</v>
      </c>
      <c r="D140" s="364">
        <v>0</v>
      </c>
      <c r="E140" s="364">
        <v>0</v>
      </c>
      <c r="F140" s="364">
        <f t="shared" si="40"/>
        <v>0</v>
      </c>
      <c r="G140" s="394">
        <f t="shared" si="41"/>
        <v>1</v>
      </c>
      <c r="H140" s="395">
        <f t="shared" si="42"/>
        <v>0.50419999999999998</v>
      </c>
      <c r="I140" s="364">
        <f t="shared" si="43"/>
        <v>0</v>
      </c>
      <c r="K140" s="364">
        <v>0</v>
      </c>
      <c r="L140" s="394">
        <f t="shared" si="44"/>
        <v>1</v>
      </c>
      <c r="M140" s="395">
        <f t="shared" si="44"/>
        <v>0.50419999999999998</v>
      </c>
      <c r="N140" s="364">
        <f t="shared" si="45"/>
        <v>0</v>
      </c>
    </row>
    <row r="141" spans="1:14">
      <c r="A141" s="112">
        <f t="shared" si="38"/>
        <v>126</v>
      </c>
      <c r="B141" s="431">
        <v>36700</v>
      </c>
      <c r="C141" s="80" t="s">
        <v>836</v>
      </c>
      <c r="D141" s="364">
        <v>0</v>
      </c>
      <c r="E141" s="364">
        <v>0</v>
      </c>
      <c r="F141" s="364">
        <f t="shared" si="40"/>
        <v>0</v>
      </c>
      <c r="G141" s="394">
        <f t="shared" si="41"/>
        <v>1</v>
      </c>
      <c r="H141" s="395">
        <f t="shared" si="42"/>
        <v>0.50419999999999998</v>
      </c>
      <c r="I141" s="364">
        <f t="shared" si="43"/>
        <v>0</v>
      </c>
      <c r="K141" s="364">
        <v>0</v>
      </c>
      <c r="L141" s="394">
        <f t="shared" si="44"/>
        <v>1</v>
      </c>
      <c r="M141" s="395">
        <f t="shared" si="44"/>
        <v>0.50419999999999998</v>
      </c>
      <c r="N141" s="364">
        <f t="shared" si="45"/>
        <v>0</v>
      </c>
    </row>
    <row r="142" spans="1:14">
      <c r="A142" s="112">
        <f t="shared" si="38"/>
        <v>127</v>
      </c>
      <c r="B142" s="431">
        <v>36701</v>
      </c>
      <c r="C142" s="80" t="s">
        <v>16</v>
      </c>
      <c r="D142" s="364">
        <v>0</v>
      </c>
      <c r="E142" s="364">
        <v>0</v>
      </c>
      <c r="F142" s="364">
        <f t="shared" si="40"/>
        <v>0</v>
      </c>
      <c r="G142" s="394">
        <f t="shared" si="41"/>
        <v>1</v>
      </c>
      <c r="H142" s="395">
        <f t="shared" si="42"/>
        <v>0.50419999999999998</v>
      </c>
      <c r="I142" s="364">
        <f t="shared" si="43"/>
        <v>0</v>
      </c>
      <c r="K142" s="364">
        <v>0</v>
      </c>
      <c r="L142" s="394">
        <f t="shared" si="44"/>
        <v>1</v>
      </c>
      <c r="M142" s="395">
        <f t="shared" si="44"/>
        <v>0.50419999999999998</v>
      </c>
      <c r="N142" s="364">
        <f t="shared" si="45"/>
        <v>0</v>
      </c>
    </row>
    <row r="143" spans="1:14">
      <c r="A143" s="112">
        <f t="shared" si="38"/>
        <v>128</v>
      </c>
      <c r="B143" s="431">
        <v>37602</v>
      </c>
      <c r="C143" s="80" t="s">
        <v>837</v>
      </c>
      <c r="D143" s="364">
        <v>0</v>
      </c>
      <c r="E143" s="364">
        <v>0</v>
      </c>
      <c r="F143" s="364">
        <f t="shared" si="40"/>
        <v>0</v>
      </c>
      <c r="G143" s="394">
        <f t="shared" si="41"/>
        <v>1</v>
      </c>
      <c r="H143" s="395">
        <f t="shared" si="42"/>
        <v>0.50419999999999998</v>
      </c>
      <c r="I143" s="364">
        <f t="shared" si="43"/>
        <v>0</v>
      </c>
      <c r="K143" s="364">
        <v>0</v>
      </c>
      <c r="L143" s="394">
        <f t="shared" si="44"/>
        <v>1</v>
      </c>
      <c r="M143" s="395">
        <f t="shared" si="44"/>
        <v>0.50419999999999998</v>
      </c>
      <c r="N143" s="364">
        <f t="shared" si="45"/>
        <v>0</v>
      </c>
    </row>
    <row r="144" spans="1:14">
      <c r="A144" s="112">
        <f t="shared" si="38"/>
        <v>129</v>
      </c>
      <c r="B144" s="431">
        <v>37800</v>
      </c>
      <c r="C144" s="80" t="s">
        <v>228</v>
      </c>
      <c r="D144" s="364">
        <v>0</v>
      </c>
      <c r="E144" s="364">
        <v>0</v>
      </c>
      <c r="F144" s="364">
        <f t="shared" si="40"/>
        <v>0</v>
      </c>
      <c r="G144" s="394">
        <f t="shared" si="41"/>
        <v>1</v>
      </c>
      <c r="H144" s="395">
        <f t="shared" si="42"/>
        <v>0.50419999999999998</v>
      </c>
      <c r="I144" s="364">
        <f t="shared" si="43"/>
        <v>0</v>
      </c>
      <c r="K144" s="364">
        <v>0</v>
      </c>
      <c r="L144" s="394">
        <f t="shared" si="44"/>
        <v>1</v>
      </c>
      <c r="M144" s="395">
        <f t="shared" si="44"/>
        <v>0.50419999999999998</v>
      </c>
      <c r="N144" s="364">
        <f t="shared" si="45"/>
        <v>0</v>
      </c>
    </row>
    <row r="145" spans="1:20">
      <c r="A145" s="112">
        <f t="shared" si="38"/>
        <v>130</v>
      </c>
      <c r="B145" s="431">
        <v>37900</v>
      </c>
      <c r="C145" s="80" t="s">
        <v>1171</v>
      </c>
      <c r="D145" s="364">
        <v>0</v>
      </c>
      <c r="E145" s="364">
        <v>0</v>
      </c>
      <c r="F145" s="364">
        <f t="shared" si="40"/>
        <v>0</v>
      </c>
      <c r="G145" s="394">
        <f t="shared" si="41"/>
        <v>1</v>
      </c>
      <c r="H145" s="395">
        <f t="shared" si="42"/>
        <v>0.50419999999999998</v>
      </c>
      <c r="I145" s="364">
        <f t="shared" si="43"/>
        <v>0</v>
      </c>
      <c r="K145" s="364">
        <v>0</v>
      </c>
      <c r="L145" s="394">
        <f t="shared" si="44"/>
        <v>1</v>
      </c>
      <c r="M145" s="395">
        <f t="shared" si="44"/>
        <v>0.50419999999999998</v>
      </c>
      <c r="N145" s="364">
        <f t="shared" si="45"/>
        <v>0</v>
      </c>
    </row>
    <row r="146" spans="1:20">
      <c r="A146" s="112">
        <f t="shared" si="38"/>
        <v>131</v>
      </c>
      <c r="B146" s="431">
        <v>37905</v>
      </c>
      <c r="C146" s="80" t="s">
        <v>720</v>
      </c>
      <c r="D146" s="364">
        <v>0</v>
      </c>
      <c r="E146" s="364">
        <v>0</v>
      </c>
      <c r="F146" s="364">
        <f t="shared" si="40"/>
        <v>0</v>
      </c>
      <c r="G146" s="394">
        <f t="shared" si="41"/>
        <v>1</v>
      </c>
      <c r="H146" s="395">
        <f t="shared" si="42"/>
        <v>0.50419999999999998</v>
      </c>
      <c r="I146" s="364">
        <f t="shared" si="43"/>
        <v>0</v>
      </c>
      <c r="K146" s="364">
        <v>0</v>
      </c>
      <c r="L146" s="394">
        <f t="shared" si="44"/>
        <v>1</v>
      </c>
      <c r="M146" s="395">
        <f t="shared" si="44"/>
        <v>0.50419999999999998</v>
      </c>
      <c r="N146" s="364">
        <f t="shared" si="45"/>
        <v>0</v>
      </c>
    </row>
    <row r="147" spans="1:20">
      <c r="A147" s="112">
        <f t="shared" si="38"/>
        <v>132</v>
      </c>
      <c r="B147" s="431">
        <v>38000</v>
      </c>
      <c r="C147" s="80" t="s">
        <v>1036</v>
      </c>
      <c r="D147" s="364">
        <v>0</v>
      </c>
      <c r="E147" s="364">
        <v>0</v>
      </c>
      <c r="F147" s="364">
        <f t="shared" si="40"/>
        <v>0</v>
      </c>
      <c r="G147" s="394">
        <f t="shared" si="41"/>
        <v>1</v>
      </c>
      <c r="H147" s="395">
        <f t="shared" si="42"/>
        <v>0.50419999999999998</v>
      </c>
      <c r="I147" s="364">
        <f t="shared" si="43"/>
        <v>0</v>
      </c>
      <c r="K147" s="364">
        <v>0</v>
      </c>
      <c r="L147" s="394">
        <f t="shared" si="44"/>
        <v>1</v>
      </c>
      <c r="M147" s="395">
        <f t="shared" si="44"/>
        <v>0.50419999999999998</v>
      </c>
      <c r="N147" s="364">
        <f t="shared" si="45"/>
        <v>0</v>
      </c>
    </row>
    <row r="148" spans="1:20">
      <c r="A148" s="112">
        <f t="shared" si="38"/>
        <v>133</v>
      </c>
      <c r="B148" s="431">
        <v>38100</v>
      </c>
      <c r="C148" s="80" t="s">
        <v>838</v>
      </c>
      <c r="D148" s="364">
        <v>0</v>
      </c>
      <c r="E148" s="364">
        <v>0</v>
      </c>
      <c r="F148" s="364">
        <f t="shared" si="40"/>
        <v>0</v>
      </c>
      <c r="G148" s="394">
        <f t="shared" si="41"/>
        <v>1</v>
      </c>
      <c r="H148" s="395">
        <f t="shared" si="42"/>
        <v>0.50419999999999998</v>
      </c>
      <c r="I148" s="364">
        <f t="shared" si="43"/>
        <v>0</v>
      </c>
      <c r="K148" s="364">
        <v>0</v>
      </c>
      <c r="L148" s="394">
        <f t="shared" si="44"/>
        <v>1</v>
      </c>
      <c r="M148" s="395">
        <f t="shared" si="44"/>
        <v>0.50419999999999998</v>
      </c>
      <c r="N148" s="364">
        <f t="shared" si="45"/>
        <v>0</v>
      </c>
    </row>
    <row r="149" spans="1:20">
      <c r="A149" s="112">
        <f t="shared" si="38"/>
        <v>134</v>
      </c>
      <c r="B149" s="431">
        <v>38200</v>
      </c>
      <c r="C149" s="80" t="s">
        <v>438</v>
      </c>
      <c r="D149" s="364">
        <v>0</v>
      </c>
      <c r="E149" s="364">
        <v>0</v>
      </c>
      <c r="F149" s="364">
        <f t="shared" si="40"/>
        <v>0</v>
      </c>
      <c r="G149" s="394">
        <f t="shared" si="41"/>
        <v>1</v>
      </c>
      <c r="H149" s="395">
        <f t="shared" si="42"/>
        <v>0.50419999999999998</v>
      </c>
      <c r="I149" s="364">
        <f t="shared" si="43"/>
        <v>0</v>
      </c>
      <c r="K149" s="364">
        <v>0</v>
      </c>
      <c r="L149" s="394">
        <f t="shared" si="44"/>
        <v>1</v>
      </c>
      <c r="M149" s="395">
        <f t="shared" si="44"/>
        <v>0.50419999999999998</v>
      </c>
      <c r="N149" s="364">
        <f t="shared" si="45"/>
        <v>0</v>
      </c>
    </row>
    <row r="150" spans="1:20">
      <c r="A150" s="112">
        <f t="shared" si="38"/>
        <v>135</v>
      </c>
      <c r="B150" s="431">
        <v>38300</v>
      </c>
      <c r="C150" s="80" t="s">
        <v>1037</v>
      </c>
      <c r="D150" s="364">
        <v>0</v>
      </c>
      <c r="E150" s="364">
        <v>0</v>
      </c>
      <c r="F150" s="364">
        <f t="shared" si="40"/>
        <v>0</v>
      </c>
      <c r="G150" s="394">
        <f t="shared" si="41"/>
        <v>1</v>
      </c>
      <c r="H150" s="395">
        <f t="shared" si="42"/>
        <v>0.50419999999999998</v>
      </c>
      <c r="I150" s="364">
        <f t="shared" si="43"/>
        <v>0</v>
      </c>
      <c r="K150" s="364">
        <v>0</v>
      </c>
      <c r="L150" s="394">
        <f t="shared" si="44"/>
        <v>1</v>
      </c>
      <c r="M150" s="395">
        <f t="shared" si="44"/>
        <v>0.50419999999999998</v>
      </c>
      <c r="N150" s="364">
        <f t="shared" si="45"/>
        <v>0</v>
      </c>
    </row>
    <row r="151" spans="1:20">
      <c r="A151" s="112">
        <f t="shared" si="38"/>
        <v>136</v>
      </c>
      <c r="B151" s="431">
        <v>38400</v>
      </c>
      <c r="C151" s="80" t="s">
        <v>439</v>
      </c>
      <c r="D151" s="364">
        <v>0</v>
      </c>
      <c r="E151" s="364">
        <v>0</v>
      </c>
      <c r="F151" s="364">
        <f t="shared" si="40"/>
        <v>0</v>
      </c>
      <c r="G151" s="394">
        <f t="shared" si="41"/>
        <v>1</v>
      </c>
      <c r="H151" s="395">
        <f t="shared" si="42"/>
        <v>0.50419999999999998</v>
      </c>
      <c r="I151" s="364">
        <f t="shared" si="43"/>
        <v>0</v>
      </c>
      <c r="K151" s="364">
        <v>0</v>
      </c>
      <c r="L151" s="394">
        <f t="shared" si="44"/>
        <v>1</v>
      </c>
      <c r="M151" s="395">
        <f t="shared" si="44"/>
        <v>0.50419999999999998</v>
      </c>
      <c r="N151" s="364">
        <f t="shared" si="45"/>
        <v>0</v>
      </c>
    </row>
    <row r="152" spans="1:20">
      <c r="A152" s="112">
        <f t="shared" si="38"/>
        <v>137</v>
      </c>
      <c r="B152" s="431">
        <v>38500</v>
      </c>
      <c r="C152" s="80" t="s">
        <v>440</v>
      </c>
      <c r="D152" s="364">
        <v>0</v>
      </c>
      <c r="E152" s="364">
        <v>0</v>
      </c>
      <c r="F152" s="364">
        <f t="shared" si="40"/>
        <v>0</v>
      </c>
      <c r="G152" s="394">
        <f t="shared" si="41"/>
        <v>1</v>
      </c>
      <c r="H152" s="395">
        <f t="shared" si="42"/>
        <v>0.50419999999999998</v>
      </c>
      <c r="I152" s="364">
        <f t="shared" si="43"/>
        <v>0</v>
      </c>
      <c r="K152" s="364">
        <v>0</v>
      </c>
      <c r="L152" s="394">
        <f t="shared" si="44"/>
        <v>1</v>
      </c>
      <c r="M152" s="395">
        <f t="shared" si="44"/>
        <v>0.50419999999999998</v>
      </c>
      <c r="N152" s="364">
        <f t="shared" si="45"/>
        <v>0</v>
      </c>
    </row>
    <row r="153" spans="1:20">
      <c r="A153" s="112">
        <f t="shared" si="38"/>
        <v>138</v>
      </c>
      <c r="B153" s="431">
        <v>38600</v>
      </c>
      <c r="C153" s="80" t="s">
        <v>105</v>
      </c>
      <c r="D153" s="842">
        <v>0</v>
      </c>
      <c r="E153" s="842">
        <v>0</v>
      </c>
      <c r="F153" s="842">
        <f t="shared" si="40"/>
        <v>0</v>
      </c>
      <c r="G153" s="394">
        <f t="shared" si="41"/>
        <v>1</v>
      </c>
      <c r="H153" s="395">
        <f t="shared" si="42"/>
        <v>0.50419999999999998</v>
      </c>
      <c r="I153" s="842">
        <f t="shared" si="43"/>
        <v>0</v>
      </c>
      <c r="K153" s="842">
        <v>0</v>
      </c>
      <c r="L153" s="394">
        <f t="shared" si="44"/>
        <v>1</v>
      </c>
      <c r="M153" s="395">
        <f t="shared" si="44"/>
        <v>0.50419999999999998</v>
      </c>
      <c r="N153" s="842">
        <f t="shared" si="45"/>
        <v>0</v>
      </c>
    </row>
    <row r="154" spans="1:20" ht="15" customHeight="1">
      <c r="A154" s="112">
        <f t="shared" ref="A154:A236" si="46">A153+1</f>
        <v>139</v>
      </c>
      <c r="B154" s="431"/>
      <c r="C154" s="80"/>
      <c r="D154" s="499"/>
      <c r="E154" s="499"/>
      <c r="F154" s="499"/>
      <c r="M154" s="395"/>
    </row>
    <row r="155" spans="1:20" ht="15" customHeight="1">
      <c r="A155" s="112">
        <f t="shared" si="46"/>
        <v>140</v>
      </c>
      <c r="B155" s="431"/>
      <c r="C155" s="80" t="s">
        <v>298</v>
      </c>
      <c r="D155" s="304">
        <f>SUM(D133:D154)</f>
        <v>0</v>
      </c>
      <c r="E155" s="304">
        <f>SUM(E133:E154)</f>
        <v>0</v>
      </c>
      <c r="F155" s="304">
        <f>SUM(F133:F154)</f>
        <v>0</v>
      </c>
      <c r="I155" s="304">
        <f>SUM(I133:I154)</f>
        <v>0</v>
      </c>
      <c r="K155" s="304">
        <f>SUM(K133:K154)</f>
        <v>0</v>
      </c>
      <c r="M155" s="395"/>
      <c r="N155" s="304">
        <f>SUM(N133:N154)</f>
        <v>0</v>
      </c>
    </row>
    <row r="156" spans="1:20">
      <c r="A156" s="112">
        <f t="shared" si="46"/>
        <v>141</v>
      </c>
      <c r="B156" s="431"/>
      <c r="C156" s="80"/>
      <c r="M156" s="395"/>
    </row>
    <row r="157" spans="1:20">
      <c r="A157" s="112">
        <f t="shared" si="46"/>
        <v>142</v>
      </c>
      <c r="B157" s="570"/>
      <c r="C157" s="500" t="s">
        <v>299</v>
      </c>
      <c r="M157" s="395"/>
    </row>
    <row r="158" spans="1:20">
      <c r="A158" s="112">
        <f t="shared" si="46"/>
        <v>143</v>
      </c>
      <c r="B158" s="431">
        <v>39001</v>
      </c>
      <c r="C158" s="80" t="s">
        <v>1483</v>
      </c>
      <c r="D158" s="304">
        <f>[4]Reserve!AF86</f>
        <v>104204.68752700015</v>
      </c>
      <c r="E158" s="304">
        <v>0</v>
      </c>
      <c r="F158" s="304">
        <f t="shared" ref="F158:F179" si="47">D158+E158</f>
        <v>104204.68752700015</v>
      </c>
      <c r="G158" s="395">
        <f t="shared" ref="G158:G179" si="48">$G$16</f>
        <v>1</v>
      </c>
      <c r="H158" s="395">
        <f t="shared" ref="H158:H179" si="49">$H$127</f>
        <v>0.50419999999999998</v>
      </c>
      <c r="I158" s="304">
        <f t="shared" ref="I158:I179" si="50">F158*G158*H158</f>
        <v>52540.003451113473</v>
      </c>
      <c r="K158" s="304">
        <f>[4]Reserve!D86</f>
        <v>101989.85680500012</v>
      </c>
      <c r="L158" s="395">
        <f t="shared" ref="L158:M178" si="51">G158</f>
        <v>1</v>
      </c>
      <c r="M158" s="395">
        <f t="shared" si="51"/>
        <v>0.50419999999999998</v>
      </c>
      <c r="N158" s="304">
        <f t="shared" ref="N158:N179" si="52">K158*L158*M158</f>
        <v>51423.28580108106</v>
      </c>
      <c r="S158" s="395"/>
      <c r="T158" s="395"/>
    </row>
    <row r="159" spans="1:20">
      <c r="A159" s="112">
        <f t="shared" si="46"/>
        <v>144</v>
      </c>
      <c r="B159" s="431">
        <v>39004</v>
      </c>
      <c r="C159" s="80" t="s">
        <v>1467</v>
      </c>
      <c r="D159" s="364">
        <f>[4]Reserve!AF87</f>
        <v>13099.904472750013</v>
      </c>
      <c r="E159" s="364">
        <v>0</v>
      </c>
      <c r="F159" s="364">
        <f t="shared" si="47"/>
        <v>13099.904472750013</v>
      </c>
      <c r="G159" s="394">
        <f t="shared" si="48"/>
        <v>1</v>
      </c>
      <c r="H159" s="395">
        <f t="shared" si="49"/>
        <v>0.50419999999999998</v>
      </c>
      <c r="I159" s="364">
        <f t="shared" si="50"/>
        <v>6604.9718351605561</v>
      </c>
      <c r="K159" s="364">
        <f>[4]Reserve!D87</f>
        <v>12605.31176625001</v>
      </c>
      <c r="L159" s="394">
        <f t="shared" si="51"/>
        <v>1</v>
      </c>
      <c r="M159" s="395">
        <f t="shared" si="51"/>
        <v>0.50419999999999998</v>
      </c>
      <c r="N159" s="364">
        <f t="shared" si="52"/>
        <v>6355.5981925432552</v>
      </c>
      <c r="S159" s="395"/>
      <c r="T159" s="395"/>
    </row>
    <row r="160" spans="1:20">
      <c r="A160" s="112">
        <f t="shared" si="46"/>
        <v>145</v>
      </c>
      <c r="B160" s="431">
        <v>39009</v>
      </c>
      <c r="C160" s="80" t="s">
        <v>1468</v>
      </c>
      <c r="D160" s="364">
        <f>[4]Reserve!AF88</f>
        <v>38834</v>
      </c>
      <c r="E160" s="364">
        <v>0</v>
      </c>
      <c r="F160" s="364">
        <f t="shared" si="47"/>
        <v>38834</v>
      </c>
      <c r="G160" s="394">
        <f t="shared" si="48"/>
        <v>1</v>
      </c>
      <c r="H160" s="395">
        <f t="shared" si="49"/>
        <v>0.50419999999999998</v>
      </c>
      <c r="I160" s="364">
        <f t="shared" si="50"/>
        <v>19580.102800000001</v>
      </c>
      <c r="K160" s="364">
        <f>[4]Reserve!D88</f>
        <v>38834</v>
      </c>
      <c r="L160" s="394">
        <f t="shared" si="51"/>
        <v>1</v>
      </c>
      <c r="M160" s="395">
        <f t="shared" si="51"/>
        <v>0.50419999999999998</v>
      </c>
      <c r="N160" s="364">
        <f t="shared" si="52"/>
        <v>19580.102800000001</v>
      </c>
      <c r="S160" s="395"/>
      <c r="T160" s="395"/>
    </row>
    <row r="161" spans="1:20">
      <c r="A161" s="112">
        <f t="shared" si="46"/>
        <v>146</v>
      </c>
      <c r="B161" s="431">
        <v>39100</v>
      </c>
      <c r="C161" s="80" t="s">
        <v>1469</v>
      </c>
      <c r="D161" s="364">
        <f>[4]Reserve!AF89</f>
        <v>4399.2838750000046</v>
      </c>
      <c r="E161" s="364">
        <v>0</v>
      </c>
      <c r="F161" s="364">
        <f t="shared" si="47"/>
        <v>4399.2838750000046</v>
      </c>
      <c r="G161" s="394">
        <f t="shared" si="48"/>
        <v>1</v>
      </c>
      <c r="H161" s="395">
        <f t="shared" si="49"/>
        <v>0.50419999999999998</v>
      </c>
      <c r="I161" s="364">
        <f t="shared" si="50"/>
        <v>2218.1189297750025</v>
      </c>
      <c r="K161" s="364">
        <f>[4]Reserve!D89</f>
        <v>3726.0856250000038</v>
      </c>
      <c r="L161" s="394">
        <f t="shared" si="51"/>
        <v>1</v>
      </c>
      <c r="M161" s="395">
        <f t="shared" si="51"/>
        <v>0.50419999999999998</v>
      </c>
      <c r="N161" s="364">
        <f t="shared" si="52"/>
        <v>1878.6923721250018</v>
      </c>
      <c r="S161" s="395"/>
      <c r="T161" s="395"/>
    </row>
    <row r="162" spans="1:20">
      <c r="A162" s="112">
        <f t="shared" si="46"/>
        <v>147</v>
      </c>
      <c r="B162" s="431">
        <v>39101</v>
      </c>
      <c r="C162" s="80" t="s">
        <v>1439</v>
      </c>
      <c r="D162" s="364">
        <f>[4]Reserve!AF90</f>
        <v>0</v>
      </c>
      <c r="E162" s="364">
        <v>0</v>
      </c>
      <c r="F162" s="364">
        <f t="shared" si="47"/>
        <v>0</v>
      </c>
      <c r="G162" s="394">
        <f t="shared" si="48"/>
        <v>1</v>
      </c>
      <c r="H162" s="395">
        <f t="shared" si="49"/>
        <v>0.50419999999999998</v>
      </c>
      <c r="I162" s="364">
        <f t="shared" si="50"/>
        <v>0</v>
      </c>
      <c r="K162" s="364">
        <f>[4]Reserve!D90</f>
        <v>0</v>
      </c>
      <c r="L162" s="394">
        <f t="shared" si="51"/>
        <v>1</v>
      </c>
      <c r="M162" s="395">
        <f t="shared" si="51"/>
        <v>0.50419999999999998</v>
      </c>
      <c r="N162" s="364">
        <f t="shared" si="52"/>
        <v>0</v>
      </c>
      <c r="S162" s="395"/>
      <c r="T162" s="395"/>
    </row>
    <row r="163" spans="1:20">
      <c r="A163" s="112">
        <f t="shared" si="46"/>
        <v>148</v>
      </c>
      <c r="B163" s="431">
        <v>39103</v>
      </c>
      <c r="C163" s="80" t="s">
        <v>773</v>
      </c>
      <c r="D163" s="364">
        <f>[4]Reserve!AF91</f>
        <v>0</v>
      </c>
      <c r="E163" s="364">
        <v>0</v>
      </c>
      <c r="F163" s="364">
        <f t="shared" ref="F163:F167" si="53">D163+E163</f>
        <v>0</v>
      </c>
      <c r="G163" s="394">
        <f t="shared" si="48"/>
        <v>1</v>
      </c>
      <c r="H163" s="395">
        <f t="shared" si="49"/>
        <v>0.50419999999999998</v>
      </c>
      <c r="I163" s="364">
        <f t="shared" si="50"/>
        <v>0</v>
      </c>
      <c r="K163" s="364">
        <f>[4]Reserve!D91</f>
        <v>0</v>
      </c>
      <c r="L163" s="394">
        <f t="shared" ref="L163:L168" si="54">G163</f>
        <v>1</v>
      </c>
      <c r="M163" s="395">
        <f t="shared" ref="M163:M168" si="55">H163</f>
        <v>0.50419999999999998</v>
      </c>
      <c r="N163" s="364">
        <f t="shared" si="52"/>
        <v>0</v>
      </c>
      <c r="S163" s="395"/>
      <c r="T163" s="395"/>
    </row>
    <row r="164" spans="1:20">
      <c r="A164" s="112">
        <f t="shared" si="46"/>
        <v>149</v>
      </c>
      <c r="B164" s="431">
        <v>39200</v>
      </c>
      <c r="C164" s="80" t="s">
        <v>1484</v>
      </c>
      <c r="D164" s="364">
        <f>[4]Reserve!AF92</f>
        <v>18641.388025750024</v>
      </c>
      <c r="E164" s="364">
        <v>0</v>
      </c>
      <c r="F164" s="364">
        <f t="shared" si="53"/>
        <v>18641.388025750024</v>
      </c>
      <c r="G164" s="394">
        <f t="shared" si="48"/>
        <v>1</v>
      </c>
      <c r="H164" s="395">
        <f t="shared" si="49"/>
        <v>0.50419999999999998</v>
      </c>
      <c r="I164" s="364">
        <f t="shared" si="50"/>
        <v>9398.9878425831612</v>
      </c>
      <c r="K164" s="364">
        <f>[4]Reserve!D92</f>
        <v>17903.337161250016</v>
      </c>
      <c r="L164" s="394">
        <f t="shared" si="54"/>
        <v>1</v>
      </c>
      <c r="M164" s="395">
        <f t="shared" si="55"/>
        <v>0.50419999999999998</v>
      </c>
      <c r="N164" s="364">
        <f t="shared" si="52"/>
        <v>9026.8625967022581</v>
      </c>
      <c r="S164" s="395"/>
      <c r="T164" s="395"/>
    </row>
    <row r="165" spans="1:20">
      <c r="A165" s="112">
        <f t="shared" si="46"/>
        <v>150</v>
      </c>
      <c r="B165" s="431">
        <v>39300</v>
      </c>
      <c r="C165" s="80" t="s">
        <v>644</v>
      </c>
      <c r="D165" s="364">
        <f>[4]Reserve!AF93</f>
        <v>0</v>
      </c>
      <c r="E165" s="364">
        <v>0</v>
      </c>
      <c r="F165" s="364">
        <f t="shared" si="53"/>
        <v>0</v>
      </c>
      <c r="G165" s="394">
        <f t="shared" si="48"/>
        <v>1</v>
      </c>
      <c r="H165" s="395">
        <f t="shared" si="49"/>
        <v>0.50419999999999998</v>
      </c>
      <c r="I165" s="364">
        <f t="shared" si="50"/>
        <v>0</v>
      </c>
      <c r="K165" s="364">
        <f>[4]Reserve!D93</f>
        <v>0</v>
      </c>
      <c r="L165" s="394">
        <f t="shared" si="54"/>
        <v>1</v>
      </c>
      <c r="M165" s="395">
        <f t="shared" si="55"/>
        <v>0.50419999999999998</v>
      </c>
      <c r="N165" s="364">
        <f t="shared" si="52"/>
        <v>0</v>
      </c>
      <c r="S165" s="395"/>
      <c r="T165" s="395"/>
    </row>
    <row r="166" spans="1:20">
      <c r="A166" s="112">
        <f t="shared" si="46"/>
        <v>151</v>
      </c>
      <c r="B166" s="431">
        <v>39400</v>
      </c>
      <c r="C166" s="80" t="s">
        <v>1472</v>
      </c>
      <c r="D166" s="364">
        <f>[4]Reserve!AF94</f>
        <v>55701.137003999997</v>
      </c>
      <c r="E166" s="364">
        <v>0</v>
      </c>
      <c r="F166" s="364">
        <f t="shared" si="53"/>
        <v>55701.137003999997</v>
      </c>
      <c r="G166" s="394">
        <f t="shared" si="48"/>
        <v>1</v>
      </c>
      <c r="H166" s="395">
        <f t="shared" si="49"/>
        <v>0.50419999999999998</v>
      </c>
      <c r="I166" s="364">
        <f t="shared" si="50"/>
        <v>28084.513277416798</v>
      </c>
      <c r="K166" s="364">
        <f>[4]Reserve!D94</f>
        <v>51967.830032935912</v>
      </c>
      <c r="L166" s="394">
        <f t="shared" si="54"/>
        <v>1</v>
      </c>
      <c r="M166" s="395">
        <f t="shared" si="55"/>
        <v>0.50419999999999998</v>
      </c>
      <c r="N166" s="364">
        <f t="shared" si="52"/>
        <v>26202.179902606287</v>
      </c>
      <c r="S166" s="395"/>
      <c r="T166" s="395"/>
    </row>
    <row r="167" spans="1:20">
      <c r="A167" s="112">
        <f t="shared" si="46"/>
        <v>152</v>
      </c>
      <c r="B167" s="431">
        <v>39600</v>
      </c>
      <c r="C167" s="80" t="s">
        <v>1485</v>
      </c>
      <c r="D167" s="364">
        <f>[4]Reserve!AF95</f>
        <v>13140.603366499985</v>
      </c>
      <c r="E167" s="364">
        <v>0</v>
      </c>
      <c r="F167" s="364">
        <f t="shared" si="53"/>
        <v>13140.603366499985</v>
      </c>
      <c r="G167" s="394">
        <f t="shared" si="48"/>
        <v>1</v>
      </c>
      <c r="H167" s="395">
        <f t="shared" si="49"/>
        <v>0.50419999999999998</v>
      </c>
      <c r="I167" s="364">
        <f t="shared" si="50"/>
        <v>6625.4922173892919</v>
      </c>
      <c r="K167" s="364">
        <f>[4]Reserve!D95</f>
        <v>12625.65954749999</v>
      </c>
      <c r="L167" s="394">
        <f t="shared" si="54"/>
        <v>1</v>
      </c>
      <c r="M167" s="395">
        <f t="shared" si="55"/>
        <v>0.50419999999999998</v>
      </c>
      <c r="N167" s="364">
        <f t="shared" si="52"/>
        <v>6365.8575438494945</v>
      </c>
      <c r="S167" s="395"/>
      <c r="T167" s="395"/>
    </row>
    <row r="168" spans="1:20">
      <c r="A168" s="112">
        <f t="shared" si="46"/>
        <v>153</v>
      </c>
      <c r="B168" s="431">
        <v>39700</v>
      </c>
      <c r="C168" s="80" t="s">
        <v>1476</v>
      </c>
      <c r="D168" s="364">
        <f>[4]Reserve!AF96</f>
        <v>-22686.89</v>
      </c>
      <c r="E168" s="364">
        <v>0</v>
      </c>
      <c r="F168" s="364">
        <f t="shared" si="47"/>
        <v>-22686.89</v>
      </c>
      <c r="G168" s="394">
        <f t="shared" si="48"/>
        <v>1</v>
      </c>
      <c r="H168" s="395">
        <f t="shared" si="49"/>
        <v>0.50419999999999998</v>
      </c>
      <c r="I168" s="364">
        <f t="shared" si="50"/>
        <v>-11438.729937999999</v>
      </c>
      <c r="K168" s="364">
        <f>[4]Reserve!D96</f>
        <v>-22686.890000000007</v>
      </c>
      <c r="L168" s="394">
        <f t="shared" si="54"/>
        <v>1</v>
      </c>
      <c r="M168" s="395">
        <f t="shared" si="55"/>
        <v>0.50419999999999998</v>
      </c>
      <c r="N168" s="364">
        <f t="shared" si="52"/>
        <v>-11438.729938000002</v>
      </c>
      <c r="S168" s="395"/>
      <c r="T168" s="395"/>
    </row>
    <row r="169" spans="1:20">
      <c r="A169" s="112">
        <f t="shared" si="46"/>
        <v>154</v>
      </c>
      <c r="B169" s="431">
        <v>39701</v>
      </c>
      <c r="C169" s="80" t="s">
        <v>1436</v>
      </c>
      <c r="D169" s="364">
        <f>[4]Reserve!AF97</f>
        <v>0</v>
      </c>
      <c r="E169" s="364">
        <v>0</v>
      </c>
      <c r="F169" s="364">
        <f t="shared" si="47"/>
        <v>0</v>
      </c>
      <c r="G169" s="394">
        <f t="shared" si="48"/>
        <v>1</v>
      </c>
      <c r="H169" s="395">
        <f t="shared" si="49"/>
        <v>0.50419999999999998</v>
      </c>
      <c r="I169" s="364">
        <f t="shared" si="50"/>
        <v>0</v>
      </c>
      <c r="K169" s="364">
        <f>[4]Reserve!D97</f>
        <v>0</v>
      </c>
      <c r="L169" s="394">
        <f t="shared" si="51"/>
        <v>1</v>
      </c>
      <c r="M169" s="395">
        <f t="shared" si="51"/>
        <v>0.50419999999999998</v>
      </c>
      <c r="N169" s="364">
        <f t="shared" si="52"/>
        <v>0</v>
      </c>
      <c r="S169" s="395"/>
      <c r="T169" s="395"/>
    </row>
    <row r="170" spans="1:20">
      <c r="A170" s="112">
        <f t="shared" si="46"/>
        <v>155</v>
      </c>
      <c r="B170" s="570">
        <v>39702</v>
      </c>
      <c r="C170" s="80" t="s">
        <v>1436</v>
      </c>
      <c r="D170" s="364">
        <f>[4]Reserve!AF98</f>
        <v>0</v>
      </c>
      <c r="E170" s="364">
        <v>0</v>
      </c>
      <c r="F170" s="364">
        <f t="shared" si="47"/>
        <v>0</v>
      </c>
      <c r="G170" s="394">
        <f t="shared" si="48"/>
        <v>1</v>
      </c>
      <c r="H170" s="395">
        <f t="shared" si="49"/>
        <v>0.50419999999999998</v>
      </c>
      <c r="I170" s="364">
        <f t="shared" si="50"/>
        <v>0</v>
      </c>
      <c r="K170" s="364">
        <f>[4]Reserve!D98</f>
        <v>0</v>
      </c>
      <c r="L170" s="394">
        <f t="shared" si="51"/>
        <v>1</v>
      </c>
      <c r="M170" s="395">
        <f t="shared" si="51"/>
        <v>0.50419999999999998</v>
      </c>
      <c r="N170" s="364">
        <f t="shared" si="52"/>
        <v>0</v>
      </c>
      <c r="S170" s="395"/>
      <c r="T170" s="395"/>
    </row>
    <row r="171" spans="1:20">
      <c r="A171" s="112">
        <f t="shared" si="46"/>
        <v>156</v>
      </c>
      <c r="B171" s="570">
        <v>39800</v>
      </c>
      <c r="C171" s="80" t="s">
        <v>1478</v>
      </c>
      <c r="D171" s="364">
        <f>[4]Reserve!AF99</f>
        <v>-127018.46999999999</v>
      </c>
      <c r="E171" s="364">
        <v>0</v>
      </c>
      <c r="F171" s="364">
        <f t="shared" si="47"/>
        <v>-127018.46999999999</v>
      </c>
      <c r="G171" s="394">
        <f t="shared" si="48"/>
        <v>1</v>
      </c>
      <c r="H171" s="395">
        <f t="shared" si="49"/>
        <v>0.50419999999999998</v>
      </c>
      <c r="I171" s="364">
        <f t="shared" si="50"/>
        <v>-64042.71257399999</v>
      </c>
      <c r="K171" s="364">
        <f>[4]Reserve!D99</f>
        <v>-127018.46999999999</v>
      </c>
      <c r="L171" s="394">
        <f t="shared" si="51"/>
        <v>1</v>
      </c>
      <c r="M171" s="395">
        <f t="shared" si="51"/>
        <v>0.50419999999999998</v>
      </c>
      <c r="N171" s="364">
        <f t="shared" si="52"/>
        <v>-64042.71257399999</v>
      </c>
      <c r="S171" s="395"/>
      <c r="T171" s="395"/>
    </row>
    <row r="172" spans="1:20">
      <c r="A172" s="112">
        <f t="shared" si="46"/>
        <v>157</v>
      </c>
      <c r="B172" s="570">
        <v>39900</v>
      </c>
      <c r="C172" s="80" t="s">
        <v>1486</v>
      </c>
      <c r="D172" s="364">
        <f>[4]Reserve!AF100</f>
        <v>0</v>
      </c>
      <c r="E172" s="364">
        <v>0</v>
      </c>
      <c r="F172" s="364">
        <f t="shared" si="47"/>
        <v>0</v>
      </c>
      <c r="G172" s="394">
        <f t="shared" si="48"/>
        <v>1</v>
      </c>
      <c r="H172" s="395">
        <f t="shared" si="49"/>
        <v>0.50419999999999998</v>
      </c>
      <c r="I172" s="364">
        <f t="shared" si="50"/>
        <v>0</v>
      </c>
      <c r="K172" s="364">
        <f>[4]Reserve!D100</f>
        <v>0</v>
      </c>
      <c r="L172" s="394">
        <f t="shared" si="51"/>
        <v>1</v>
      </c>
      <c r="M172" s="395">
        <f t="shared" si="51"/>
        <v>0.50419999999999998</v>
      </c>
      <c r="N172" s="364">
        <f t="shared" si="52"/>
        <v>0</v>
      </c>
      <c r="S172" s="395"/>
      <c r="T172" s="395"/>
    </row>
    <row r="173" spans="1:20">
      <c r="A173" s="112">
        <f t="shared" si="46"/>
        <v>158</v>
      </c>
      <c r="B173" s="570">
        <v>39901</v>
      </c>
      <c r="C173" s="80" t="s">
        <v>1487</v>
      </c>
      <c r="D173" s="364">
        <f>[4]Reserve!AF101</f>
        <v>0</v>
      </c>
      <c r="E173" s="364">
        <v>0</v>
      </c>
      <c r="F173" s="364">
        <f t="shared" si="47"/>
        <v>0</v>
      </c>
      <c r="G173" s="394">
        <f t="shared" si="48"/>
        <v>1</v>
      </c>
      <c r="H173" s="395">
        <f t="shared" si="49"/>
        <v>0.50419999999999998</v>
      </c>
      <c r="I173" s="364">
        <f t="shared" si="50"/>
        <v>0</v>
      </c>
      <c r="K173" s="364">
        <f>[4]Reserve!D101</f>
        <v>0</v>
      </c>
      <c r="L173" s="394">
        <f t="shared" si="51"/>
        <v>1</v>
      </c>
      <c r="M173" s="395">
        <f t="shared" si="51"/>
        <v>0.50419999999999998</v>
      </c>
      <c r="N173" s="364">
        <f t="shared" si="52"/>
        <v>0</v>
      </c>
      <c r="S173" s="395"/>
      <c r="T173" s="395"/>
    </row>
    <row r="174" spans="1:20">
      <c r="A174" s="112">
        <f t="shared" si="46"/>
        <v>159</v>
      </c>
      <c r="B174" s="570">
        <v>39902</v>
      </c>
      <c r="C174" s="80" t="s">
        <v>1488</v>
      </c>
      <c r="D174" s="364">
        <f>[4]Reserve!AF102</f>
        <v>0</v>
      </c>
      <c r="E174" s="364">
        <v>0</v>
      </c>
      <c r="F174" s="364">
        <f t="shared" si="47"/>
        <v>0</v>
      </c>
      <c r="G174" s="394">
        <f t="shared" si="48"/>
        <v>1</v>
      </c>
      <c r="H174" s="395">
        <f t="shared" si="49"/>
        <v>0.50419999999999998</v>
      </c>
      <c r="I174" s="364">
        <f t="shared" si="50"/>
        <v>0</v>
      </c>
      <c r="K174" s="364">
        <f>[4]Reserve!D102</f>
        <v>0</v>
      </c>
      <c r="L174" s="394">
        <f t="shared" si="51"/>
        <v>1</v>
      </c>
      <c r="M174" s="395">
        <f t="shared" si="51"/>
        <v>0.50419999999999998</v>
      </c>
      <c r="N174" s="364">
        <f t="shared" si="52"/>
        <v>0</v>
      </c>
      <c r="S174" s="395"/>
      <c r="T174" s="395"/>
    </row>
    <row r="175" spans="1:20">
      <c r="A175" s="112">
        <f t="shared" si="46"/>
        <v>160</v>
      </c>
      <c r="B175" s="570">
        <v>39903</v>
      </c>
      <c r="C175" s="80" t="s">
        <v>1479</v>
      </c>
      <c r="D175" s="364">
        <f>[4]Reserve!AF103</f>
        <v>11455.647000000001</v>
      </c>
      <c r="E175" s="364">
        <v>0</v>
      </c>
      <c r="F175" s="364">
        <f t="shared" si="47"/>
        <v>11455.647000000001</v>
      </c>
      <c r="G175" s="394">
        <f t="shared" si="48"/>
        <v>1</v>
      </c>
      <c r="H175" s="395">
        <f t="shared" si="49"/>
        <v>0.50419999999999998</v>
      </c>
      <c r="I175" s="364">
        <f t="shared" si="50"/>
        <v>5775.9372174</v>
      </c>
      <c r="K175" s="364">
        <f>[4]Reserve!D103</f>
        <v>10042.325000000001</v>
      </c>
      <c r="L175" s="394">
        <f t="shared" si="51"/>
        <v>1</v>
      </c>
      <c r="M175" s="395">
        <f t="shared" si="51"/>
        <v>0.50419999999999998</v>
      </c>
      <c r="N175" s="364">
        <f t="shared" si="52"/>
        <v>5063.3402649999998</v>
      </c>
      <c r="S175" s="395"/>
      <c r="T175" s="395"/>
    </row>
    <row r="176" spans="1:20">
      <c r="A176" s="112">
        <f t="shared" si="46"/>
        <v>161</v>
      </c>
      <c r="B176" s="570">
        <v>39906</v>
      </c>
      <c r="C176" s="80" t="s">
        <v>1480</v>
      </c>
      <c r="D176" s="364">
        <f>[4]Reserve!AF104</f>
        <v>1.0089706847793423E-12</v>
      </c>
      <c r="E176" s="364">
        <v>0</v>
      </c>
      <c r="F176" s="364">
        <f t="shared" si="47"/>
        <v>1.0089706847793423E-12</v>
      </c>
      <c r="G176" s="394">
        <f t="shared" si="48"/>
        <v>1</v>
      </c>
      <c r="H176" s="395">
        <f t="shared" si="49"/>
        <v>0.50419999999999998</v>
      </c>
      <c r="I176" s="364">
        <f t="shared" si="50"/>
        <v>5.0872301926574439E-13</v>
      </c>
      <c r="K176" s="364">
        <f>[4]Reserve!D104</f>
        <v>1.0089706847793423E-12</v>
      </c>
      <c r="L176" s="394">
        <f t="shared" si="51"/>
        <v>1</v>
      </c>
      <c r="M176" s="395">
        <f t="shared" si="51"/>
        <v>0.50419999999999998</v>
      </c>
      <c r="N176" s="364">
        <f t="shared" si="52"/>
        <v>5.0872301926574439E-13</v>
      </c>
      <c r="S176" s="395"/>
      <c r="T176" s="395"/>
    </row>
    <row r="177" spans="1:20">
      <c r="A177" s="112">
        <f t="shared" si="46"/>
        <v>162</v>
      </c>
      <c r="B177" s="570">
        <v>39907</v>
      </c>
      <c r="C177" s="80" t="s">
        <v>1481</v>
      </c>
      <c r="D177" s="364">
        <f>[4]Reserve!AF105</f>
        <v>69222.325030000022</v>
      </c>
      <c r="E177" s="364">
        <v>0</v>
      </c>
      <c r="F177" s="364">
        <f t="shared" si="47"/>
        <v>69222.325030000022</v>
      </c>
      <c r="G177" s="394">
        <f t="shared" si="48"/>
        <v>1</v>
      </c>
      <c r="H177" s="395">
        <f t="shared" si="49"/>
        <v>0.50419999999999998</v>
      </c>
      <c r="I177" s="364">
        <f t="shared" si="50"/>
        <v>34901.896280126013</v>
      </c>
      <c r="K177" s="364">
        <f>[4]Reserve!D105</f>
        <v>64330.366450000023</v>
      </c>
      <c r="L177" s="394">
        <f t="shared" si="51"/>
        <v>1</v>
      </c>
      <c r="M177" s="395">
        <f t="shared" si="51"/>
        <v>0.50419999999999998</v>
      </c>
      <c r="N177" s="364">
        <f t="shared" si="52"/>
        <v>32435.37076409001</v>
      </c>
      <c r="S177" s="395"/>
      <c r="T177" s="395"/>
    </row>
    <row r="178" spans="1:20">
      <c r="A178" s="112">
        <f t="shared" si="46"/>
        <v>163</v>
      </c>
      <c r="B178" s="570">
        <v>39908</v>
      </c>
      <c r="C178" s="80" t="s">
        <v>1482</v>
      </c>
      <c r="D178" s="364">
        <f>[4]Reserve!AF106</f>
        <v>237874.80999999994</v>
      </c>
      <c r="E178" s="364">
        <v>0</v>
      </c>
      <c r="F178" s="364">
        <f t="shared" si="47"/>
        <v>237874.80999999994</v>
      </c>
      <c r="G178" s="394">
        <f t="shared" si="48"/>
        <v>1</v>
      </c>
      <c r="H178" s="395">
        <f t="shared" si="49"/>
        <v>0.50419999999999998</v>
      </c>
      <c r="I178" s="364">
        <f t="shared" si="50"/>
        <v>119936.47920199996</v>
      </c>
      <c r="K178" s="364">
        <f>[4]Reserve!D106</f>
        <v>237874.81000000003</v>
      </c>
      <c r="L178" s="394">
        <f t="shared" si="51"/>
        <v>1</v>
      </c>
      <c r="M178" s="395">
        <f t="shared" si="51"/>
        <v>0.50419999999999998</v>
      </c>
      <c r="N178" s="364">
        <f t="shared" si="52"/>
        <v>119936.479202</v>
      </c>
      <c r="S178" s="395"/>
      <c r="T178" s="395"/>
    </row>
    <row r="179" spans="1:20">
      <c r="A179" s="112">
        <f t="shared" si="46"/>
        <v>164</v>
      </c>
      <c r="B179" s="570"/>
      <c r="C179" s="80" t="s">
        <v>1124</v>
      </c>
      <c r="D179" s="364">
        <f>[4]Reserve!AF107</f>
        <v>52517.30000000001</v>
      </c>
      <c r="E179" s="650"/>
      <c r="F179" s="364">
        <f t="shared" si="47"/>
        <v>52517.30000000001</v>
      </c>
      <c r="G179" s="394">
        <f t="shared" si="48"/>
        <v>1</v>
      </c>
      <c r="H179" s="395">
        <f t="shared" si="49"/>
        <v>0.50419999999999998</v>
      </c>
      <c r="I179" s="842">
        <f t="shared" si="50"/>
        <v>26479.222660000003</v>
      </c>
      <c r="K179" s="364">
        <f>[4]Reserve!D107</f>
        <v>52517.30000000001</v>
      </c>
      <c r="L179" s="394">
        <f>G179</f>
        <v>1</v>
      </c>
      <c r="M179" s="395">
        <f>H179</f>
        <v>0.50419999999999998</v>
      </c>
      <c r="N179" s="842">
        <f t="shared" si="52"/>
        <v>26479.222660000003</v>
      </c>
      <c r="S179" s="395"/>
      <c r="T179" s="395"/>
    </row>
    <row r="180" spans="1:20">
      <c r="A180" s="112">
        <f t="shared" si="46"/>
        <v>165</v>
      </c>
      <c r="B180" s="334"/>
      <c r="C180" s="80"/>
      <c r="D180" s="499"/>
      <c r="E180" s="499"/>
      <c r="F180" s="499"/>
      <c r="K180" s="499"/>
    </row>
    <row r="181" spans="1:20" ht="15" customHeight="1">
      <c r="A181" s="112">
        <f t="shared" si="46"/>
        <v>166</v>
      </c>
      <c r="B181" s="334"/>
      <c r="C181" s="80" t="s">
        <v>4</v>
      </c>
      <c r="D181" s="304">
        <f>SUM(D158:D179)</f>
        <v>469385.7263010001</v>
      </c>
      <c r="E181" s="304">
        <f>SUM(E158:E179)</f>
        <v>0</v>
      </c>
      <c r="F181" s="304">
        <f>SUM(F158:F179)</f>
        <v>469385.7263010001</v>
      </c>
      <c r="I181" s="304">
        <f>SUM(I158:I179)</f>
        <v>236664.28320096427</v>
      </c>
      <c r="K181" s="304">
        <f>SUM(K158:K179)</f>
        <v>454711.52238793607</v>
      </c>
      <c r="N181" s="304">
        <f>SUM(N158:N179)</f>
        <v>229265.5495879974</v>
      </c>
    </row>
    <row r="182" spans="1:20" ht="15" customHeight="1">
      <c r="A182" s="112">
        <f t="shared" si="46"/>
        <v>167</v>
      </c>
      <c r="B182" s="334"/>
      <c r="C182" s="80"/>
    </row>
    <row r="183" spans="1:20" ht="15" customHeight="1" thickBot="1">
      <c r="A183" s="112">
        <f t="shared" si="46"/>
        <v>168</v>
      </c>
      <c r="B183" s="334"/>
      <c r="C183" s="205" t="s">
        <v>1279</v>
      </c>
      <c r="D183" s="1059">
        <f>D130+D155+D181</f>
        <v>469385.7263010001</v>
      </c>
      <c r="E183" s="1059">
        <f>E130+E155+E181</f>
        <v>0</v>
      </c>
      <c r="F183" s="1059">
        <f>F130+F155+F181</f>
        <v>469385.7263010001</v>
      </c>
      <c r="I183" s="1059">
        <f>I130+I155+I181</f>
        <v>236664.28320096427</v>
      </c>
      <c r="K183" s="1059">
        <f>K130+K155+K181</f>
        <v>454711.52238793607</v>
      </c>
      <c r="N183" s="1059">
        <f>N130+N155+N181</f>
        <v>229265.5495879974</v>
      </c>
    </row>
    <row r="184" spans="1:20" ht="15" customHeight="1" thickTop="1">
      <c r="A184" s="112">
        <f t="shared" si="46"/>
        <v>169</v>
      </c>
      <c r="B184" s="838"/>
      <c r="D184" s="498"/>
      <c r="E184" s="290"/>
    </row>
    <row r="185" spans="1:20" ht="15" customHeight="1">
      <c r="A185" s="112">
        <f t="shared" si="46"/>
        <v>170</v>
      </c>
      <c r="B185" s="843" t="s">
        <v>8</v>
      </c>
      <c r="D185" s="498"/>
      <c r="E185" s="290"/>
    </row>
    <row r="186" spans="1:20" ht="15" customHeight="1">
      <c r="A186" s="112">
        <f t="shared" si="46"/>
        <v>171</v>
      </c>
      <c r="D186" s="498"/>
    </row>
    <row r="187" spans="1:20" ht="15" customHeight="1">
      <c r="A187" s="112">
        <f t="shared" si="46"/>
        <v>172</v>
      </c>
      <c r="B187" s="334"/>
      <c r="C187" s="500" t="s">
        <v>299</v>
      </c>
      <c r="D187" s="498"/>
    </row>
    <row r="188" spans="1:20" ht="15" customHeight="1">
      <c r="A188" s="112">
        <f t="shared" si="46"/>
        <v>173</v>
      </c>
      <c r="B188" s="431">
        <v>39000</v>
      </c>
      <c r="C188" s="80" t="s">
        <v>1464</v>
      </c>
      <c r="D188" s="304">
        <f>[4]Reserve!AF7</f>
        <v>1219884.94345489</v>
      </c>
      <c r="E188" s="304">
        <v>0</v>
      </c>
      <c r="F188" s="304">
        <f t="shared" ref="F188:F226" si="56">D188+E188</f>
        <v>1219884.94345489</v>
      </c>
      <c r="G188" s="395">
        <f>Allocation!$C$14</f>
        <v>9.8599999999999993E-2</v>
      </c>
      <c r="H188" s="395">
        <f>Allocation!$D$14</f>
        <v>0.50419999999999998</v>
      </c>
      <c r="I188" s="364">
        <f t="shared" ref="I188:I195" si="57">F188*G188*H188</f>
        <v>60645.506465109618</v>
      </c>
      <c r="K188" s="304">
        <f>[4]Reserve!D7</f>
        <v>1048465.2741859489</v>
      </c>
      <c r="L188" s="395">
        <f>G188</f>
        <v>9.8599999999999993E-2</v>
      </c>
      <c r="M188" s="395">
        <f t="shared" ref="M188" si="58">H188</f>
        <v>0.50419999999999998</v>
      </c>
      <c r="N188" s="304">
        <f t="shared" ref="N188:N226" si="59">K188*L188*M188</f>
        <v>52123.52845671316</v>
      </c>
      <c r="P188" s="537"/>
      <c r="S188" s="395"/>
      <c r="T188" s="395"/>
    </row>
    <row r="189" spans="1:20" ht="15" customHeight="1">
      <c r="A189" s="112">
        <f t="shared" si="46"/>
        <v>174</v>
      </c>
      <c r="B189" s="431">
        <v>39005</v>
      </c>
      <c r="C189" s="80" t="s">
        <v>1489</v>
      </c>
      <c r="D189" s="364">
        <f>[4]Reserve!AF8</f>
        <v>4867967.7432697592</v>
      </c>
      <c r="E189" s="502">
        <v>0</v>
      </c>
      <c r="F189" s="364">
        <f t="shared" si="56"/>
        <v>4867967.7432697592</v>
      </c>
      <c r="G189" s="395">
        <v>1</v>
      </c>
      <c r="H189" s="395">
        <f>Allocation!$E$20</f>
        <v>1.559576E-2</v>
      </c>
      <c r="I189" s="364">
        <f t="shared" si="57"/>
        <v>75919.65661177678</v>
      </c>
      <c r="K189" s="364">
        <f>[4]Reserve!D8</f>
        <v>4729701.2566212574</v>
      </c>
      <c r="L189" s="395">
        <f t="shared" ref="L189:L216" si="60">G189</f>
        <v>1</v>
      </c>
      <c r="M189" s="395">
        <f t="shared" ref="M189:M216" si="61">H189</f>
        <v>1.559576E-2</v>
      </c>
      <c r="N189" s="364">
        <f t="shared" si="59"/>
        <v>73763.285669963545</v>
      </c>
      <c r="P189" s="933"/>
      <c r="S189" s="395"/>
      <c r="T189" s="395"/>
    </row>
    <row r="190" spans="1:20" ht="15" customHeight="1">
      <c r="A190" s="112">
        <f t="shared" si="46"/>
        <v>175</v>
      </c>
      <c r="B190" s="431">
        <v>39009</v>
      </c>
      <c r="C190" s="80" t="s">
        <v>1468</v>
      </c>
      <c r="D190" s="364">
        <f>[4]Reserve!AF9</f>
        <v>9874985.680299988</v>
      </c>
      <c r="E190" s="502">
        <v>0</v>
      </c>
      <c r="F190" s="364">
        <f t="shared" si="56"/>
        <v>9874985.680299988</v>
      </c>
      <c r="G190" s="395">
        <f>$G$188</f>
        <v>9.8599999999999993E-2</v>
      </c>
      <c r="H190" s="395">
        <f>$H$188</f>
        <v>0.50419999999999998</v>
      </c>
      <c r="I190" s="364">
        <f t="shared" si="57"/>
        <v>490926.22310871514</v>
      </c>
      <c r="K190" s="364">
        <f>[4]Reserve!D9</f>
        <v>9817388.939874988</v>
      </c>
      <c r="L190" s="395">
        <f t="shared" si="60"/>
        <v>9.8599999999999993E-2</v>
      </c>
      <c r="M190" s="395">
        <f t="shared" si="61"/>
        <v>0.50419999999999998</v>
      </c>
      <c r="N190" s="364">
        <f t="shared" si="59"/>
        <v>488062.85184361791</v>
      </c>
      <c r="P190" s="934"/>
      <c r="S190" s="395"/>
      <c r="T190" s="395"/>
    </row>
    <row r="191" spans="1:20" ht="15" customHeight="1">
      <c r="A191" s="112">
        <f t="shared" si="46"/>
        <v>176</v>
      </c>
      <c r="B191" s="431">
        <v>39020</v>
      </c>
      <c r="C191" s="80" t="s">
        <v>1440</v>
      </c>
      <c r="D191" s="364">
        <f>[4]Reserve!AF10</f>
        <v>300.5145140000003</v>
      </c>
      <c r="E191" s="502">
        <v>0</v>
      </c>
      <c r="F191" s="364">
        <f t="shared" si="56"/>
        <v>300.5145140000003</v>
      </c>
      <c r="G191" s="395">
        <v>1</v>
      </c>
      <c r="H191" s="395">
        <f>Allocation!$E$22</f>
        <v>6.106367E-2</v>
      </c>
      <c r="I191" s="364">
        <f t="shared" si="57"/>
        <v>18.350519113106397</v>
      </c>
      <c r="K191" s="364">
        <f>[4]Reserve!D10</f>
        <v>268.66751000000022</v>
      </c>
      <c r="L191" s="395">
        <f t="shared" si="60"/>
        <v>1</v>
      </c>
      <c r="M191" s="395">
        <f t="shared" si="61"/>
        <v>6.106367E-2</v>
      </c>
      <c r="N191" s="364">
        <f t="shared" si="59"/>
        <v>16.405824170361715</v>
      </c>
      <c r="P191" s="537"/>
      <c r="S191" s="395"/>
      <c r="T191" s="395"/>
    </row>
    <row r="192" spans="1:20" ht="15" customHeight="1">
      <c r="A192" s="112">
        <f t="shared" si="46"/>
        <v>177</v>
      </c>
      <c r="B192" s="431">
        <v>39029</v>
      </c>
      <c r="C192" s="80" t="s">
        <v>1441</v>
      </c>
      <c r="D192" s="364">
        <f>[4]Reserve!AF11</f>
        <v>4300.4967312499984</v>
      </c>
      <c r="E192" s="502">
        <f>0</f>
        <v>0</v>
      </c>
      <c r="F192" s="364">
        <f t="shared" si="56"/>
        <v>4300.4967312499984</v>
      </c>
      <c r="G192" s="395">
        <v>1</v>
      </c>
      <c r="H192" s="395">
        <f>Allocation!$E$22</f>
        <v>6.106367E-2</v>
      </c>
      <c r="I192" s="364">
        <f t="shared" si="57"/>
        <v>262.6041132331286</v>
      </c>
      <c r="K192" s="364">
        <f>[4]Reserve!D11</f>
        <v>3783.3490937499982</v>
      </c>
      <c r="L192" s="395">
        <f t="shared" si="60"/>
        <v>1</v>
      </c>
      <c r="M192" s="395">
        <f t="shared" si="61"/>
        <v>6.106367E-2</v>
      </c>
      <c r="N192" s="364">
        <f t="shared" si="59"/>
        <v>231.02518055554896</v>
      </c>
      <c r="P192" s="537"/>
      <c r="S192" s="395"/>
      <c r="T192" s="395"/>
    </row>
    <row r="193" spans="1:20" ht="15" customHeight="1">
      <c r="A193" s="112">
        <f t="shared" si="46"/>
        <v>178</v>
      </c>
      <c r="B193" s="431">
        <v>39100</v>
      </c>
      <c r="C193" s="80" t="s">
        <v>1469</v>
      </c>
      <c r="D193" s="364">
        <f>[4]Reserve!AF12</f>
        <v>2945456.1350195082</v>
      </c>
      <c r="E193" s="502">
        <f>0</f>
        <v>0</v>
      </c>
      <c r="F193" s="364">
        <f t="shared" ref="F193:F206" si="62">D193+E193</f>
        <v>2945456.1350195082</v>
      </c>
      <c r="G193" s="395">
        <f>$G$188</f>
        <v>9.8599999999999993E-2</v>
      </c>
      <c r="H193" s="395">
        <f>$H$188</f>
        <v>0.50419999999999998</v>
      </c>
      <c r="I193" s="364">
        <f t="shared" si="57"/>
        <v>146430.75975109602</v>
      </c>
      <c r="K193" s="364">
        <f>[4]Reserve!D12</f>
        <v>2801840.2536219093</v>
      </c>
      <c r="L193" s="395">
        <f t="shared" si="60"/>
        <v>9.8599999999999993E-2</v>
      </c>
      <c r="M193" s="395">
        <f t="shared" si="61"/>
        <v>0.50419999999999998</v>
      </c>
      <c r="N193" s="364">
        <f t="shared" si="59"/>
        <v>139291.02258939002</v>
      </c>
      <c r="P193" s="537"/>
      <c r="S193" s="395"/>
      <c r="T193" s="395"/>
    </row>
    <row r="194" spans="1:20" ht="15" customHeight="1">
      <c r="A194" s="112">
        <f t="shared" si="46"/>
        <v>179</v>
      </c>
      <c r="B194" s="431">
        <v>39102</v>
      </c>
      <c r="C194" s="80" t="s">
        <v>1490</v>
      </c>
      <c r="D194" s="364">
        <f>[4]Reserve!AF13</f>
        <v>1.26</v>
      </c>
      <c r="E194" s="502">
        <f>0</f>
        <v>0</v>
      </c>
      <c r="F194" s="364">
        <f t="shared" si="62"/>
        <v>1.26</v>
      </c>
      <c r="G194" s="395">
        <f>$G$188</f>
        <v>9.8599999999999993E-2</v>
      </c>
      <c r="H194" s="395">
        <f>$H$188</f>
        <v>0.50419999999999998</v>
      </c>
      <c r="I194" s="364">
        <f t="shared" si="57"/>
        <v>6.2639791200000003E-2</v>
      </c>
      <c r="K194" s="364">
        <f>[4]Reserve!D13</f>
        <v>1.26</v>
      </c>
      <c r="L194" s="395">
        <f t="shared" si="60"/>
        <v>9.8599999999999993E-2</v>
      </c>
      <c r="M194" s="395">
        <f t="shared" si="61"/>
        <v>0.50419999999999998</v>
      </c>
      <c r="N194" s="364">
        <f t="shared" si="59"/>
        <v>6.2639791200000003E-2</v>
      </c>
      <c r="P194" s="537"/>
      <c r="S194" s="395"/>
      <c r="T194" s="395"/>
    </row>
    <row r="195" spans="1:20" ht="15" customHeight="1">
      <c r="A195" s="112">
        <f t="shared" si="46"/>
        <v>180</v>
      </c>
      <c r="B195" s="431">
        <v>39103</v>
      </c>
      <c r="C195" s="80" t="s">
        <v>1275</v>
      </c>
      <c r="D195" s="364">
        <f>[4]Reserve!AF14</f>
        <v>0.45</v>
      </c>
      <c r="E195" s="502">
        <f>0</f>
        <v>0</v>
      </c>
      <c r="F195" s="364">
        <f t="shared" si="62"/>
        <v>0.45</v>
      </c>
      <c r="G195" s="395">
        <f>$G$188</f>
        <v>9.8599999999999993E-2</v>
      </c>
      <c r="H195" s="395">
        <f>$H$188</f>
        <v>0.50419999999999998</v>
      </c>
      <c r="I195" s="364">
        <f t="shared" si="57"/>
        <v>2.2371354E-2</v>
      </c>
      <c r="K195" s="364">
        <f>[4]Reserve!D14</f>
        <v>0.45000000000000012</v>
      </c>
      <c r="L195" s="395">
        <f t="shared" si="60"/>
        <v>9.8599999999999993E-2</v>
      </c>
      <c r="M195" s="395">
        <f t="shared" si="61"/>
        <v>0.50419999999999998</v>
      </c>
      <c r="N195" s="364">
        <f t="shared" si="59"/>
        <v>2.2371354000000003E-2</v>
      </c>
      <c r="P195" s="537"/>
      <c r="S195" s="395"/>
      <c r="T195" s="395"/>
    </row>
    <row r="196" spans="1:20" ht="15" customHeight="1">
      <c r="A196" s="112">
        <f t="shared" si="46"/>
        <v>181</v>
      </c>
      <c r="B196" s="431">
        <v>39104</v>
      </c>
      <c r="C196" s="80" t="s">
        <v>1491</v>
      </c>
      <c r="D196" s="364">
        <f>[4]Reserve!AF15</f>
        <v>44221.907371000008</v>
      </c>
      <c r="E196" s="502">
        <f>0</f>
        <v>0</v>
      </c>
      <c r="F196" s="364">
        <f t="shared" si="62"/>
        <v>44221.907371000008</v>
      </c>
      <c r="G196" s="395">
        <v>1</v>
      </c>
      <c r="H196" s="395">
        <f>Allocation!$E$20</f>
        <v>1.559576E-2</v>
      </c>
      <c r="I196" s="364">
        <f>F196*G196*H196</f>
        <v>689.67425410034707</v>
      </c>
      <c r="K196" s="364">
        <f>[4]Reserve!D15</f>
        <v>42815.385265000004</v>
      </c>
      <c r="L196" s="395">
        <f t="shared" si="60"/>
        <v>1</v>
      </c>
      <c r="M196" s="395">
        <f t="shared" si="61"/>
        <v>1.559576E-2</v>
      </c>
      <c r="N196" s="364">
        <f t="shared" si="59"/>
        <v>667.73847290047649</v>
      </c>
      <c r="P196" s="933"/>
      <c r="S196" s="395"/>
      <c r="T196" s="395"/>
    </row>
    <row r="197" spans="1:20" ht="15" customHeight="1">
      <c r="A197" s="112">
        <f t="shared" si="46"/>
        <v>182</v>
      </c>
      <c r="B197" s="431">
        <v>39120</v>
      </c>
      <c r="C197" s="80" t="s">
        <v>1442</v>
      </c>
      <c r="D197" s="364">
        <f>[4]Reserve!AF16</f>
        <v>149428.80577700009</v>
      </c>
      <c r="E197" s="502">
        <f>0</f>
        <v>0</v>
      </c>
      <c r="F197" s="364">
        <f t="shared" si="62"/>
        <v>149428.80577700009</v>
      </c>
      <c r="G197" s="395">
        <v>1</v>
      </c>
      <c r="H197" s="395">
        <f>Allocation!$E$22</f>
        <v>6.106367E-2</v>
      </c>
      <c r="I197" s="364">
        <f t="shared" ref="I197:I226" si="63">F197*G197*H197</f>
        <v>9124.6712844608264</v>
      </c>
      <c r="K197" s="364">
        <f>[4]Reserve!D16</f>
        <v>144214.71555500006</v>
      </c>
      <c r="L197" s="395">
        <f t="shared" si="60"/>
        <v>1</v>
      </c>
      <c r="M197" s="395">
        <f t="shared" si="61"/>
        <v>6.106367E-2</v>
      </c>
      <c r="N197" s="364">
        <f t="shared" si="59"/>
        <v>8806.2797997943908</v>
      </c>
      <c r="P197" s="537"/>
      <c r="S197" s="395"/>
      <c r="T197" s="395"/>
    </row>
    <row r="198" spans="1:20" ht="15" customHeight="1">
      <c r="A198" s="112">
        <f t="shared" si="46"/>
        <v>183</v>
      </c>
      <c r="B198" s="431">
        <v>39200</v>
      </c>
      <c r="C198" s="80" t="s">
        <v>1470</v>
      </c>
      <c r="D198" s="364">
        <f>[4]Reserve!AF17</f>
        <v>106971.13361832604</v>
      </c>
      <c r="E198" s="502">
        <f>0</f>
        <v>0</v>
      </c>
      <c r="F198" s="364">
        <f t="shared" si="62"/>
        <v>106971.13361832604</v>
      </c>
      <c r="G198" s="395">
        <f t="shared" ref="G198:G200" si="64">$G$188</f>
        <v>9.8599999999999993E-2</v>
      </c>
      <c r="H198" s="395">
        <f t="shared" ref="H198:H200" si="65">$H$188</f>
        <v>0.50419999999999998</v>
      </c>
      <c r="I198" s="364">
        <f t="shared" si="63"/>
        <v>5317.9757732374946</v>
      </c>
      <c r="K198" s="364">
        <f>[4]Reserve!D17</f>
        <v>93313.295705042852</v>
      </c>
      <c r="L198" s="395">
        <f t="shared" si="60"/>
        <v>9.8599999999999993E-2</v>
      </c>
      <c r="M198" s="395">
        <f t="shared" si="61"/>
        <v>0.50419999999999998</v>
      </c>
      <c r="N198" s="364">
        <f t="shared" si="59"/>
        <v>4638.9883802759841</v>
      </c>
      <c r="P198" s="537"/>
      <c r="S198" s="395"/>
      <c r="T198" s="395"/>
    </row>
    <row r="199" spans="1:20" ht="15" customHeight="1">
      <c r="A199" s="112">
        <f t="shared" si="46"/>
        <v>184</v>
      </c>
      <c r="B199" s="431">
        <v>39300</v>
      </c>
      <c r="C199" s="80" t="s">
        <v>1492</v>
      </c>
      <c r="D199" s="364">
        <f>[4]Reserve!AF18</f>
        <v>0</v>
      </c>
      <c r="E199" s="502">
        <f>0</f>
        <v>0</v>
      </c>
      <c r="F199" s="364">
        <f t="shared" si="62"/>
        <v>0</v>
      </c>
      <c r="G199" s="395">
        <f t="shared" si="64"/>
        <v>9.8599999999999993E-2</v>
      </c>
      <c r="H199" s="395">
        <f t="shared" si="65"/>
        <v>0.50419999999999998</v>
      </c>
      <c r="I199" s="364">
        <f t="shared" si="63"/>
        <v>0</v>
      </c>
      <c r="K199" s="364">
        <f>[4]Reserve!D18</f>
        <v>0</v>
      </c>
      <c r="L199" s="395">
        <f t="shared" si="60"/>
        <v>9.8599999999999993E-2</v>
      </c>
      <c r="M199" s="395">
        <f t="shared" si="61"/>
        <v>0.50419999999999998</v>
      </c>
      <c r="N199" s="364">
        <f t="shared" si="59"/>
        <v>0</v>
      </c>
      <c r="P199" s="537"/>
      <c r="S199" s="395"/>
      <c r="T199" s="395"/>
    </row>
    <row r="200" spans="1:20" ht="15" customHeight="1">
      <c r="A200" s="112">
        <f t="shared" si="46"/>
        <v>185</v>
      </c>
      <c r="B200" s="431">
        <v>39400</v>
      </c>
      <c r="C200" s="80" t="s">
        <v>1472</v>
      </c>
      <c r="D200" s="364">
        <f>[4]Reserve!AF19</f>
        <v>59939.609526500077</v>
      </c>
      <c r="E200" s="502">
        <f>0</f>
        <v>0</v>
      </c>
      <c r="F200" s="364">
        <f t="shared" si="62"/>
        <v>59939.609526500077</v>
      </c>
      <c r="G200" s="395">
        <f t="shared" si="64"/>
        <v>9.8599999999999993E-2</v>
      </c>
      <c r="H200" s="395">
        <f t="shared" si="65"/>
        <v>0.50419999999999998</v>
      </c>
      <c r="I200" s="364">
        <f t="shared" si="63"/>
        <v>2979.8449407535677</v>
      </c>
      <c r="K200" s="364">
        <f>[4]Reserve!D19</f>
        <v>56756.023947500049</v>
      </c>
      <c r="L200" s="395">
        <f t="shared" si="60"/>
        <v>9.8599999999999993E-2</v>
      </c>
      <c r="M200" s="395">
        <f t="shared" si="61"/>
        <v>0.50419999999999998</v>
      </c>
      <c r="N200" s="364">
        <f t="shared" si="59"/>
        <v>2821.575785248891</v>
      </c>
      <c r="P200" s="537"/>
      <c r="S200" s="395"/>
      <c r="T200" s="395"/>
    </row>
    <row r="201" spans="1:20" ht="15" customHeight="1">
      <c r="A201" s="112">
        <f t="shared" si="46"/>
        <v>186</v>
      </c>
      <c r="B201" s="431">
        <v>39420</v>
      </c>
      <c r="C201" s="80" t="s">
        <v>1443</v>
      </c>
      <c r="D201" s="364">
        <f>[4]Reserve!AF20</f>
        <v>388.07</v>
      </c>
      <c r="E201" s="502">
        <f>0</f>
        <v>0</v>
      </c>
      <c r="F201" s="364">
        <f t="shared" si="62"/>
        <v>388.07</v>
      </c>
      <c r="G201" s="395">
        <v>1</v>
      </c>
      <c r="H201" s="395">
        <f>Allocation!$E$22</f>
        <v>6.106367E-2</v>
      </c>
      <c r="I201" s="364">
        <f t="shared" si="63"/>
        <v>23.696978416899999</v>
      </c>
      <c r="K201" s="364">
        <f>[4]Reserve!D20</f>
        <v>388.07</v>
      </c>
      <c r="L201" s="395">
        <f t="shared" si="60"/>
        <v>1</v>
      </c>
      <c r="M201" s="395">
        <f t="shared" si="61"/>
        <v>6.106367E-2</v>
      </c>
      <c r="N201" s="364">
        <f t="shared" si="59"/>
        <v>23.696978416899999</v>
      </c>
      <c r="P201" s="537"/>
      <c r="S201" s="395"/>
      <c r="T201" s="395"/>
    </row>
    <row r="202" spans="1:20" ht="15" customHeight="1">
      <c r="A202" s="112">
        <f t="shared" si="46"/>
        <v>187</v>
      </c>
      <c r="B202" s="431">
        <v>39500</v>
      </c>
      <c r="C202" s="80" t="s">
        <v>1493</v>
      </c>
      <c r="D202" s="364">
        <f>[4]Reserve!AF21</f>
        <v>0</v>
      </c>
      <c r="E202" s="502">
        <f>0</f>
        <v>0</v>
      </c>
      <c r="F202" s="364">
        <f t="shared" si="62"/>
        <v>0</v>
      </c>
      <c r="G202" s="395">
        <f t="shared" ref="G202" si="66">$G$188</f>
        <v>9.8599999999999993E-2</v>
      </c>
      <c r="H202" s="395">
        <f t="shared" ref="H202" si="67">$H$188</f>
        <v>0.50419999999999998</v>
      </c>
      <c r="I202" s="364">
        <f t="shared" si="63"/>
        <v>0</v>
      </c>
      <c r="K202" s="364">
        <f>[4]Reserve!D21</f>
        <v>0</v>
      </c>
      <c r="L202" s="395">
        <f t="shared" si="60"/>
        <v>9.8599999999999993E-2</v>
      </c>
      <c r="M202" s="395">
        <f t="shared" si="61"/>
        <v>0.50419999999999998</v>
      </c>
      <c r="N202" s="364">
        <f t="shared" si="59"/>
        <v>0</v>
      </c>
      <c r="P202" s="537"/>
      <c r="S202" s="395"/>
      <c r="T202" s="395"/>
    </row>
    <row r="203" spans="1:20" ht="15" customHeight="1">
      <c r="A203" s="112">
        <f t="shared" si="46"/>
        <v>188</v>
      </c>
      <c r="B203" s="431">
        <v>39700</v>
      </c>
      <c r="C203" s="80" t="s">
        <v>1476</v>
      </c>
      <c r="D203" s="364">
        <f>[4]Reserve!AF22</f>
        <v>40113.366444720989</v>
      </c>
      <c r="E203" s="502">
        <f>0</f>
        <v>0</v>
      </c>
      <c r="F203" s="364">
        <f t="shared" si="62"/>
        <v>40113.366444720989</v>
      </c>
      <c r="G203" s="395">
        <f t="shared" ref="G203:G226" si="68">$G$188</f>
        <v>9.8599999999999993E-2</v>
      </c>
      <c r="H203" s="395">
        <f t="shared" ref="H203:H226" si="69">$H$188</f>
        <v>0.50419999999999998</v>
      </c>
      <c r="I203" s="364">
        <f t="shared" si="63"/>
        <v>1994.2007130368324</v>
      </c>
      <c r="K203" s="364">
        <f>[4]Reserve!D22</f>
        <v>26598.868896146072</v>
      </c>
      <c r="L203" s="395">
        <f t="shared" si="60"/>
        <v>9.8599999999999993E-2</v>
      </c>
      <c r="M203" s="395">
        <f t="shared" si="61"/>
        <v>0.50419999999999998</v>
      </c>
      <c r="N203" s="364">
        <f t="shared" si="59"/>
        <v>1322.3393601672733</v>
      </c>
      <c r="P203" s="537"/>
      <c r="S203" s="395"/>
      <c r="T203" s="395"/>
    </row>
    <row r="204" spans="1:20" ht="15" customHeight="1">
      <c r="A204" s="112">
        <f t="shared" si="46"/>
        <v>189</v>
      </c>
      <c r="B204" s="431">
        <v>39720</v>
      </c>
      <c r="C204" s="80" t="s">
        <v>1444</v>
      </c>
      <c r="D204" s="364">
        <f>[4]Reserve!AF23</f>
        <v>6117.9535655000009</v>
      </c>
      <c r="E204" s="502">
        <f>0</f>
        <v>0</v>
      </c>
      <c r="F204" s="364">
        <f t="shared" si="62"/>
        <v>6117.9535655000009</v>
      </c>
      <c r="G204" s="395">
        <v>1</v>
      </c>
      <c r="H204" s="395">
        <f>Allocation!$E$22</f>
        <v>6.106367E-2</v>
      </c>
      <c r="I204" s="364">
        <f t="shared" si="63"/>
        <v>373.58469759901544</v>
      </c>
      <c r="K204" s="364">
        <f>[4]Reserve!D23</f>
        <v>5821.4557414999999</v>
      </c>
      <c r="L204" s="395">
        <f t="shared" si="60"/>
        <v>1</v>
      </c>
      <c r="M204" s="395">
        <f t="shared" si="61"/>
        <v>6.106367E-2</v>
      </c>
      <c r="N204" s="364">
        <f t="shared" si="59"/>
        <v>355.4794523185613</v>
      </c>
      <c r="P204" s="537"/>
      <c r="S204" s="395"/>
      <c r="T204" s="395"/>
    </row>
    <row r="205" spans="1:20" ht="15" customHeight="1">
      <c r="A205" s="112">
        <f t="shared" si="46"/>
        <v>190</v>
      </c>
      <c r="B205" s="431">
        <v>39800</v>
      </c>
      <c r="C205" s="80" t="s">
        <v>1478</v>
      </c>
      <c r="D205" s="364">
        <f>[4]Reserve!AF24</f>
        <v>72366.724454000039</v>
      </c>
      <c r="E205" s="502">
        <f>0</f>
        <v>0</v>
      </c>
      <c r="F205" s="364">
        <f t="shared" si="62"/>
        <v>72366.724454000039</v>
      </c>
      <c r="G205" s="395">
        <f t="shared" si="68"/>
        <v>9.8599999999999993E-2</v>
      </c>
      <c r="H205" s="395">
        <f t="shared" si="69"/>
        <v>0.50419999999999998</v>
      </c>
      <c r="I205" s="364">
        <f t="shared" si="63"/>
        <v>3597.6480235130916</v>
      </c>
      <c r="K205" s="364">
        <f>[4]Reserve!D24</f>
        <v>67425.079830000002</v>
      </c>
      <c r="L205" s="395">
        <f t="shared" si="60"/>
        <v>9.8599999999999993E-2</v>
      </c>
      <c r="M205" s="395">
        <f t="shared" si="61"/>
        <v>0.50419999999999998</v>
      </c>
      <c r="N205" s="364">
        <f t="shared" si="59"/>
        <v>3351.9785096781993</v>
      </c>
      <c r="P205" s="537"/>
      <c r="S205" s="395"/>
      <c r="T205" s="395"/>
    </row>
    <row r="206" spans="1:20" ht="15" customHeight="1">
      <c r="A206" s="112">
        <f t="shared" si="46"/>
        <v>191</v>
      </c>
      <c r="B206" s="431">
        <v>39820</v>
      </c>
      <c r="C206" s="80" t="s">
        <v>1445</v>
      </c>
      <c r="D206" s="364">
        <f>[4]Reserve!AF25</f>
        <v>2223.7538092499999</v>
      </c>
      <c r="E206" s="502">
        <f>0</f>
        <v>0</v>
      </c>
      <c r="F206" s="364">
        <f t="shared" si="62"/>
        <v>2223.7538092499999</v>
      </c>
      <c r="G206" s="395">
        <v>1</v>
      </c>
      <c r="H206" s="395">
        <f>Allocation!$E$22</f>
        <v>6.106367E-2</v>
      </c>
      <c r="I206" s="364">
        <f t="shared" si="63"/>
        <v>135.79056876928493</v>
      </c>
      <c r="K206" s="364">
        <f>[4]Reserve!D25</f>
        <v>1956.2940912500001</v>
      </c>
      <c r="L206" s="395">
        <f t="shared" si="60"/>
        <v>1</v>
      </c>
      <c r="M206" s="395">
        <f t="shared" si="61"/>
        <v>6.106367E-2</v>
      </c>
      <c r="N206" s="364">
        <f t="shared" si="59"/>
        <v>119.45849681103989</v>
      </c>
      <c r="P206" s="537"/>
      <c r="S206" s="395"/>
      <c r="T206" s="395"/>
    </row>
    <row r="207" spans="1:20" ht="15" customHeight="1">
      <c r="A207" s="112">
        <f t="shared" si="46"/>
        <v>192</v>
      </c>
      <c r="B207" s="431">
        <v>39900</v>
      </c>
      <c r="C207" s="80" t="s">
        <v>1494</v>
      </c>
      <c r="D207" s="364">
        <f>[4]Reserve!AF26</f>
        <v>-0.06</v>
      </c>
      <c r="E207" s="502">
        <v>0</v>
      </c>
      <c r="F207" s="364">
        <f t="shared" si="56"/>
        <v>-0.06</v>
      </c>
      <c r="G207" s="395">
        <f t="shared" si="68"/>
        <v>9.8599999999999993E-2</v>
      </c>
      <c r="H207" s="395">
        <f t="shared" si="69"/>
        <v>0.50419999999999998</v>
      </c>
      <c r="I207" s="364">
        <f t="shared" si="63"/>
        <v>-2.9828471999999995E-3</v>
      </c>
      <c r="K207" s="364">
        <f>[4]Reserve!D26</f>
        <v>-6.0000000000000019E-2</v>
      </c>
      <c r="L207" s="395">
        <f t="shared" si="60"/>
        <v>9.8599999999999993E-2</v>
      </c>
      <c r="M207" s="395">
        <f t="shared" si="61"/>
        <v>0.50419999999999998</v>
      </c>
      <c r="N207" s="364">
        <f t="shared" si="59"/>
        <v>-2.9828472000000003E-3</v>
      </c>
      <c r="P207" s="935"/>
      <c r="S207" s="395"/>
      <c r="T207" s="395"/>
    </row>
    <row r="208" spans="1:20" ht="15" customHeight="1">
      <c r="A208" s="112">
        <f t="shared" si="46"/>
        <v>193</v>
      </c>
      <c r="B208" s="431">
        <v>39901</v>
      </c>
      <c r="C208" s="72" t="s">
        <v>1487</v>
      </c>
      <c r="D208" s="364">
        <f>[4]Reserve!AF27</f>
        <v>9230682.1983735431</v>
      </c>
      <c r="E208" s="502">
        <v>0</v>
      </c>
      <c r="F208" s="364">
        <f t="shared" si="56"/>
        <v>9230682.1983735431</v>
      </c>
      <c r="G208" s="395">
        <f t="shared" si="68"/>
        <v>9.8599999999999993E-2</v>
      </c>
      <c r="H208" s="395">
        <f t="shared" si="69"/>
        <v>0.50419999999999998</v>
      </c>
      <c r="I208" s="364">
        <f t="shared" si="63"/>
        <v>458895.24249180604</v>
      </c>
      <c r="K208" s="364">
        <f>[4]Reserve!D27</f>
        <v>6106645.9834783264</v>
      </c>
      <c r="L208" s="395">
        <f t="shared" si="60"/>
        <v>9.8599999999999993E-2</v>
      </c>
      <c r="M208" s="395">
        <f t="shared" si="61"/>
        <v>0.50419999999999998</v>
      </c>
      <c r="N208" s="364">
        <f t="shared" si="59"/>
        <v>303586.53122015955</v>
      </c>
      <c r="P208" s="537"/>
      <c r="S208" s="395"/>
      <c r="T208" s="395"/>
    </row>
    <row r="209" spans="1:20" ht="15" customHeight="1">
      <c r="A209" s="112">
        <f t="shared" si="46"/>
        <v>194</v>
      </c>
      <c r="B209" s="431">
        <v>39902</v>
      </c>
      <c r="C209" s="80" t="s">
        <v>1488</v>
      </c>
      <c r="D209" s="364">
        <f>[4]Reserve!AF28</f>
        <v>8408446.789689932</v>
      </c>
      <c r="E209" s="502">
        <v>0</v>
      </c>
      <c r="F209" s="364">
        <f t="shared" si="56"/>
        <v>8408446.789689932</v>
      </c>
      <c r="G209" s="395">
        <f t="shared" si="68"/>
        <v>9.8599999999999993E-2</v>
      </c>
      <c r="H209" s="395">
        <f t="shared" si="69"/>
        <v>0.50419999999999998</v>
      </c>
      <c r="I209" s="364">
        <f t="shared" si="63"/>
        <v>418018.53271626</v>
      </c>
      <c r="K209" s="364">
        <f>[4]Reserve!D28</f>
        <v>8177290.6087893983</v>
      </c>
      <c r="L209" s="395">
        <f t="shared" si="60"/>
        <v>9.8599999999999993E-2</v>
      </c>
      <c r="M209" s="395">
        <f t="shared" si="61"/>
        <v>0.50419999999999998</v>
      </c>
      <c r="N209" s="364">
        <f t="shared" si="59"/>
        <v>406526.80660022917</v>
      </c>
      <c r="P209" s="537"/>
      <c r="S209" s="395"/>
      <c r="T209" s="395"/>
    </row>
    <row r="210" spans="1:20" ht="15" customHeight="1">
      <c r="A210" s="112">
        <f t="shared" si="46"/>
        <v>195</v>
      </c>
      <c r="B210" s="431">
        <v>39903</v>
      </c>
      <c r="C210" s="80" t="s">
        <v>1479</v>
      </c>
      <c r="D210" s="364">
        <f>[4]Reserve!AF29</f>
        <v>1505785.7886902255</v>
      </c>
      <c r="E210" s="502">
        <v>0</v>
      </c>
      <c r="F210" s="364">
        <f t="shared" si="56"/>
        <v>1505785.7886902255</v>
      </c>
      <c r="G210" s="395">
        <f t="shared" si="68"/>
        <v>9.8599999999999993E-2</v>
      </c>
      <c r="H210" s="395">
        <f t="shared" si="69"/>
        <v>0.50419999999999998</v>
      </c>
      <c r="I210" s="364">
        <f t="shared" si="63"/>
        <v>74858.815393240497</v>
      </c>
      <c r="K210" s="364">
        <f>[4]Reserve!D29</f>
        <v>1305267.9975451964</v>
      </c>
      <c r="L210" s="395">
        <f t="shared" si="60"/>
        <v>9.8599999999999993E-2</v>
      </c>
      <c r="M210" s="395">
        <f t="shared" si="61"/>
        <v>0.50419999999999998</v>
      </c>
      <c r="N210" s="364">
        <f t="shared" si="59"/>
        <v>64890.249862121593</v>
      </c>
      <c r="P210" s="537"/>
      <c r="S210" s="395"/>
      <c r="T210" s="395"/>
    </row>
    <row r="211" spans="1:20" ht="15" customHeight="1">
      <c r="A211" s="112">
        <f t="shared" si="46"/>
        <v>196</v>
      </c>
      <c r="B211" s="431">
        <v>39904</v>
      </c>
      <c r="C211" s="80" t="s">
        <v>1495</v>
      </c>
      <c r="D211" s="364">
        <f>[4]Reserve!AF30</f>
        <v>0</v>
      </c>
      <c r="E211" s="502">
        <v>0</v>
      </c>
      <c r="F211" s="364">
        <f t="shared" si="56"/>
        <v>0</v>
      </c>
      <c r="G211" s="395">
        <f t="shared" si="68"/>
        <v>9.8599999999999993E-2</v>
      </c>
      <c r="H211" s="395">
        <f t="shared" si="69"/>
        <v>0.50419999999999998</v>
      </c>
      <c r="I211" s="364">
        <f t="shared" si="63"/>
        <v>0</v>
      </c>
      <c r="K211" s="364">
        <f>[4]Reserve!D30</f>
        <v>0</v>
      </c>
      <c r="L211" s="395">
        <f t="shared" si="60"/>
        <v>9.8599999999999993E-2</v>
      </c>
      <c r="M211" s="395">
        <f t="shared" si="61"/>
        <v>0.50419999999999998</v>
      </c>
      <c r="N211" s="364">
        <f t="shared" si="59"/>
        <v>0</v>
      </c>
      <c r="P211" s="537"/>
      <c r="S211" s="395"/>
      <c r="T211" s="395"/>
    </row>
    <row r="212" spans="1:20">
      <c r="A212" s="112">
        <f t="shared" si="46"/>
        <v>197</v>
      </c>
      <c r="B212" s="431">
        <v>39905</v>
      </c>
      <c r="C212" s="80" t="s">
        <v>1496</v>
      </c>
      <c r="D212" s="364">
        <f>[4]Reserve!AF31</f>
        <v>0</v>
      </c>
      <c r="E212" s="502">
        <v>0</v>
      </c>
      <c r="F212" s="364">
        <f t="shared" si="56"/>
        <v>0</v>
      </c>
      <c r="G212" s="395">
        <f t="shared" si="68"/>
        <v>9.8599999999999993E-2</v>
      </c>
      <c r="H212" s="395">
        <f t="shared" si="69"/>
        <v>0.50419999999999998</v>
      </c>
      <c r="I212" s="364">
        <f t="shared" si="63"/>
        <v>0</v>
      </c>
      <c r="K212" s="364">
        <f>[4]Reserve!D31</f>
        <v>0</v>
      </c>
      <c r="L212" s="395">
        <f t="shared" si="60"/>
        <v>9.8599999999999993E-2</v>
      </c>
      <c r="M212" s="395">
        <f t="shared" si="61"/>
        <v>0.50419999999999998</v>
      </c>
      <c r="N212" s="364">
        <f t="shared" si="59"/>
        <v>0</v>
      </c>
      <c r="P212" s="537"/>
      <c r="S212" s="395"/>
      <c r="T212" s="395"/>
    </row>
    <row r="213" spans="1:20">
      <c r="A213" s="112">
        <f t="shared" si="46"/>
        <v>198</v>
      </c>
      <c r="B213" s="570">
        <v>39906</v>
      </c>
      <c r="C213" s="80" t="s">
        <v>1480</v>
      </c>
      <c r="D213" s="364">
        <f>[4]Reserve!AF32</f>
        <v>1055080.6696568588</v>
      </c>
      <c r="E213" s="502">
        <v>0</v>
      </c>
      <c r="F213" s="364">
        <f t="shared" si="56"/>
        <v>1055080.6696568588</v>
      </c>
      <c r="G213" s="395">
        <f t="shared" si="68"/>
        <v>9.8599999999999993E-2</v>
      </c>
      <c r="H213" s="395">
        <f t="shared" si="69"/>
        <v>0.50419999999999998</v>
      </c>
      <c r="I213" s="364">
        <f t="shared" si="63"/>
        <v>52452.407021001425</v>
      </c>
      <c r="K213" s="364">
        <f>[4]Reserve!D32</f>
        <v>563728.30976570444</v>
      </c>
      <c r="L213" s="395">
        <f t="shared" si="60"/>
        <v>9.8599999999999993E-2</v>
      </c>
      <c r="M213" s="395">
        <f t="shared" si="61"/>
        <v>0.50419999999999998</v>
      </c>
      <c r="N213" s="364">
        <f t="shared" si="59"/>
        <v>28025.256839089398</v>
      </c>
      <c r="P213" s="537"/>
      <c r="S213" s="395"/>
      <c r="T213" s="395"/>
    </row>
    <row r="214" spans="1:20">
      <c r="A214" s="112">
        <f t="shared" si="46"/>
        <v>199</v>
      </c>
      <c r="B214" s="570">
        <v>39907</v>
      </c>
      <c r="C214" s="80" t="s">
        <v>1481</v>
      </c>
      <c r="D214" s="364">
        <f>[4]Reserve!AF33</f>
        <v>361358.6919704997</v>
      </c>
      <c r="E214" s="502">
        <v>0</v>
      </c>
      <c r="F214" s="364">
        <f t="shared" si="56"/>
        <v>361358.6919704997</v>
      </c>
      <c r="G214" s="395">
        <f t="shared" si="68"/>
        <v>9.8599999999999993E-2</v>
      </c>
      <c r="H214" s="395">
        <f t="shared" si="69"/>
        <v>0.50419999999999998</v>
      </c>
      <c r="I214" s="364">
        <f t="shared" si="63"/>
        <v>17964.629375664459</v>
      </c>
      <c r="K214" s="364">
        <f>[4]Reserve!D33</f>
        <v>297815.36779549986</v>
      </c>
      <c r="L214" s="395">
        <f t="shared" si="60"/>
        <v>9.8599999999999993E-2</v>
      </c>
      <c r="M214" s="395">
        <f t="shared" si="61"/>
        <v>0.50419999999999998</v>
      </c>
      <c r="N214" s="364">
        <f t="shared" si="59"/>
        <v>14805.628932429612</v>
      </c>
      <c r="P214" s="537"/>
      <c r="S214" s="395"/>
      <c r="T214" s="395"/>
    </row>
    <row r="215" spans="1:20">
      <c r="A215" s="112">
        <f t="shared" si="46"/>
        <v>200</v>
      </c>
      <c r="B215" s="570">
        <v>39908</v>
      </c>
      <c r="C215" s="80" t="s">
        <v>1482</v>
      </c>
      <c r="D215" s="364">
        <f>[4]Reserve!AF34</f>
        <v>52245947.717667349</v>
      </c>
      <c r="E215" s="502">
        <v>0</v>
      </c>
      <c r="F215" s="364">
        <f t="shared" si="56"/>
        <v>52245947.717667349</v>
      </c>
      <c r="G215" s="395">
        <f t="shared" si="68"/>
        <v>9.8599999999999993E-2</v>
      </c>
      <c r="H215" s="395">
        <f t="shared" si="69"/>
        <v>0.50419999999999998</v>
      </c>
      <c r="I215" s="364">
        <f t="shared" si="63"/>
        <v>2597361.3143498404</v>
      </c>
      <c r="K215" s="364">
        <f>[4]Reserve!D34</f>
        <v>48303547.662687063</v>
      </c>
      <c r="L215" s="395">
        <f t="shared" si="60"/>
        <v>9.8599999999999993E-2</v>
      </c>
      <c r="M215" s="395">
        <f t="shared" si="61"/>
        <v>0.50419999999999998</v>
      </c>
      <c r="N215" s="364">
        <f t="shared" si="59"/>
        <v>2401368.364928544</v>
      </c>
      <c r="P215" s="537"/>
      <c r="S215" s="395"/>
      <c r="T215" s="395"/>
    </row>
    <row r="216" spans="1:20">
      <c r="A216" s="112">
        <f t="shared" si="46"/>
        <v>201</v>
      </c>
      <c r="B216" s="570">
        <v>39909</v>
      </c>
      <c r="C216" s="80" t="s">
        <v>1497</v>
      </c>
      <c r="D216" s="364">
        <f>[4]Reserve!AF35</f>
        <v>0</v>
      </c>
      <c r="E216" s="502">
        <v>0</v>
      </c>
      <c r="F216" s="364">
        <f t="shared" si="56"/>
        <v>0</v>
      </c>
      <c r="G216" s="395">
        <f t="shared" si="68"/>
        <v>9.8599999999999993E-2</v>
      </c>
      <c r="H216" s="395">
        <f t="shared" si="69"/>
        <v>0.50419999999999998</v>
      </c>
      <c r="I216" s="364">
        <f t="shared" si="63"/>
        <v>0</v>
      </c>
      <c r="K216" s="364">
        <f>[4]Reserve!D35</f>
        <v>0</v>
      </c>
      <c r="L216" s="395">
        <f t="shared" si="60"/>
        <v>9.8599999999999993E-2</v>
      </c>
      <c r="M216" s="395">
        <f t="shared" si="61"/>
        <v>0.50419999999999998</v>
      </c>
      <c r="N216" s="364">
        <f t="shared" si="59"/>
        <v>0</v>
      </c>
      <c r="P216" s="537"/>
      <c r="S216" s="395"/>
      <c r="T216" s="395"/>
    </row>
    <row r="217" spans="1:20">
      <c r="A217" s="112">
        <f t="shared" si="46"/>
        <v>202</v>
      </c>
      <c r="B217" s="570">
        <v>39921</v>
      </c>
      <c r="C217" s="80" t="s">
        <v>1446</v>
      </c>
      <c r="D217" s="364">
        <f>[4]Reserve!AF36</f>
        <v>987970.09968166717</v>
      </c>
      <c r="E217" s="502">
        <v>0</v>
      </c>
      <c r="F217" s="364">
        <f t="shared" si="56"/>
        <v>987970.09968166717</v>
      </c>
      <c r="G217" s="395">
        <v>1</v>
      </c>
      <c r="H217" s="395">
        <f>Allocation!$E$22</f>
        <v>6.106367E-2</v>
      </c>
      <c r="I217" s="364">
        <f t="shared" si="63"/>
        <v>60329.08013682843</v>
      </c>
      <c r="K217" s="364">
        <f>[4]Reserve!D36</f>
        <v>841625.96949302661</v>
      </c>
      <c r="L217" s="395">
        <f t="shared" ref="L217:L226" si="70">G217</f>
        <v>1</v>
      </c>
      <c r="M217" s="395">
        <f t="shared" ref="M217:M226" si="71">H217</f>
        <v>6.106367E-2</v>
      </c>
      <c r="N217" s="364">
        <f t="shared" si="59"/>
        <v>51392.770464552246</v>
      </c>
      <c r="P217" s="537"/>
      <c r="S217" s="395"/>
      <c r="T217" s="395"/>
    </row>
    <row r="218" spans="1:20">
      <c r="A218" s="112">
        <f t="shared" si="46"/>
        <v>203</v>
      </c>
      <c r="B218" s="570">
        <v>39922</v>
      </c>
      <c r="C218" s="80" t="s">
        <v>1447</v>
      </c>
      <c r="D218" s="364">
        <f>[4]Reserve!AF37</f>
        <v>2558739.5699281092</v>
      </c>
      <c r="E218" s="502">
        <v>0</v>
      </c>
      <c r="F218" s="364">
        <f t="shared" si="56"/>
        <v>2558739.5699281092</v>
      </c>
      <c r="G218" s="395">
        <v>1</v>
      </c>
      <c r="H218" s="395">
        <f>Allocation!$E$22</f>
        <v>6.106367E-2</v>
      </c>
      <c r="I218" s="364">
        <f t="shared" si="63"/>
        <v>156246.02871403197</v>
      </c>
      <c r="K218" s="364">
        <f>[4]Reserve!D37</f>
        <v>1990990.8224559242</v>
      </c>
      <c r="L218" s="395">
        <f t="shared" si="70"/>
        <v>1</v>
      </c>
      <c r="M218" s="395">
        <f t="shared" si="71"/>
        <v>6.106367E-2</v>
      </c>
      <c r="N218" s="364">
        <f t="shared" si="59"/>
        <v>121577.20655547715</v>
      </c>
      <c r="P218" s="537"/>
      <c r="S218" s="395"/>
      <c r="T218" s="395"/>
    </row>
    <row r="219" spans="1:20">
      <c r="A219" s="112">
        <f t="shared" si="46"/>
        <v>204</v>
      </c>
      <c r="B219" s="570">
        <v>39923</v>
      </c>
      <c r="C219" s="80" t="s">
        <v>1448</v>
      </c>
      <c r="D219" s="364">
        <f>[4]Reserve!AF38</f>
        <v>103777.64677159616</v>
      </c>
      <c r="E219" s="502">
        <v>0</v>
      </c>
      <c r="F219" s="364">
        <f t="shared" si="56"/>
        <v>103777.64677159616</v>
      </c>
      <c r="G219" s="395">
        <v>1</v>
      </c>
      <c r="H219" s="395">
        <f>Allocation!$E$22</f>
        <v>6.106367E-2</v>
      </c>
      <c r="I219" s="364">
        <f t="shared" si="63"/>
        <v>6337.0439758373132</v>
      </c>
      <c r="K219" s="364">
        <f>[4]Reserve!D38</f>
        <v>66161.086237649302</v>
      </c>
      <c r="L219" s="395">
        <f t="shared" si="70"/>
        <v>1</v>
      </c>
      <c r="M219" s="395">
        <f t="shared" si="71"/>
        <v>6.106367E-2</v>
      </c>
      <c r="N219" s="364">
        <f t="shared" si="59"/>
        <v>4040.0387368573588</v>
      </c>
      <c r="P219" s="537"/>
      <c r="S219" s="395"/>
      <c r="T219" s="395"/>
    </row>
    <row r="220" spans="1:20">
      <c r="A220" s="112">
        <f t="shared" si="46"/>
        <v>205</v>
      </c>
      <c r="B220" s="570">
        <v>39924</v>
      </c>
      <c r="C220" s="80" t="s">
        <v>1340</v>
      </c>
      <c r="D220" s="364">
        <f>[4]Reserve!AF39</f>
        <v>0</v>
      </c>
      <c r="E220" s="502">
        <v>0</v>
      </c>
      <c r="F220" s="364">
        <f t="shared" si="56"/>
        <v>0</v>
      </c>
      <c r="G220" s="395">
        <f t="shared" si="68"/>
        <v>9.8599999999999993E-2</v>
      </c>
      <c r="H220" s="395">
        <f t="shared" si="69"/>
        <v>0.50419999999999998</v>
      </c>
      <c r="I220" s="364">
        <f t="shared" si="63"/>
        <v>0</v>
      </c>
      <c r="K220" s="364">
        <f>[4]Reserve!D39</f>
        <v>0</v>
      </c>
      <c r="L220" s="395">
        <f t="shared" si="70"/>
        <v>9.8599999999999993E-2</v>
      </c>
      <c r="M220" s="395">
        <f t="shared" si="71"/>
        <v>0.50419999999999998</v>
      </c>
      <c r="N220" s="364">
        <f t="shared" si="59"/>
        <v>0</v>
      </c>
      <c r="P220" s="537"/>
      <c r="S220" s="395"/>
      <c r="T220" s="395"/>
    </row>
    <row r="221" spans="1:20">
      <c r="A221" s="112">
        <f t="shared" si="46"/>
        <v>206</v>
      </c>
      <c r="B221" s="570">
        <v>39926</v>
      </c>
      <c r="C221" s="80" t="s">
        <v>1457</v>
      </c>
      <c r="D221" s="364">
        <f>[4]Reserve!AF40</f>
        <v>222723.13023500022</v>
      </c>
      <c r="E221" s="502">
        <v>0</v>
      </c>
      <c r="F221" s="364">
        <f t="shared" si="56"/>
        <v>222723.13023500022</v>
      </c>
      <c r="G221" s="395">
        <v>1</v>
      </c>
      <c r="H221" s="395">
        <f>Allocation!$E$22</f>
        <v>6.106367E-2</v>
      </c>
      <c r="I221" s="364">
        <f t="shared" si="63"/>
        <v>13600.291726037076</v>
      </c>
      <c r="K221" s="364">
        <f>[4]Reserve!D40</f>
        <v>192861.35333900011</v>
      </c>
      <c r="L221" s="395">
        <f t="shared" si="70"/>
        <v>1</v>
      </c>
      <c r="M221" s="395">
        <f t="shared" si="71"/>
        <v>6.106367E-2</v>
      </c>
      <c r="N221" s="364">
        <f t="shared" si="59"/>
        <v>11776.822036046102</v>
      </c>
      <c r="P221" s="537"/>
      <c r="S221" s="395"/>
      <c r="T221" s="395"/>
    </row>
    <row r="222" spans="1:20">
      <c r="A222" s="112">
        <f t="shared" si="46"/>
        <v>207</v>
      </c>
      <c r="B222" s="570">
        <v>39928</v>
      </c>
      <c r="C222" s="80" t="s">
        <v>1458</v>
      </c>
      <c r="D222" s="364">
        <f>[4]Reserve!AF41</f>
        <v>18650579.148522828</v>
      </c>
      <c r="E222" s="502">
        <v>0</v>
      </c>
      <c r="F222" s="364">
        <f t="shared" si="56"/>
        <v>18650579.148522828</v>
      </c>
      <c r="G222" s="395">
        <v>1</v>
      </c>
      <c r="H222" s="395">
        <f>Allocation!$E$22</f>
        <v>6.106367E-2</v>
      </c>
      <c r="I222" s="364">
        <f t="shared" si="63"/>
        <v>1138872.810434279</v>
      </c>
      <c r="K222" s="364">
        <f>[4]Reserve!D41</f>
        <v>17424608.564165786</v>
      </c>
      <c r="L222" s="395">
        <f t="shared" si="70"/>
        <v>1</v>
      </c>
      <c r="M222" s="395">
        <f t="shared" si="71"/>
        <v>6.106367E-2</v>
      </c>
      <c r="N222" s="364">
        <f t="shared" si="59"/>
        <v>1064010.5472413935</v>
      </c>
      <c r="P222" s="537"/>
      <c r="S222" s="395"/>
      <c r="T222" s="395"/>
    </row>
    <row r="223" spans="1:20">
      <c r="A223" s="112">
        <f t="shared" si="46"/>
        <v>208</v>
      </c>
      <c r="B223" s="570">
        <v>39931</v>
      </c>
      <c r="C223" s="80" t="s">
        <v>1459</v>
      </c>
      <c r="D223" s="364">
        <f>[4]Reserve!AF42</f>
        <v>191744.8951009998</v>
      </c>
      <c r="E223" s="502">
        <v>0</v>
      </c>
      <c r="F223" s="364">
        <f t="shared" si="56"/>
        <v>191744.8951009998</v>
      </c>
      <c r="G223" s="395">
        <v>1</v>
      </c>
      <c r="H223" s="395">
        <f>Allocation!$E$23</f>
        <v>4.6370689999999999E-2</v>
      </c>
      <c r="I223" s="364">
        <f t="shared" si="63"/>
        <v>8891.34308981098</v>
      </c>
      <c r="K223" s="364">
        <f>[4]Reserve!D42</f>
        <v>171976.66553599987</v>
      </c>
      <c r="L223" s="395">
        <f t="shared" si="70"/>
        <v>1</v>
      </c>
      <c r="M223" s="395">
        <f t="shared" si="71"/>
        <v>4.6370689999999999E-2</v>
      </c>
      <c r="N223" s="364">
        <f t="shared" si="59"/>
        <v>7974.6766448035332</v>
      </c>
      <c r="P223" s="537"/>
      <c r="S223" s="395"/>
      <c r="T223" s="395"/>
    </row>
    <row r="224" spans="1:20">
      <c r="A224" s="112">
        <f t="shared" si="46"/>
        <v>209</v>
      </c>
      <c r="B224" s="570">
        <v>39932</v>
      </c>
      <c r="C224" s="80" t="s">
        <v>1460</v>
      </c>
      <c r="D224" s="364">
        <f>[4]Reserve!AF43</f>
        <v>308723.31059774995</v>
      </c>
      <c r="E224" s="502">
        <v>0</v>
      </c>
      <c r="F224" s="364">
        <f t="shared" si="56"/>
        <v>308723.31059774995</v>
      </c>
      <c r="G224" s="395">
        <v>1</v>
      </c>
      <c r="H224" s="395">
        <f>Allocation!$E$23</f>
        <v>4.6370689999999999E-2</v>
      </c>
      <c r="I224" s="364">
        <f t="shared" si="63"/>
        <v>14315.712931501977</v>
      </c>
      <c r="K224" s="364">
        <f>[4]Reserve!D43</f>
        <v>267058.14277624985</v>
      </c>
      <c r="L224" s="395">
        <f t="shared" si="70"/>
        <v>1</v>
      </c>
      <c r="M224" s="395">
        <f t="shared" si="71"/>
        <v>4.6370689999999999E-2</v>
      </c>
      <c r="N224" s="364">
        <f t="shared" si="59"/>
        <v>12383.670350653221</v>
      </c>
      <c r="P224" s="537"/>
      <c r="S224" s="395"/>
      <c r="T224" s="395"/>
    </row>
    <row r="225" spans="1:20">
      <c r="A225" s="112">
        <f t="shared" si="46"/>
        <v>210</v>
      </c>
      <c r="B225" s="570">
        <v>39938</v>
      </c>
      <c r="C225" s="80" t="s">
        <v>1461</v>
      </c>
      <c r="D225" s="364">
        <f>[4]Reserve!AF44</f>
        <v>9590072.1913339738</v>
      </c>
      <c r="E225" s="502">
        <v>0</v>
      </c>
      <c r="F225" s="364">
        <f t="shared" ref="F225" si="72">D225+E225</f>
        <v>9590072.1913339738</v>
      </c>
      <c r="G225" s="395">
        <v>1</v>
      </c>
      <c r="H225" s="395">
        <f>Allocation!$E$23</f>
        <v>4.6370689999999999E-2</v>
      </c>
      <c r="I225" s="364">
        <f t="shared" si="63"/>
        <v>444698.26466196839</v>
      </c>
      <c r="K225" s="364">
        <f>[4]Reserve!D44</f>
        <v>8771187.190986976</v>
      </c>
      <c r="L225" s="395">
        <f t="shared" si="70"/>
        <v>1</v>
      </c>
      <c r="M225" s="395">
        <f t="shared" si="71"/>
        <v>4.6370689999999999E-2</v>
      </c>
      <c r="N225" s="364">
        <f t="shared" ref="N225" si="73">K225*L225*M225</f>
        <v>406726.00216522784</v>
      </c>
      <c r="P225" s="537"/>
      <c r="S225" s="395"/>
      <c r="T225" s="395"/>
    </row>
    <row r="226" spans="1:20">
      <c r="A226" s="112">
        <f t="shared" si="46"/>
        <v>211</v>
      </c>
      <c r="B226" s="570"/>
      <c r="C226" s="80" t="s">
        <v>1124</v>
      </c>
      <c r="D226" s="364">
        <f>[4]Reserve!AF45</f>
        <v>0</v>
      </c>
      <c r="E226" s="856">
        <v>0</v>
      </c>
      <c r="F226" s="326">
        <f t="shared" si="56"/>
        <v>0</v>
      </c>
      <c r="G226" s="357">
        <f t="shared" si="68"/>
        <v>9.8599999999999993E-2</v>
      </c>
      <c r="H226" s="357">
        <f t="shared" si="69"/>
        <v>0.50419999999999998</v>
      </c>
      <c r="I226" s="364">
        <f t="shared" si="63"/>
        <v>0</v>
      </c>
      <c r="K226" s="364">
        <f>[4]Reserve!D45</f>
        <v>0</v>
      </c>
      <c r="L226" s="395">
        <f t="shared" si="70"/>
        <v>9.8599999999999993E-2</v>
      </c>
      <c r="M226" s="395">
        <f t="shared" si="71"/>
        <v>0.50419999999999998</v>
      </c>
      <c r="N226" s="842">
        <f t="shared" si="59"/>
        <v>0</v>
      </c>
      <c r="P226" s="537"/>
      <c r="S226" s="395"/>
      <c r="T226" s="395"/>
    </row>
    <row r="227" spans="1:20">
      <c r="A227" s="112">
        <f t="shared" si="46"/>
        <v>212</v>
      </c>
      <c r="B227" s="334"/>
      <c r="C227" s="80"/>
      <c r="D227" s="858"/>
      <c r="E227" s="858"/>
      <c r="F227" s="858"/>
      <c r="I227" s="858"/>
      <c r="K227" s="858"/>
    </row>
    <row r="228" spans="1:20" ht="15.75" thickBot="1">
      <c r="A228" s="112">
        <f t="shared" si="46"/>
        <v>213</v>
      </c>
      <c r="B228" s="334"/>
      <c r="C228" s="205" t="s">
        <v>1277</v>
      </c>
      <c r="D228" s="1059">
        <f>SUM(D188:D226)</f>
        <v>124816300.33607602</v>
      </c>
      <c r="E228" s="1059">
        <f>SUM(E188:E226)</f>
        <v>0</v>
      </c>
      <c r="F228" s="1059">
        <f>SUM(F188:F226)</f>
        <v>124816300.33607602</v>
      </c>
      <c r="I228" s="1059">
        <f>SUM(I188:I226)</f>
        <v>6261281.7868493367</v>
      </c>
      <c r="K228" s="1059">
        <f>SUM(K188:K226)</f>
        <v>113321504.3049911</v>
      </c>
      <c r="N228" s="1059">
        <f>SUM(N188:N226)</f>
        <v>5674680.3094059052</v>
      </c>
    </row>
    <row r="229" spans="1:20" ht="15.75" thickTop="1">
      <c r="A229" s="112">
        <f t="shared" si="46"/>
        <v>214</v>
      </c>
      <c r="B229" s="838"/>
      <c r="D229" s="498"/>
    </row>
    <row r="230" spans="1:20" ht="15.75">
      <c r="A230" s="112">
        <f t="shared" si="46"/>
        <v>215</v>
      </c>
      <c r="B230" s="843" t="s">
        <v>9</v>
      </c>
      <c r="D230" s="498"/>
    </row>
    <row r="231" spans="1:20">
      <c r="A231" s="112">
        <f t="shared" si="46"/>
        <v>216</v>
      </c>
      <c r="B231" s="838"/>
      <c r="D231" s="498"/>
      <c r="P231" s="544"/>
    </row>
    <row r="232" spans="1:20">
      <c r="A232" s="112">
        <f t="shared" si="46"/>
        <v>217</v>
      </c>
      <c r="B232" s="334"/>
      <c r="C232" s="500" t="s">
        <v>299</v>
      </c>
      <c r="D232" s="498"/>
    </row>
    <row r="233" spans="1:20">
      <c r="A233" s="112">
        <f t="shared" si="46"/>
        <v>218</v>
      </c>
      <c r="B233" s="431">
        <v>38900</v>
      </c>
      <c r="C233" s="80" t="s">
        <v>1498</v>
      </c>
      <c r="D233" s="304">
        <f>[4]Reserve!AF50</f>
        <v>0</v>
      </c>
      <c r="E233" s="304">
        <v>0</v>
      </c>
      <c r="F233" s="304">
        <f t="shared" ref="F233:F262" si="74">D233+E233</f>
        <v>0</v>
      </c>
      <c r="G233" s="395">
        <f>Allocation!$C$15</f>
        <v>0.11020000000000001</v>
      </c>
      <c r="H233" s="395">
        <f>Allocation!$D$15</f>
        <v>0.50429999999999997</v>
      </c>
      <c r="I233" s="304">
        <f t="shared" ref="I233:I262" si="75">F233*G233*H233</f>
        <v>0</v>
      </c>
      <c r="K233" s="304">
        <f>[4]Reserve!D50</f>
        <v>0</v>
      </c>
      <c r="L233" s="395">
        <f>G233</f>
        <v>0.11020000000000001</v>
      </c>
      <c r="M233" s="395">
        <f>H233</f>
        <v>0.50429999999999997</v>
      </c>
      <c r="N233" s="304">
        <f>K233*L233*M233</f>
        <v>0</v>
      </c>
      <c r="P233" s="537"/>
      <c r="S233" s="395"/>
      <c r="T233" s="395"/>
    </row>
    <row r="234" spans="1:20">
      <c r="A234" s="112">
        <f t="shared" si="46"/>
        <v>219</v>
      </c>
      <c r="B234" s="431">
        <v>38910</v>
      </c>
      <c r="C234" s="80" t="s">
        <v>1499</v>
      </c>
      <c r="D234" s="364">
        <f>[4]Reserve!AF51</f>
        <v>0</v>
      </c>
      <c r="E234" s="364">
        <v>0</v>
      </c>
      <c r="F234" s="364">
        <f t="shared" si="74"/>
        <v>0</v>
      </c>
      <c r="G234" s="395">
        <v>1</v>
      </c>
      <c r="H234" s="395">
        <f>Allocation!$E$21</f>
        <v>2.4788790000000002E-2</v>
      </c>
      <c r="I234" s="364">
        <f t="shared" si="75"/>
        <v>0</v>
      </c>
      <c r="K234" s="364">
        <f>[4]Reserve!D51</f>
        <v>0</v>
      </c>
      <c r="L234" s="395">
        <f t="shared" ref="L234:L262" si="76">G234</f>
        <v>1</v>
      </c>
      <c r="M234" s="395">
        <f t="shared" ref="M234:M262" si="77">H234</f>
        <v>2.4788790000000002E-2</v>
      </c>
      <c r="N234" s="364">
        <f t="shared" ref="N234:N262" si="78">K234*L234*M234</f>
        <v>0</v>
      </c>
      <c r="P234" s="537"/>
      <c r="S234" s="395"/>
      <c r="T234" s="395"/>
    </row>
    <row r="235" spans="1:20">
      <c r="A235" s="112">
        <f t="shared" si="46"/>
        <v>220</v>
      </c>
      <c r="B235" s="431">
        <v>39000</v>
      </c>
      <c r="C235" s="80" t="s">
        <v>1464</v>
      </c>
      <c r="D235" s="364">
        <f>[4]Reserve!AF52</f>
        <v>3581469.7894776734</v>
      </c>
      <c r="E235" s="364">
        <v>0</v>
      </c>
      <c r="F235" s="364">
        <f t="shared" si="74"/>
        <v>3581469.7894776734</v>
      </c>
      <c r="G235" s="395">
        <f>Allocation!$C$15</f>
        <v>0.11020000000000001</v>
      </c>
      <c r="H235" s="395">
        <f>Allocation!$D$15</f>
        <v>0.50429999999999997</v>
      </c>
      <c r="I235" s="364">
        <f t="shared" si="75"/>
        <v>199036.10067466169</v>
      </c>
      <c r="K235" s="364">
        <f>[4]Reserve!D52</f>
        <v>3423208.4441748341</v>
      </c>
      <c r="L235" s="395">
        <f t="shared" si="76"/>
        <v>0.11020000000000001</v>
      </c>
      <c r="M235" s="395">
        <f t="shared" si="77"/>
        <v>0.50429999999999997</v>
      </c>
      <c r="N235" s="364">
        <f t="shared" si="78"/>
        <v>190240.90682739005</v>
      </c>
      <c r="P235" s="537"/>
      <c r="S235" s="395"/>
      <c r="T235" s="395"/>
    </row>
    <row r="236" spans="1:20">
      <c r="A236" s="112">
        <f t="shared" si="46"/>
        <v>221</v>
      </c>
      <c r="B236" s="431">
        <v>39009</v>
      </c>
      <c r="C236" s="80" t="s">
        <v>1468</v>
      </c>
      <c r="D236" s="364">
        <f>[4]Reserve!AF53</f>
        <v>2162244.2703962508</v>
      </c>
      <c r="E236" s="364">
        <v>0</v>
      </c>
      <c r="F236" s="364">
        <f t="shared" si="74"/>
        <v>2162244.2703962508</v>
      </c>
      <c r="G236" s="395">
        <f>Allocation!$C$15</f>
        <v>0.11020000000000001</v>
      </c>
      <c r="H236" s="395">
        <f>Allocation!$D$15</f>
        <v>0.50429999999999997</v>
      </c>
      <c r="I236" s="364">
        <f t="shared" si="75"/>
        <v>120164.26036880339</v>
      </c>
      <c r="K236" s="364">
        <f>[4]Reserve!D53</f>
        <v>2089895.5328387504</v>
      </c>
      <c r="L236" s="395">
        <f t="shared" si="76"/>
        <v>0.11020000000000001</v>
      </c>
      <c r="M236" s="395">
        <f t="shared" si="77"/>
        <v>0.50429999999999997</v>
      </c>
      <c r="N236" s="364">
        <f t="shared" si="78"/>
        <v>116143.56175660611</v>
      </c>
      <c r="P236" s="537"/>
      <c r="S236" s="395"/>
      <c r="T236" s="395"/>
    </row>
    <row r="237" spans="1:20">
      <c r="A237" s="112">
        <f t="shared" ref="A237:A250" si="79">A236+1</f>
        <v>222</v>
      </c>
      <c r="B237" s="431">
        <v>39010</v>
      </c>
      <c r="C237" s="80" t="s">
        <v>1500</v>
      </c>
      <c r="D237" s="364">
        <f>[4]Reserve!AF54</f>
        <v>4472069.9865887491</v>
      </c>
      <c r="E237" s="364">
        <v>0</v>
      </c>
      <c r="F237" s="364">
        <f t="shared" si="74"/>
        <v>4472069.9865887491</v>
      </c>
      <c r="G237" s="395">
        <v>1</v>
      </c>
      <c r="H237" s="395">
        <f>Allocation!$E$21</f>
        <v>2.4788790000000002E-2</v>
      </c>
      <c r="I237" s="364">
        <f t="shared" si="75"/>
        <v>110857.20376285132</v>
      </c>
      <c r="K237" s="364">
        <f>[4]Reserve!D54</f>
        <v>4322574.8203697493</v>
      </c>
      <c r="L237" s="395">
        <f t="shared" si="76"/>
        <v>1</v>
      </c>
      <c r="M237" s="395">
        <f t="shared" si="77"/>
        <v>2.4788790000000002E-2</v>
      </c>
      <c r="N237" s="364">
        <f t="shared" si="78"/>
        <v>107151.39948143344</v>
      </c>
      <c r="P237" s="537"/>
      <c r="S237" s="395"/>
      <c r="T237" s="395"/>
    </row>
    <row r="238" spans="1:20">
      <c r="A238" s="112">
        <f t="shared" si="79"/>
        <v>223</v>
      </c>
      <c r="B238" s="431">
        <v>39100</v>
      </c>
      <c r="C238" s="80" t="s">
        <v>1469</v>
      </c>
      <c r="D238" s="364">
        <f>[4]Reserve!AF55</f>
        <v>1359004.4211719993</v>
      </c>
      <c r="E238" s="364">
        <v>0</v>
      </c>
      <c r="F238" s="364">
        <f t="shared" si="74"/>
        <v>1359004.4211719993</v>
      </c>
      <c r="G238" s="395">
        <f>Allocation!$C$15</f>
        <v>0.11020000000000001</v>
      </c>
      <c r="H238" s="395">
        <f>Allocation!$D$15</f>
        <v>0.50429999999999997</v>
      </c>
      <c r="I238" s="364">
        <f t="shared" si="75"/>
        <v>75525.121441593728</v>
      </c>
      <c r="K238" s="364">
        <f>[4]Reserve!D55</f>
        <v>1271853.072491999</v>
      </c>
      <c r="L238" s="395">
        <f t="shared" si="76"/>
        <v>0.11020000000000001</v>
      </c>
      <c r="M238" s="395">
        <f t="shared" si="77"/>
        <v>0.50429999999999997</v>
      </c>
      <c r="N238" s="364">
        <f t="shared" si="78"/>
        <v>70681.784591240197</v>
      </c>
      <c r="P238" s="537"/>
      <c r="S238" s="395"/>
      <c r="T238" s="395"/>
    </row>
    <row r="239" spans="1:20">
      <c r="A239" s="112">
        <f t="shared" si="79"/>
        <v>224</v>
      </c>
      <c r="B239" s="431">
        <v>39101</v>
      </c>
      <c r="C239" s="80" t="s">
        <v>1439</v>
      </c>
      <c r="D239" s="364">
        <f>[4]Reserve!AF56</f>
        <v>0</v>
      </c>
      <c r="E239" s="364">
        <v>0</v>
      </c>
      <c r="F239" s="364">
        <f t="shared" si="74"/>
        <v>0</v>
      </c>
      <c r="G239" s="395">
        <f>Allocation!$C$15</f>
        <v>0.11020000000000001</v>
      </c>
      <c r="H239" s="395">
        <f>Allocation!$D$15</f>
        <v>0.50429999999999997</v>
      </c>
      <c r="I239" s="364">
        <f t="shared" si="75"/>
        <v>0</v>
      </c>
      <c r="K239" s="364">
        <f>[4]Reserve!D56</f>
        <v>0</v>
      </c>
      <c r="L239" s="395">
        <f t="shared" si="76"/>
        <v>0.11020000000000001</v>
      </c>
      <c r="M239" s="395">
        <f t="shared" si="77"/>
        <v>0.50429999999999997</v>
      </c>
      <c r="N239" s="364">
        <f t="shared" si="78"/>
        <v>0</v>
      </c>
      <c r="P239" s="537"/>
      <c r="S239" s="395"/>
      <c r="T239" s="395"/>
    </row>
    <row r="240" spans="1:20">
      <c r="A240" s="112">
        <f t="shared" si="79"/>
        <v>225</v>
      </c>
      <c r="B240" s="431">
        <v>39102</v>
      </c>
      <c r="C240" s="80" t="s">
        <v>1449</v>
      </c>
      <c r="D240" s="364">
        <f>[4]Reserve!AF57</f>
        <v>0</v>
      </c>
      <c r="E240" s="364">
        <v>0</v>
      </c>
      <c r="F240" s="364">
        <f t="shared" si="74"/>
        <v>0</v>
      </c>
      <c r="G240" s="395">
        <f>Allocation!$C$15</f>
        <v>0.11020000000000001</v>
      </c>
      <c r="H240" s="395">
        <f>Allocation!$D$15</f>
        <v>0.50429999999999997</v>
      </c>
      <c r="I240" s="364">
        <f t="shared" si="75"/>
        <v>0</v>
      </c>
      <c r="K240" s="364">
        <f>[4]Reserve!D57</f>
        <v>0</v>
      </c>
      <c r="L240" s="395">
        <f t="shared" si="76"/>
        <v>0.11020000000000001</v>
      </c>
      <c r="M240" s="395">
        <f t="shared" si="77"/>
        <v>0.50429999999999997</v>
      </c>
      <c r="N240" s="364">
        <f t="shared" si="78"/>
        <v>0</v>
      </c>
      <c r="P240" s="537"/>
      <c r="S240" s="395"/>
      <c r="T240" s="395"/>
    </row>
    <row r="241" spans="1:20">
      <c r="A241" s="112">
        <f t="shared" si="79"/>
        <v>226</v>
      </c>
      <c r="B241" s="431">
        <v>39103</v>
      </c>
      <c r="C241" s="80" t="s">
        <v>1275</v>
      </c>
      <c r="D241" s="364">
        <f>[4]Reserve!AF58</f>
        <v>0</v>
      </c>
      <c r="E241" s="364">
        <v>0</v>
      </c>
      <c r="F241" s="364">
        <f t="shared" si="74"/>
        <v>0</v>
      </c>
      <c r="G241" s="395">
        <f>Allocation!$C$15</f>
        <v>0.11020000000000001</v>
      </c>
      <c r="H241" s="395">
        <f>Allocation!$D$15</f>
        <v>0.50429999999999997</v>
      </c>
      <c r="I241" s="364">
        <f t="shared" si="75"/>
        <v>0</v>
      </c>
      <c r="K241" s="364">
        <f>[4]Reserve!D58</f>
        <v>0</v>
      </c>
      <c r="L241" s="395">
        <f t="shared" si="76"/>
        <v>0.11020000000000001</v>
      </c>
      <c r="M241" s="395">
        <f t="shared" si="77"/>
        <v>0.50429999999999997</v>
      </c>
      <c r="N241" s="364">
        <f t="shared" si="78"/>
        <v>0</v>
      </c>
      <c r="P241" s="537"/>
      <c r="S241" s="395"/>
      <c r="T241" s="395"/>
    </row>
    <row r="242" spans="1:20">
      <c r="A242" s="112">
        <f t="shared" si="79"/>
        <v>227</v>
      </c>
      <c r="B242" s="431">
        <v>39110</v>
      </c>
      <c r="C242" s="80" t="s">
        <v>1450</v>
      </c>
      <c r="D242" s="364">
        <f>[4]Reserve!AF59</f>
        <v>147557.84045099997</v>
      </c>
      <c r="E242" s="364">
        <v>0</v>
      </c>
      <c r="F242" s="364">
        <f t="shared" si="74"/>
        <v>147557.84045099997</v>
      </c>
      <c r="G242" s="395">
        <v>1</v>
      </c>
      <c r="H242" s="395">
        <f>Allocation!$E$21</f>
        <v>2.4788790000000002E-2</v>
      </c>
      <c r="I242" s="364">
        <f t="shared" si="75"/>
        <v>3657.7803197933436</v>
      </c>
      <c r="K242" s="364">
        <f>[4]Reserve!D59</f>
        <v>129934.20926100003</v>
      </c>
      <c r="L242" s="395">
        <f t="shared" si="76"/>
        <v>1</v>
      </c>
      <c r="M242" s="395">
        <f t="shared" si="77"/>
        <v>2.4788790000000002E-2</v>
      </c>
      <c r="N242" s="364">
        <f t="shared" si="78"/>
        <v>3220.9118271869852</v>
      </c>
      <c r="P242" s="537"/>
      <c r="S242" s="395"/>
      <c r="T242" s="395"/>
    </row>
    <row r="243" spans="1:20">
      <c r="A243" s="112">
        <f t="shared" si="79"/>
        <v>228</v>
      </c>
      <c r="B243" s="431">
        <v>39210</v>
      </c>
      <c r="C243" s="80" t="s">
        <v>1451</v>
      </c>
      <c r="D243" s="364">
        <f>[4]Reserve!AF60</f>
        <v>96686.997029000035</v>
      </c>
      <c r="E243" s="364">
        <v>0</v>
      </c>
      <c r="F243" s="364">
        <f t="shared" si="74"/>
        <v>96686.997029000035</v>
      </c>
      <c r="G243" s="395">
        <v>1</v>
      </c>
      <c r="H243" s="395">
        <f>Allocation!$E$21</f>
        <v>2.4788790000000002E-2</v>
      </c>
      <c r="I243" s="364">
        <f t="shared" si="75"/>
        <v>2396.7536650825059</v>
      </c>
      <c r="K243" s="364">
        <f>[4]Reserve!D60</f>
        <v>96686.997029000035</v>
      </c>
      <c r="L243" s="395">
        <f t="shared" si="76"/>
        <v>1</v>
      </c>
      <c r="M243" s="395">
        <f t="shared" si="77"/>
        <v>2.4788790000000002E-2</v>
      </c>
      <c r="N243" s="364">
        <f t="shared" si="78"/>
        <v>2396.7536650825059</v>
      </c>
      <c r="P243" s="537"/>
      <c r="S243" s="395"/>
      <c r="T243" s="395"/>
    </row>
    <row r="244" spans="1:20">
      <c r="A244" s="112">
        <f t="shared" si="79"/>
        <v>229</v>
      </c>
      <c r="B244" s="431">
        <v>39410</v>
      </c>
      <c r="C244" s="80" t="s">
        <v>1452</v>
      </c>
      <c r="D244" s="364">
        <f>[4]Reserve!AF61</f>
        <v>332001.23193850019</v>
      </c>
      <c r="E244" s="364">
        <v>0</v>
      </c>
      <c r="F244" s="364">
        <f t="shared" si="74"/>
        <v>332001.23193850019</v>
      </c>
      <c r="G244" s="395">
        <v>1</v>
      </c>
      <c r="H244" s="395">
        <f>Allocation!$E$21</f>
        <v>2.4788790000000002E-2</v>
      </c>
      <c r="I244" s="364">
        <f t="shared" si="75"/>
        <v>8229.9088182647738</v>
      </c>
      <c r="K244" s="364">
        <f>[4]Reserve!D61</f>
        <v>293171.43583450012</v>
      </c>
      <c r="L244" s="395">
        <f t="shared" si="76"/>
        <v>1</v>
      </c>
      <c r="M244" s="395">
        <f t="shared" si="77"/>
        <v>2.4788790000000002E-2</v>
      </c>
      <c r="N244" s="364">
        <f t="shared" si="78"/>
        <v>7267.3651568998985</v>
      </c>
      <c r="P244" s="537"/>
      <c r="S244" s="395"/>
      <c r="T244" s="395"/>
    </row>
    <row r="245" spans="1:20">
      <c r="A245" s="112">
        <f t="shared" si="79"/>
        <v>230</v>
      </c>
      <c r="B245" s="431">
        <v>39510</v>
      </c>
      <c r="C245" s="80" t="s">
        <v>1453</v>
      </c>
      <c r="D245" s="364">
        <f>[4]Reserve!AF62</f>
        <v>23762.293175416678</v>
      </c>
      <c r="E245" s="364">
        <v>0</v>
      </c>
      <c r="F245" s="364">
        <f t="shared" si="74"/>
        <v>23762.293175416678</v>
      </c>
      <c r="G245" s="395">
        <v>1</v>
      </c>
      <c r="H245" s="395">
        <f>Allocation!$E$21</f>
        <v>2.4788790000000002E-2</v>
      </c>
      <c r="I245" s="364">
        <f t="shared" si="75"/>
        <v>589.03849544383729</v>
      </c>
      <c r="K245" s="364">
        <f>[4]Reserve!D62</f>
        <v>23747.598875480784</v>
      </c>
      <c r="L245" s="395">
        <f t="shared" si="76"/>
        <v>1</v>
      </c>
      <c r="M245" s="395">
        <f t="shared" si="77"/>
        <v>2.4788790000000002E-2</v>
      </c>
      <c r="N245" s="364">
        <f t="shared" si="78"/>
        <v>588.67424152852936</v>
      </c>
      <c r="P245" s="537"/>
      <c r="S245" s="395"/>
      <c r="T245" s="395"/>
    </row>
    <row r="246" spans="1:20">
      <c r="A246" s="112">
        <f t="shared" si="79"/>
        <v>231</v>
      </c>
      <c r="B246" s="431">
        <v>39700</v>
      </c>
      <c r="C246" s="80" t="s">
        <v>1476</v>
      </c>
      <c r="D246" s="364">
        <f>[4]Reserve!AF63</f>
        <v>1541933.2229932514</v>
      </c>
      <c r="E246" s="364">
        <v>0</v>
      </c>
      <c r="F246" s="364">
        <f t="shared" si="74"/>
        <v>1541933.2229932514</v>
      </c>
      <c r="G246" s="395">
        <f>Allocation!$C$15</f>
        <v>0.11020000000000001</v>
      </c>
      <c r="H246" s="395">
        <f>Allocation!$D$15</f>
        <v>0.50429999999999997</v>
      </c>
      <c r="I246" s="364">
        <f t="shared" si="75"/>
        <v>85691.181063975746</v>
      </c>
      <c r="K246" s="364">
        <f>[4]Reserve!D63</f>
        <v>1477652.4880972514</v>
      </c>
      <c r="L246" s="395">
        <f t="shared" si="76"/>
        <v>0.11020000000000001</v>
      </c>
      <c r="M246" s="395">
        <f t="shared" si="77"/>
        <v>0.50429999999999997</v>
      </c>
      <c r="N246" s="364">
        <f t="shared" si="78"/>
        <v>82118.852502168316</v>
      </c>
      <c r="P246" s="537"/>
      <c r="S246" s="395"/>
      <c r="T246" s="395"/>
    </row>
    <row r="247" spans="1:20">
      <c r="A247" s="112">
        <f t="shared" si="79"/>
        <v>232</v>
      </c>
      <c r="B247" s="431">
        <v>39710</v>
      </c>
      <c r="C247" s="80" t="s">
        <v>1501</v>
      </c>
      <c r="D247" s="364">
        <f>[4]Reserve!AF64</f>
        <v>235111.80119099992</v>
      </c>
      <c r="E247" s="364">
        <v>0</v>
      </c>
      <c r="F247" s="364">
        <f t="shared" si="74"/>
        <v>235111.80119099992</v>
      </c>
      <c r="G247" s="395">
        <v>1</v>
      </c>
      <c r="H247" s="395">
        <f>Allocation!$E$21</f>
        <v>2.4788790000000002E-2</v>
      </c>
      <c r="I247" s="364">
        <f t="shared" si="75"/>
        <v>5828.1370662454474</v>
      </c>
      <c r="K247" s="364">
        <f>[4]Reserve!D64</f>
        <v>224094.17706299998</v>
      </c>
      <c r="L247" s="395">
        <f t="shared" si="76"/>
        <v>1</v>
      </c>
      <c r="M247" s="395">
        <f t="shared" si="77"/>
        <v>2.4788790000000002E-2</v>
      </c>
      <c r="N247" s="364">
        <f t="shared" si="78"/>
        <v>5555.0234954375237</v>
      </c>
      <c r="P247" s="537"/>
      <c r="S247" s="395"/>
      <c r="T247" s="395"/>
    </row>
    <row r="248" spans="1:20">
      <c r="A248" s="112">
        <f t="shared" si="79"/>
        <v>233</v>
      </c>
      <c r="B248" s="431">
        <v>39800</v>
      </c>
      <c r="C248" s="80" t="s">
        <v>1478</v>
      </c>
      <c r="D248" s="364">
        <f>[4]Reserve!AF65</f>
        <v>25360.307014749997</v>
      </c>
      <c r="E248" s="364">
        <v>0</v>
      </c>
      <c r="F248" s="364">
        <f t="shared" si="74"/>
        <v>25360.307014749997</v>
      </c>
      <c r="G248" s="395">
        <f>Allocation!$C$15</f>
        <v>0.11020000000000001</v>
      </c>
      <c r="H248" s="395">
        <f>Allocation!$D$15</f>
        <v>0.50429999999999997</v>
      </c>
      <c r="I248" s="364">
        <f t="shared" si="75"/>
        <v>1409.3701515947344</v>
      </c>
      <c r="K248" s="364">
        <f>[4]Reserve!D65</f>
        <v>22776.469388749996</v>
      </c>
      <c r="L248" s="395">
        <f t="shared" si="76"/>
        <v>0.11020000000000001</v>
      </c>
      <c r="M248" s="395">
        <f t="shared" si="77"/>
        <v>0.50429999999999997</v>
      </c>
      <c r="N248" s="364">
        <f t="shared" si="78"/>
        <v>1265.7763211046779</v>
      </c>
      <c r="P248" s="537"/>
      <c r="S248" s="395"/>
      <c r="T248" s="395"/>
    </row>
    <row r="249" spans="1:20">
      <c r="A249" s="112">
        <f t="shared" si="79"/>
        <v>234</v>
      </c>
      <c r="B249" s="570">
        <v>39810</v>
      </c>
      <c r="C249" s="80" t="s">
        <v>1454</v>
      </c>
      <c r="D249" s="364">
        <f>[4]Reserve!AF66</f>
        <v>229653.62411149987</v>
      </c>
      <c r="E249" s="364">
        <v>0</v>
      </c>
      <c r="F249" s="364">
        <f t="shared" si="74"/>
        <v>229653.62411149987</v>
      </c>
      <c r="G249" s="395">
        <v>1</v>
      </c>
      <c r="H249" s="395">
        <f>Allocation!$E$21</f>
        <v>2.4788790000000002E-2</v>
      </c>
      <c r="I249" s="364">
        <f t="shared" si="75"/>
        <v>5692.8354608389072</v>
      </c>
      <c r="K249" s="364">
        <f>[4]Reserve!D66</f>
        <v>209910.30266749996</v>
      </c>
      <c r="L249" s="395">
        <f t="shared" si="76"/>
        <v>1</v>
      </c>
      <c r="M249" s="395">
        <f t="shared" si="77"/>
        <v>2.4788790000000002E-2</v>
      </c>
      <c r="N249" s="364">
        <f t="shared" si="78"/>
        <v>5203.4224116610967</v>
      </c>
      <c r="P249" s="537"/>
      <c r="S249" s="395"/>
      <c r="T249" s="395"/>
    </row>
    <row r="250" spans="1:20">
      <c r="A250" s="112">
        <f t="shared" si="79"/>
        <v>235</v>
      </c>
      <c r="B250" s="570">
        <v>39900</v>
      </c>
      <c r="C250" s="80" t="s">
        <v>1486</v>
      </c>
      <c r="D250" s="364">
        <f>[4]Reserve!AF67</f>
        <v>-154264.63</v>
      </c>
      <c r="E250" s="364">
        <v>0</v>
      </c>
      <c r="F250" s="364">
        <f t="shared" si="74"/>
        <v>-154264.63</v>
      </c>
      <c r="G250" s="395">
        <f>Allocation!$C$15</f>
        <v>0.11020000000000001</v>
      </c>
      <c r="H250" s="395">
        <f>Allocation!$D$15</f>
        <v>0.50429999999999997</v>
      </c>
      <c r="I250" s="364">
        <f t="shared" si="75"/>
        <v>-8573.0809505718007</v>
      </c>
      <c r="K250" s="364">
        <f>[4]Reserve!D67</f>
        <v>-154264.62999999995</v>
      </c>
      <c r="L250" s="395">
        <f t="shared" si="76"/>
        <v>0.11020000000000001</v>
      </c>
      <c r="M250" s="395">
        <f t="shared" si="77"/>
        <v>0.50429999999999997</v>
      </c>
      <c r="N250" s="364">
        <f t="shared" si="78"/>
        <v>-8573.0809505717971</v>
      </c>
      <c r="P250" s="537"/>
      <c r="S250" s="395"/>
      <c r="T250" s="395"/>
    </row>
    <row r="251" spans="1:20">
      <c r="A251" s="112">
        <f t="shared" ref="A251:A266" si="80">A250+1</f>
        <v>236</v>
      </c>
      <c r="B251" s="570">
        <v>39901</v>
      </c>
      <c r="C251" s="80" t="s">
        <v>1487</v>
      </c>
      <c r="D251" s="364">
        <f>[4]Reserve!AF68</f>
        <v>8219168.0798418261</v>
      </c>
      <c r="E251" s="364">
        <v>0</v>
      </c>
      <c r="F251" s="364">
        <f t="shared" si="74"/>
        <v>8219168.0798418261</v>
      </c>
      <c r="G251" s="395">
        <f>Allocation!$C$15</f>
        <v>0.11020000000000001</v>
      </c>
      <c r="H251" s="395">
        <f>Allocation!$D$15</f>
        <v>0.50429999999999997</v>
      </c>
      <c r="I251" s="364">
        <f t="shared" si="75"/>
        <v>456770.89618559845</v>
      </c>
      <c r="K251" s="364">
        <f>[4]Reserve!D68</f>
        <v>7541174.9210031861</v>
      </c>
      <c r="L251" s="395">
        <f t="shared" si="76"/>
        <v>0.11020000000000001</v>
      </c>
      <c r="M251" s="395">
        <f t="shared" si="77"/>
        <v>0.50429999999999997</v>
      </c>
      <c r="N251" s="364">
        <f t="shared" si="78"/>
        <v>419092.19929534214</v>
      </c>
      <c r="P251" s="537"/>
      <c r="S251" s="395"/>
      <c r="T251" s="395"/>
    </row>
    <row r="252" spans="1:20">
      <c r="A252" s="112">
        <f t="shared" si="80"/>
        <v>237</v>
      </c>
      <c r="B252" s="570">
        <v>39902</v>
      </c>
      <c r="C252" s="80" t="s">
        <v>1488</v>
      </c>
      <c r="D252" s="364">
        <f>[4]Reserve!AF69</f>
        <v>2045321.8992660004</v>
      </c>
      <c r="E252" s="364">
        <v>0</v>
      </c>
      <c r="F252" s="364">
        <f t="shared" si="74"/>
        <v>2045321.8992660004</v>
      </c>
      <c r="G252" s="395">
        <f>Allocation!$C$15</f>
        <v>0.11020000000000001</v>
      </c>
      <c r="H252" s="395">
        <f>Allocation!$D$15</f>
        <v>0.50429999999999997</v>
      </c>
      <c r="I252" s="364">
        <f t="shared" si="75"/>
        <v>113666.43288474281</v>
      </c>
      <c r="K252" s="364">
        <f>[4]Reserve!D69</f>
        <v>1927929.9492300001</v>
      </c>
      <c r="L252" s="395">
        <f t="shared" si="76"/>
        <v>0.11020000000000001</v>
      </c>
      <c r="M252" s="395">
        <f t="shared" si="77"/>
        <v>0.50429999999999997</v>
      </c>
      <c r="N252" s="364">
        <f t="shared" si="78"/>
        <v>107142.50908831513</v>
      </c>
      <c r="P252" s="537"/>
      <c r="S252" s="395"/>
      <c r="T252" s="395"/>
    </row>
    <row r="253" spans="1:20">
      <c r="A253" s="112">
        <f t="shared" si="80"/>
        <v>238</v>
      </c>
      <c r="B253" s="570">
        <v>39903</v>
      </c>
      <c r="C253" s="80" t="s">
        <v>1479</v>
      </c>
      <c r="D253" s="364">
        <f>[4]Reserve!AF70</f>
        <v>231727.99987675002</v>
      </c>
      <c r="E253" s="364">
        <v>0</v>
      </c>
      <c r="F253" s="364">
        <f t="shared" si="74"/>
        <v>231727.99987675002</v>
      </c>
      <c r="G253" s="395">
        <f>Allocation!$C$15</f>
        <v>0.11020000000000001</v>
      </c>
      <c r="H253" s="395">
        <f>Allocation!$D$15</f>
        <v>0.50429999999999997</v>
      </c>
      <c r="I253" s="364">
        <f t="shared" si="75"/>
        <v>12878.019423230522</v>
      </c>
      <c r="K253" s="364">
        <f>[4]Reserve!D70</f>
        <v>214248.86113374995</v>
      </c>
      <c r="L253" s="395">
        <f t="shared" si="76"/>
        <v>0.11020000000000001</v>
      </c>
      <c r="M253" s="395">
        <f t="shared" si="77"/>
        <v>0.50429999999999997</v>
      </c>
      <c r="N253" s="364">
        <f t="shared" si="78"/>
        <v>11906.636213806461</v>
      </c>
      <c r="P253" s="537"/>
      <c r="S253" s="395"/>
      <c r="T253" s="395"/>
    </row>
    <row r="254" spans="1:20">
      <c r="A254" s="112">
        <f t="shared" si="80"/>
        <v>239</v>
      </c>
      <c r="B254" s="570">
        <v>39906</v>
      </c>
      <c r="C254" s="80" t="s">
        <v>1480</v>
      </c>
      <c r="D254" s="364">
        <f>[4]Reserve!AF71</f>
        <v>123089.58403767468</v>
      </c>
      <c r="E254" s="364">
        <v>0</v>
      </c>
      <c r="F254" s="364">
        <f t="shared" si="74"/>
        <v>123089.58403767468</v>
      </c>
      <c r="G254" s="395">
        <f>Allocation!$C$15</f>
        <v>0.11020000000000001</v>
      </c>
      <c r="H254" s="395">
        <f>Allocation!$D$15</f>
        <v>0.50429999999999997</v>
      </c>
      <c r="I254" s="364">
        <f t="shared" si="75"/>
        <v>6840.5633107679678</v>
      </c>
      <c r="K254" s="364">
        <f>[4]Reserve!D71</f>
        <v>-4667.9156808679691</v>
      </c>
      <c r="L254" s="395">
        <f t="shared" si="76"/>
        <v>0.11020000000000001</v>
      </c>
      <c r="M254" s="395">
        <f t="shared" si="77"/>
        <v>0.50429999999999997</v>
      </c>
      <c r="N254" s="364">
        <f t="shared" si="78"/>
        <v>-259.4140925403612</v>
      </c>
      <c r="P254" s="537"/>
      <c r="S254" s="395"/>
      <c r="T254" s="395"/>
    </row>
    <row r="255" spans="1:20">
      <c r="A255" s="112">
        <f t="shared" si="80"/>
        <v>240</v>
      </c>
      <c r="B255" s="570">
        <v>39907</v>
      </c>
      <c r="C255" s="80" t="s">
        <v>1481</v>
      </c>
      <c r="D255" s="364">
        <f>[4]Reserve!AF72</f>
        <v>-57199.47</v>
      </c>
      <c r="E255" s="364">
        <v>0</v>
      </c>
      <c r="F255" s="364">
        <f t="shared" si="74"/>
        <v>-57199.47</v>
      </c>
      <c r="G255" s="395">
        <f>Allocation!$C$15</f>
        <v>0.11020000000000001</v>
      </c>
      <c r="H255" s="395">
        <f>Allocation!$D$15</f>
        <v>0.50429999999999997</v>
      </c>
      <c r="I255" s="364">
        <f t="shared" si="75"/>
        <v>-3178.7953378542002</v>
      </c>
      <c r="K255" s="364">
        <f>[4]Reserve!D72</f>
        <v>-57199.469999999979</v>
      </c>
      <c r="L255" s="395">
        <f t="shared" si="76"/>
        <v>0.11020000000000001</v>
      </c>
      <c r="M255" s="395">
        <f t="shared" si="77"/>
        <v>0.50429999999999997</v>
      </c>
      <c r="N255" s="364">
        <f t="shared" si="78"/>
        <v>-3178.7953378541988</v>
      </c>
      <c r="P255" s="537"/>
      <c r="S255" s="395"/>
      <c r="T255" s="395"/>
    </row>
    <row r="256" spans="1:20">
      <c r="A256" s="112">
        <f t="shared" si="80"/>
        <v>241</v>
      </c>
      <c r="B256" s="570">
        <v>39908</v>
      </c>
      <c r="C256" s="80" t="s">
        <v>1482</v>
      </c>
      <c r="D256" s="364">
        <f>[4]Reserve!AF73</f>
        <v>57941104.028163306</v>
      </c>
      <c r="E256" s="364">
        <v>0</v>
      </c>
      <c r="F256" s="364">
        <f t="shared" si="74"/>
        <v>57941104.028163306</v>
      </c>
      <c r="G256" s="395">
        <f>Allocation!$C$15</f>
        <v>0.11020000000000001</v>
      </c>
      <c r="H256" s="395">
        <f>Allocation!$D$15</f>
        <v>0.50429999999999997</v>
      </c>
      <c r="I256" s="364">
        <f t="shared" si="75"/>
        <v>3220010.8035065839</v>
      </c>
      <c r="K256" s="364">
        <f>[4]Reserve!D73</f>
        <v>54182313.193701185</v>
      </c>
      <c r="L256" s="395">
        <f t="shared" si="76"/>
        <v>0.11020000000000001</v>
      </c>
      <c r="M256" s="395">
        <f t="shared" si="77"/>
        <v>0.50429999999999997</v>
      </c>
      <c r="N256" s="364">
        <f t="shared" si="78"/>
        <v>3011120.2879029028</v>
      </c>
      <c r="P256" s="932"/>
      <c r="S256" s="395"/>
      <c r="T256" s="395"/>
    </row>
    <row r="257" spans="1:20">
      <c r="A257" s="112">
        <f t="shared" si="80"/>
        <v>242</v>
      </c>
      <c r="B257" s="570">
        <v>39910</v>
      </c>
      <c r="C257" s="80" t="s">
        <v>1502</v>
      </c>
      <c r="D257" s="364">
        <f>[4]Reserve!AF74</f>
        <v>260880.17893200027</v>
      </c>
      <c r="E257" s="364">
        <v>0</v>
      </c>
      <c r="F257" s="364">
        <f t="shared" si="74"/>
        <v>260880.17893200027</v>
      </c>
      <c r="G257" s="395">
        <v>1</v>
      </c>
      <c r="H257" s="395">
        <f>Allocation!$E$21</f>
        <v>2.4788790000000002E-2</v>
      </c>
      <c r="I257" s="364">
        <f t="shared" si="75"/>
        <v>6466.9039707077791</v>
      </c>
      <c r="K257" s="364">
        <f>[4]Reserve!D74</f>
        <v>238357.10306000017</v>
      </c>
      <c r="L257" s="395">
        <f t="shared" si="76"/>
        <v>1</v>
      </c>
      <c r="M257" s="395">
        <f t="shared" si="77"/>
        <v>2.4788790000000002E-2</v>
      </c>
      <c r="N257" s="364">
        <f t="shared" si="78"/>
        <v>5908.5841727627021</v>
      </c>
      <c r="P257" s="537"/>
      <c r="S257" s="395"/>
      <c r="T257" s="395"/>
    </row>
    <row r="258" spans="1:20">
      <c r="A258" s="112">
        <f t="shared" si="80"/>
        <v>243</v>
      </c>
      <c r="B258" s="570">
        <v>39916</v>
      </c>
      <c r="C258" s="80" t="s">
        <v>1503</v>
      </c>
      <c r="D258" s="364">
        <f>[4]Reserve!AF75</f>
        <v>67838.959169999973</v>
      </c>
      <c r="E258" s="364">
        <v>0</v>
      </c>
      <c r="F258" s="364">
        <f t="shared" si="74"/>
        <v>67838.959169999973</v>
      </c>
      <c r="G258" s="395">
        <v>1</v>
      </c>
      <c r="H258" s="395">
        <f>Allocation!$E$21</f>
        <v>2.4788790000000002E-2</v>
      </c>
      <c r="I258" s="364">
        <f t="shared" si="75"/>
        <v>1681.6457126837038</v>
      </c>
      <c r="K258" s="364">
        <f>[4]Reserve!D75</f>
        <v>61355.797057999982</v>
      </c>
      <c r="L258" s="395">
        <f t="shared" si="76"/>
        <v>1</v>
      </c>
      <c r="M258" s="395">
        <f t="shared" si="77"/>
        <v>2.4788790000000002E-2</v>
      </c>
      <c r="N258" s="364">
        <f t="shared" si="78"/>
        <v>1520.9359685533796</v>
      </c>
      <c r="P258" s="537"/>
      <c r="S258" s="395"/>
      <c r="T258" s="395"/>
    </row>
    <row r="259" spans="1:20">
      <c r="A259" s="112">
        <f t="shared" si="80"/>
        <v>244</v>
      </c>
      <c r="B259" s="570">
        <v>39917</v>
      </c>
      <c r="C259" s="80" t="s">
        <v>1504</v>
      </c>
      <c r="D259" s="364">
        <f>[4]Reserve!AF76</f>
        <v>-27275.53843600001</v>
      </c>
      <c r="E259" s="364">
        <v>0</v>
      </c>
      <c r="F259" s="364">
        <f t="shared" si="74"/>
        <v>-27275.53843600001</v>
      </c>
      <c r="G259" s="395">
        <v>1</v>
      </c>
      <c r="H259" s="395">
        <f>Allocation!$E$21</f>
        <v>2.4788790000000002E-2</v>
      </c>
      <c r="I259" s="364">
        <f t="shared" si="75"/>
        <v>-676.12759442693277</v>
      </c>
      <c r="K259" s="364">
        <f>[4]Reserve!D76</f>
        <v>-27452.861836</v>
      </c>
      <c r="L259" s="395">
        <f t="shared" si="76"/>
        <v>1</v>
      </c>
      <c r="M259" s="395">
        <f t="shared" si="77"/>
        <v>2.4788790000000002E-2</v>
      </c>
      <c r="N259" s="364">
        <f t="shared" si="78"/>
        <v>-680.52322695161843</v>
      </c>
      <c r="P259" s="537"/>
      <c r="S259" s="395"/>
      <c r="T259" s="395"/>
    </row>
    <row r="260" spans="1:20">
      <c r="A260" s="112">
        <f t="shared" si="80"/>
        <v>245</v>
      </c>
      <c r="B260" s="570">
        <v>39918</v>
      </c>
      <c r="C260" s="80" t="s">
        <v>1455</v>
      </c>
      <c r="D260" s="364">
        <f>[4]Reserve!AF77</f>
        <v>-9966.41</v>
      </c>
      <c r="E260" s="364">
        <v>0</v>
      </c>
      <c r="F260" s="364">
        <f t="shared" si="74"/>
        <v>-9966.41</v>
      </c>
      <c r="G260" s="395">
        <v>1</v>
      </c>
      <c r="H260" s="395">
        <f>Allocation!$E$21</f>
        <v>2.4788790000000002E-2</v>
      </c>
      <c r="I260" s="364">
        <f t="shared" si="75"/>
        <v>-247.05524454390002</v>
      </c>
      <c r="K260" s="364">
        <f>[4]Reserve!D77</f>
        <v>-9966.4100000000017</v>
      </c>
      <c r="L260" s="395">
        <f t="shared" si="76"/>
        <v>1</v>
      </c>
      <c r="M260" s="395">
        <f t="shared" si="77"/>
        <v>2.4788790000000002E-2</v>
      </c>
      <c r="N260" s="364">
        <f t="shared" si="78"/>
        <v>-247.05524454390005</v>
      </c>
      <c r="P260" s="537"/>
      <c r="S260" s="395"/>
      <c r="T260" s="395"/>
    </row>
    <row r="261" spans="1:20">
      <c r="A261" s="112">
        <f t="shared" si="80"/>
        <v>246</v>
      </c>
      <c r="B261" s="570">
        <v>39924</v>
      </c>
      <c r="C261" s="80" t="s">
        <v>1456</v>
      </c>
      <c r="D261" s="364">
        <f>[4]Reserve!AF78</f>
        <v>0</v>
      </c>
      <c r="E261" s="364">
        <v>0</v>
      </c>
      <c r="F261" s="364">
        <f t="shared" si="74"/>
        <v>0</v>
      </c>
      <c r="G261" s="395">
        <f>Allocation!$C$15</f>
        <v>0.11020000000000001</v>
      </c>
      <c r="H261" s="395">
        <f>Allocation!$D$15</f>
        <v>0.50429999999999997</v>
      </c>
      <c r="I261" s="364">
        <f t="shared" si="75"/>
        <v>0</v>
      </c>
      <c r="K261" s="364">
        <f>[4]Reserve!D78</f>
        <v>0</v>
      </c>
      <c r="L261" s="395">
        <f t="shared" si="76"/>
        <v>0.11020000000000001</v>
      </c>
      <c r="M261" s="395">
        <f t="shared" si="77"/>
        <v>0.50429999999999997</v>
      </c>
      <c r="N261" s="364">
        <f t="shared" si="78"/>
        <v>0</v>
      </c>
      <c r="P261" s="537"/>
      <c r="S261" s="395"/>
      <c r="T261" s="395"/>
    </row>
    <row r="262" spans="1:20">
      <c r="A262" s="112">
        <f t="shared" si="80"/>
        <v>247</v>
      </c>
      <c r="B262" s="570"/>
      <c r="C262" s="80" t="s">
        <v>1124</v>
      </c>
      <c r="D262" s="364">
        <f>[4]Reserve!AF79</f>
        <v>0</v>
      </c>
      <c r="E262" s="326">
        <v>0</v>
      </c>
      <c r="F262" s="364">
        <f t="shared" si="74"/>
        <v>0</v>
      </c>
      <c r="G262" s="395">
        <f>$G$233</f>
        <v>0.11020000000000001</v>
      </c>
      <c r="H262" s="395">
        <f>$H$233</f>
        <v>0.50429999999999997</v>
      </c>
      <c r="I262" s="842">
        <f t="shared" si="75"/>
        <v>0</v>
      </c>
      <c r="K262" s="364">
        <f>[4]Reserve!D79</f>
        <v>0</v>
      </c>
      <c r="L262" s="395">
        <f t="shared" si="76"/>
        <v>0.11020000000000001</v>
      </c>
      <c r="M262" s="395">
        <f t="shared" si="77"/>
        <v>0.50429999999999997</v>
      </c>
      <c r="N262" s="842">
        <f t="shared" si="78"/>
        <v>0</v>
      </c>
      <c r="P262" s="537"/>
      <c r="S262" s="395"/>
      <c r="T262" s="395"/>
    </row>
    <row r="263" spans="1:20">
      <c r="A263" s="112">
        <f t="shared" si="80"/>
        <v>248</v>
      </c>
      <c r="B263" s="73"/>
      <c r="C263" s="80"/>
      <c r="D263" s="857"/>
      <c r="E263" s="499"/>
      <c r="F263" s="499"/>
      <c r="K263" s="499"/>
    </row>
    <row r="264" spans="1:20" ht="15.75" thickBot="1">
      <c r="A264" s="112">
        <f t="shared" si="80"/>
        <v>249</v>
      </c>
      <c r="B264" s="73"/>
      <c r="C264" s="205" t="s">
        <v>1278</v>
      </c>
      <c r="D264" s="1060">
        <f>SUM(D233:D263)</f>
        <v>82847280.466390654</v>
      </c>
      <c r="E264" s="1060">
        <f>SUM(E233:E263)</f>
        <v>0</v>
      </c>
      <c r="F264" s="1060">
        <f>SUM(F233:F263)</f>
        <v>82847280.466390654</v>
      </c>
      <c r="I264" s="1060">
        <f>SUM(I233:I263)</f>
        <v>4424717.8971560681</v>
      </c>
      <c r="K264" s="1060">
        <f>SUM(K233:K263)</f>
        <v>77497334.085761085</v>
      </c>
      <c r="N264" s="1060">
        <f>SUM(N233:N263)</f>
        <v>4135586.7160669598</v>
      </c>
    </row>
    <row r="265" spans="1:20" ht="15.75" thickTop="1">
      <c r="A265" s="112">
        <f t="shared" si="80"/>
        <v>250</v>
      </c>
    </row>
    <row r="266" spans="1:20" ht="30.75" thickBot="1">
      <c r="A266" s="112">
        <f t="shared" si="80"/>
        <v>251</v>
      </c>
      <c r="C266" s="496" t="s">
        <v>1126</v>
      </c>
      <c r="D266" s="1060">
        <f>D264+D228+D183+D120</f>
        <v>388423135.60229552</v>
      </c>
      <c r="E266" s="1060">
        <f>E264+E228+E183+E120</f>
        <v>0</v>
      </c>
      <c r="F266" s="1060">
        <f>F264+F228+F183+F120</f>
        <v>388423135.60229552</v>
      </c>
      <c r="I266" s="1060">
        <f>I264+I228+I183+I120</f>
        <v>191212833.04073417</v>
      </c>
      <c r="K266" s="1060">
        <f>K264+K228+K183+K120</f>
        <v>368202723.84516346</v>
      </c>
      <c r="N266" s="1060">
        <f>N264+N228+N183+N120</f>
        <v>186968706.50708419</v>
      </c>
    </row>
    <row r="267" spans="1:20" ht="15.75" thickTop="1"/>
    <row r="269" spans="1:20">
      <c r="B269" s="72" t="s">
        <v>1607</v>
      </c>
    </row>
    <row r="270" spans="1:20">
      <c r="B270" s="72" t="s">
        <v>1608</v>
      </c>
    </row>
  </sheetData>
  <mergeCells count="4">
    <mergeCell ref="A1:N1"/>
    <mergeCell ref="A2:N2"/>
    <mergeCell ref="A3:N3"/>
    <mergeCell ref="A4:N4"/>
  </mergeCells>
  <phoneticPr fontId="21" type="noConversion"/>
  <pageMargins left="0.75" right="0.66" top="1" bottom="0.94" header="0.5" footer="0.5"/>
  <pageSetup scale="55" orientation="landscape" r:id="rId1"/>
  <headerFooter alignWithMargins="0">
    <oddFooter>&amp;RSchedule &amp;A
Page &amp;P of &amp;N</oddFooter>
  </headerFooter>
  <rowBreaks count="6" manualBreakCount="6">
    <brk id="47" max="13" man="1"/>
    <brk id="86" max="13" man="1"/>
    <brk id="122" max="13" man="1"/>
    <brk id="155" max="13" man="1"/>
    <brk id="183" max="13" man="1"/>
    <brk id="228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O267"/>
  <sheetViews>
    <sheetView view="pageBreakPreview" zoomScale="80" zoomScaleNormal="100" zoomScaleSheetLayoutView="80" workbookViewId="0">
      <selection sqref="A1:I1"/>
    </sheetView>
  </sheetViews>
  <sheetFormatPr defaultColWidth="8.88671875" defaultRowHeight="15"/>
  <cols>
    <col min="1" max="1" width="4.77734375" style="72" customWidth="1"/>
    <col min="2" max="2" width="9.33203125" style="72" customWidth="1"/>
    <col min="3" max="3" width="34.33203125" style="72" customWidth="1"/>
    <col min="4" max="4" width="14.109375" style="72" customWidth="1"/>
    <col min="5" max="5" width="11" style="686" customWidth="1"/>
    <col min="6" max="6" width="11.33203125" style="686" customWidth="1"/>
    <col min="7" max="7" width="11.109375" style="686" customWidth="1"/>
    <col min="8" max="8" width="15.109375" style="72" customWidth="1"/>
    <col min="9" max="9" width="3.21875" style="72" customWidth="1"/>
    <col min="10" max="10" width="4.33203125" style="72" customWidth="1"/>
    <col min="11" max="11" width="11.109375" style="72" customWidth="1"/>
    <col min="12" max="12" width="9.6640625" style="72" customWidth="1"/>
    <col min="13" max="13" width="13.88671875" style="72" customWidth="1"/>
    <col min="14" max="16384" width="8.88671875" style="72"/>
  </cols>
  <sheetData>
    <row r="1" spans="1:13">
      <c r="A1" s="1260" t="str">
        <f>'Table of Contents'!A1:C1</f>
        <v>Atmos Energy Corporation, Kentucky/Mid-States Division</v>
      </c>
      <c r="B1" s="1260"/>
      <c r="C1" s="1260"/>
      <c r="D1" s="1260"/>
      <c r="E1" s="1260"/>
      <c r="F1" s="1260"/>
      <c r="G1" s="1260"/>
      <c r="H1" s="1260"/>
      <c r="I1" s="1260"/>
    </row>
    <row r="2" spans="1:13">
      <c r="A2" s="1260" t="str">
        <f>'Table of Contents'!A2:C2</f>
        <v>Kentucky Jurisdiction Case No. 2021-00214</v>
      </c>
      <c r="B2" s="1260"/>
      <c r="C2" s="1260"/>
      <c r="D2" s="1260"/>
      <c r="E2" s="1260"/>
      <c r="F2" s="1260"/>
      <c r="G2" s="1260"/>
      <c r="H2" s="1260"/>
      <c r="I2" s="1260"/>
    </row>
    <row r="3" spans="1:13">
      <c r="A3" s="1261" t="s">
        <v>90</v>
      </c>
      <c r="B3" s="1261"/>
      <c r="C3" s="1261"/>
      <c r="D3" s="1261"/>
      <c r="E3" s="1261"/>
      <c r="F3" s="1261"/>
      <c r="G3" s="1261"/>
      <c r="H3" s="1261"/>
      <c r="I3" s="1261"/>
    </row>
    <row r="4" spans="1:13">
      <c r="A4" s="1260" t="str">
        <f>'Table of Contents'!A4:C4</f>
        <v>Forecasted Test Period: Twelve Months Ended December 31, 2022</v>
      </c>
      <c r="B4" s="1260"/>
      <c r="C4" s="1260"/>
      <c r="D4" s="1260"/>
      <c r="E4" s="1260"/>
      <c r="F4" s="1260"/>
      <c r="G4" s="1260"/>
      <c r="H4" s="1260"/>
      <c r="I4" s="1260"/>
    </row>
    <row r="5" spans="1:13" ht="15.75">
      <c r="A5" s="133"/>
      <c r="B5" s="133"/>
      <c r="C5" s="133"/>
      <c r="D5" s="729"/>
      <c r="E5" s="589"/>
      <c r="F5" s="689"/>
      <c r="G5" s="689"/>
      <c r="H5" s="73"/>
      <c r="I5" s="73"/>
    </row>
    <row r="6" spans="1:13" ht="15.75">
      <c r="A6" s="472" t="str">
        <f>'B.1 F '!A6</f>
        <v>Data:______Base Period__X___Forecasted Period</v>
      </c>
      <c r="B6" s="73"/>
      <c r="C6" s="73"/>
      <c r="D6" s="73"/>
      <c r="E6" s="689"/>
      <c r="F6" s="689"/>
      <c r="H6" s="728" t="s">
        <v>1363</v>
      </c>
      <c r="M6" s="729"/>
    </row>
    <row r="7" spans="1:13">
      <c r="A7" s="472" t="str">
        <f>'B.1 F '!A7</f>
        <v>Type of Filing:___X____Original________Updated ________Revised</v>
      </c>
      <c r="B7" s="80"/>
      <c r="C7" s="73"/>
      <c r="D7" s="73"/>
      <c r="E7" s="689"/>
      <c r="F7" s="689"/>
      <c r="H7" s="827" t="s">
        <v>693</v>
      </c>
      <c r="I7" s="80"/>
    </row>
    <row r="8" spans="1:13">
      <c r="A8" s="1061" t="str">
        <f>'B.1 F '!A8</f>
        <v>Workpaper Reference No(s).</v>
      </c>
      <c r="B8" s="134"/>
      <c r="C8" s="134"/>
      <c r="D8" s="134"/>
      <c r="E8" s="859"/>
      <c r="F8" s="859"/>
      <c r="G8" s="751"/>
      <c r="H8" s="979" t="str">
        <f>'B.2 B'!N8</f>
        <v>Witness: Christian</v>
      </c>
      <c r="I8" s="335"/>
    </row>
    <row r="9" spans="1:13">
      <c r="A9" s="826"/>
      <c r="B9" s="66"/>
      <c r="C9" s="66"/>
      <c r="D9" s="66"/>
      <c r="E9" s="579"/>
      <c r="F9" s="68"/>
      <c r="G9" s="67"/>
      <c r="H9" s="826"/>
      <c r="I9" s="826"/>
    </row>
    <row r="10" spans="1:13">
      <c r="A10" s="826"/>
      <c r="B10" s="66"/>
      <c r="C10" s="66"/>
      <c r="D10" s="689" t="s">
        <v>1281</v>
      </c>
      <c r="E10" s="68" t="s">
        <v>1225</v>
      </c>
      <c r="F10" s="68" t="s">
        <v>13</v>
      </c>
      <c r="G10" s="687" t="s">
        <v>11</v>
      </c>
      <c r="H10" s="826"/>
      <c r="I10" s="826"/>
    </row>
    <row r="11" spans="1:13">
      <c r="A11" s="80" t="s">
        <v>92</v>
      </c>
      <c r="B11" s="687" t="s">
        <v>266</v>
      </c>
      <c r="C11" s="687" t="s">
        <v>215</v>
      </c>
      <c r="D11" s="689" t="s">
        <v>1280</v>
      </c>
      <c r="E11" s="687" t="s">
        <v>268</v>
      </c>
      <c r="F11" s="687" t="s">
        <v>14</v>
      </c>
      <c r="G11" s="67" t="s">
        <v>589</v>
      </c>
      <c r="H11" s="687" t="s">
        <v>12</v>
      </c>
      <c r="I11" s="687"/>
    </row>
    <row r="12" spans="1:13">
      <c r="A12" s="163" t="s">
        <v>98</v>
      </c>
      <c r="B12" s="163" t="s">
        <v>98</v>
      </c>
      <c r="C12" s="163" t="s">
        <v>294</v>
      </c>
      <c r="D12" s="1062">
        <f>'B.2 F'!D10</f>
        <v>44926</v>
      </c>
      <c r="E12" s="163" t="s">
        <v>989</v>
      </c>
      <c r="F12" s="163" t="s">
        <v>622</v>
      </c>
      <c r="G12" s="163" t="s">
        <v>622</v>
      </c>
      <c r="H12" s="163" t="s">
        <v>103</v>
      </c>
      <c r="I12" s="67"/>
      <c r="K12" s="363"/>
      <c r="L12" s="363"/>
    </row>
    <row r="13" spans="1:13">
      <c r="A13" s="67"/>
      <c r="B13" s="67"/>
      <c r="C13" s="67"/>
      <c r="D13" s="67"/>
      <c r="E13" s="67"/>
      <c r="F13" s="67"/>
      <c r="G13" s="67"/>
      <c r="H13" s="67"/>
      <c r="I13" s="67"/>
    </row>
    <row r="14" spans="1:13" ht="15.75">
      <c r="B14" s="764" t="s">
        <v>6</v>
      </c>
    </row>
    <row r="15" spans="1:13">
      <c r="A15" s="687">
        <v>1</v>
      </c>
      <c r="B15" s="73"/>
      <c r="C15" s="500" t="s">
        <v>295</v>
      </c>
    </row>
    <row r="16" spans="1:13">
      <c r="A16" s="112">
        <f>A15+1</f>
        <v>2</v>
      </c>
      <c r="B16" s="431">
        <v>30100</v>
      </c>
      <c r="C16" s="80" t="s">
        <v>289</v>
      </c>
      <c r="D16" s="304">
        <f>[4]Reserve!BM112</f>
        <v>0</v>
      </c>
      <c r="E16" s="395">
        <v>1</v>
      </c>
      <c r="F16" s="394">
        <v>1</v>
      </c>
      <c r="G16" s="394">
        <f>$F$16</f>
        <v>1</v>
      </c>
      <c r="H16" s="304">
        <f>D16*E16*F16*G16</f>
        <v>0</v>
      </c>
      <c r="I16" s="740"/>
    </row>
    <row r="17" spans="1:8">
      <c r="A17" s="112">
        <f t="shared" ref="A17:A83" si="0">A16+1</f>
        <v>3</v>
      </c>
      <c r="B17" s="431">
        <v>30200</v>
      </c>
      <c r="C17" s="80" t="s">
        <v>152</v>
      </c>
      <c r="D17" s="364">
        <f>[4]Reserve!BM113</f>
        <v>0</v>
      </c>
      <c r="E17" s="395">
        <v>1</v>
      </c>
      <c r="F17" s="394">
        <f>$F$16</f>
        <v>1</v>
      </c>
      <c r="G17" s="394">
        <f>$F$16</f>
        <v>1</v>
      </c>
      <c r="H17" s="364">
        <f>D17*E17*F17*G17</f>
        <v>0</v>
      </c>
    </row>
    <row r="18" spans="1:8">
      <c r="A18" s="112">
        <f t="shared" si="0"/>
        <v>4</v>
      </c>
      <c r="B18" s="431"/>
      <c r="C18" s="80"/>
      <c r="D18" s="853"/>
      <c r="E18" s="395"/>
      <c r="F18" s="394"/>
      <c r="G18" s="394"/>
      <c r="H18" s="853"/>
    </row>
    <row r="19" spans="1:8">
      <c r="A19" s="112">
        <f t="shared" si="0"/>
        <v>5</v>
      </c>
      <c r="B19" s="570"/>
      <c r="C19" s="80" t="s">
        <v>1292</v>
      </c>
      <c r="D19" s="304">
        <f>SUM(D16:D18)</f>
        <v>0</v>
      </c>
      <c r="E19" s="395"/>
      <c r="F19" s="394"/>
      <c r="G19" s="394"/>
      <c r="H19" s="304">
        <f>SUM(H16:H18)</f>
        <v>0</v>
      </c>
    </row>
    <row r="20" spans="1:8">
      <c r="A20" s="112">
        <f t="shared" si="0"/>
        <v>6</v>
      </c>
      <c r="B20" s="570"/>
      <c r="C20" s="73"/>
      <c r="D20" s="364"/>
      <c r="E20" s="395"/>
      <c r="F20" s="394"/>
      <c r="G20" s="394"/>
      <c r="H20" s="364"/>
    </row>
    <row r="21" spans="1:8">
      <c r="A21" s="112">
        <f t="shared" si="0"/>
        <v>7</v>
      </c>
      <c r="B21" s="570"/>
      <c r="C21" s="500" t="s">
        <v>153</v>
      </c>
      <c r="D21" s="364"/>
      <c r="E21" s="395"/>
      <c r="F21" s="394"/>
      <c r="G21" s="394"/>
      <c r="H21" s="364"/>
    </row>
    <row r="22" spans="1:8">
      <c r="A22" s="112">
        <f t="shared" si="0"/>
        <v>8</v>
      </c>
      <c r="B22" s="431">
        <v>32540</v>
      </c>
      <c r="C22" s="80" t="s">
        <v>160</v>
      </c>
      <c r="D22" s="304">
        <f>[4]Reserve!BM114</f>
        <v>0</v>
      </c>
      <c r="E22" s="395">
        <v>1</v>
      </c>
      <c r="F22" s="394">
        <f t="shared" ref="F22:G24" si="1">$F$16</f>
        <v>1</v>
      </c>
      <c r="G22" s="394">
        <f t="shared" si="1"/>
        <v>1</v>
      </c>
      <c r="H22" s="364">
        <f t="shared" ref="H22:H24" si="2">D22*E22*F22*G22</f>
        <v>0</v>
      </c>
    </row>
    <row r="23" spans="1:8">
      <c r="A23" s="112">
        <f t="shared" si="0"/>
        <v>9</v>
      </c>
      <c r="B23" s="431">
        <v>33202</v>
      </c>
      <c r="C23" s="80" t="s">
        <v>591</v>
      </c>
      <c r="D23" s="364">
        <f>[4]Reserve!BM115</f>
        <v>0</v>
      </c>
      <c r="E23" s="395">
        <v>1</v>
      </c>
      <c r="F23" s="394">
        <f t="shared" si="1"/>
        <v>1</v>
      </c>
      <c r="G23" s="394">
        <f t="shared" si="1"/>
        <v>1</v>
      </c>
      <c r="H23" s="364">
        <f t="shared" si="2"/>
        <v>0</v>
      </c>
    </row>
    <row r="24" spans="1:8">
      <c r="A24" s="112">
        <f t="shared" si="0"/>
        <v>10</v>
      </c>
      <c r="B24" s="431">
        <v>33400</v>
      </c>
      <c r="C24" s="80" t="s">
        <v>1101</v>
      </c>
      <c r="D24" s="364">
        <f>[4]Reserve!BM116</f>
        <v>0</v>
      </c>
      <c r="E24" s="395">
        <v>1</v>
      </c>
      <c r="F24" s="394">
        <f t="shared" si="1"/>
        <v>1</v>
      </c>
      <c r="G24" s="394">
        <f t="shared" si="1"/>
        <v>1</v>
      </c>
      <c r="H24" s="364">
        <f t="shared" si="2"/>
        <v>0</v>
      </c>
    </row>
    <row r="25" spans="1:8">
      <c r="A25" s="112">
        <f t="shared" si="0"/>
        <v>11</v>
      </c>
      <c r="B25" s="431"/>
      <c r="C25" s="73"/>
      <c r="D25" s="853"/>
      <c r="E25" s="395"/>
      <c r="F25" s="394"/>
      <c r="G25" s="394"/>
      <c r="H25" s="364"/>
    </row>
    <row r="26" spans="1:8">
      <c r="A26" s="112">
        <f t="shared" si="0"/>
        <v>12</v>
      </c>
      <c r="B26" s="431"/>
      <c r="C26" s="73" t="s">
        <v>1291</v>
      </c>
      <c r="D26" s="304">
        <f>SUM(D22:D25)</f>
        <v>0</v>
      </c>
      <c r="E26" s="395"/>
      <c r="F26" s="394"/>
      <c r="G26" s="394"/>
      <c r="H26" s="304">
        <f>SUM(H22:H25)</f>
        <v>0</v>
      </c>
    </row>
    <row r="27" spans="1:8">
      <c r="A27" s="112">
        <f t="shared" si="0"/>
        <v>13</v>
      </c>
      <c r="B27" s="431"/>
      <c r="C27" s="80"/>
      <c r="D27" s="364"/>
      <c r="E27" s="395"/>
      <c r="F27" s="394"/>
      <c r="G27" s="394"/>
      <c r="H27" s="364"/>
    </row>
    <row r="28" spans="1:8">
      <c r="A28" s="112">
        <f t="shared" si="0"/>
        <v>14</v>
      </c>
      <c r="B28" s="431"/>
      <c r="C28" s="500" t="s">
        <v>277</v>
      </c>
      <c r="D28" s="364"/>
      <c r="E28" s="395"/>
      <c r="F28" s="394"/>
      <c r="G28" s="394"/>
      <c r="H28" s="364"/>
    </row>
    <row r="29" spans="1:8">
      <c r="A29" s="112">
        <f t="shared" si="0"/>
        <v>15</v>
      </c>
      <c r="B29" s="431">
        <v>35010</v>
      </c>
      <c r="C29" s="80" t="s">
        <v>290</v>
      </c>
      <c r="D29" s="304">
        <f>[4]Reserve!BM117</f>
        <v>0</v>
      </c>
      <c r="E29" s="395">
        <v>1</v>
      </c>
      <c r="F29" s="394">
        <f t="shared" ref="F29:G45" si="3">$F$16</f>
        <v>1</v>
      </c>
      <c r="G29" s="394">
        <f t="shared" si="3"/>
        <v>1</v>
      </c>
      <c r="H29" s="304">
        <f t="shared" ref="H29:H45" si="4">D29*E29*F29*G29</f>
        <v>0</v>
      </c>
    </row>
    <row r="30" spans="1:8">
      <c r="A30" s="112">
        <f t="shared" si="0"/>
        <v>16</v>
      </c>
      <c r="B30" s="431">
        <v>35020</v>
      </c>
      <c r="C30" s="80" t="s">
        <v>785</v>
      </c>
      <c r="D30" s="364">
        <f>[4]Reserve!BM118</f>
        <v>31.834743999999997</v>
      </c>
      <c r="E30" s="395">
        <v>1</v>
      </c>
      <c r="F30" s="394">
        <f t="shared" si="3"/>
        <v>1</v>
      </c>
      <c r="G30" s="394">
        <f t="shared" si="3"/>
        <v>1</v>
      </c>
      <c r="H30" s="364">
        <f t="shared" si="4"/>
        <v>31.834743999999997</v>
      </c>
    </row>
    <row r="31" spans="1:8">
      <c r="A31" s="112">
        <f t="shared" si="0"/>
        <v>17</v>
      </c>
      <c r="B31" s="431">
        <v>35100</v>
      </c>
      <c r="C31" s="80" t="s">
        <v>956</v>
      </c>
      <c r="D31" s="364">
        <f>[4]Reserve!BM119</f>
        <v>293.82551599999994</v>
      </c>
      <c r="E31" s="395">
        <v>1</v>
      </c>
      <c r="F31" s="394">
        <f t="shared" si="3"/>
        <v>1</v>
      </c>
      <c r="G31" s="394">
        <f t="shared" si="3"/>
        <v>1</v>
      </c>
      <c r="H31" s="364">
        <f t="shared" si="4"/>
        <v>293.82551599999994</v>
      </c>
    </row>
    <row r="32" spans="1:8">
      <c r="A32" s="112">
        <f t="shared" si="0"/>
        <v>18</v>
      </c>
      <c r="B32" s="431">
        <v>35102</v>
      </c>
      <c r="C32" s="80" t="s">
        <v>278</v>
      </c>
      <c r="D32" s="364">
        <f>[4]Reserve!BM120</f>
        <v>2099.6798100000005</v>
      </c>
      <c r="E32" s="395">
        <v>1</v>
      </c>
      <c r="F32" s="394">
        <f t="shared" si="3"/>
        <v>1</v>
      </c>
      <c r="G32" s="394">
        <f t="shared" si="3"/>
        <v>1</v>
      </c>
      <c r="H32" s="364">
        <f t="shared" si="4"/>
        <v>2099.6798100000005</v>
      </c>
    </row>
    <row r="33" spans="1:8">
      <c r="A33" s="112">
        <f t="shared" si="0"/>
        <v>19</v>
      </c>
      <c r="B33" s="431">
        <v>35103</v>
      </c>
      <c r="C33" s="80" t="s">
        <v>580</v>
      </c>
      <c r="D33" s="364">
        <f>[4]Reserve!BM121</f>
        <v>254.52218000000002</v>
      </c>
      <c r="E33" s="395">
        <v>1</v>
      </c>
      <c r="F33" s="394">
        <f t="shared" si="3"/>
        <v>1</v>
      </c>
      <c r="G33" s="394">
        <f t="shared" si="3"/>
        <v>1</v>
      </c>
      <c r="H33" s="364">
        <f t="shared" si="4"/>
        <v>254.52218000000002</v>
      </c>
    </row>
    <row r="34" spans="1:8">
      <c r="A34" s="112">
        <f t="shared" si="0"/>
        <v>20</v>
      </c>
      <c r="B34" s="431">
        <v>35104</v>
      </c>
      <c r="C34" s="80" t="s">
        <v>581</v>
      </c>
      <c r="D34" s="364">
        <f>[4]Reserve!BM122</f>
        <v>1896.7069140000001</v>
      </c>
      <c r="E34" s="395">
        <v>1</v>
      </c>
      <c r="F34" s="394">
        <f t="shared" si="3"/>
        <v>1</v>
      </c>
      <c r="G34" s="394">
        <f t="shared" si="3"/>
        <v>1</v>
      </c>
      <c r="H34" s="364">
        <f t="shared" si="4"/>
        <v>1896.7069140000001</v>
      </c>
    </row>
    <row r="35" spans="1:8">
      <c r="A35" s="112">
        <f t="shared" si="0"/>
        <v>21</v>
      </c>
      <c r="B35" s="431">
        <v>35200</v>
      </c>
      <c r="C35" s="80" t="s">
        <v>437</v>
      </c>
      <c r="D35" s="364">
        <f>[4]Reserve!BM123</f>
        <v>173487.69838699998</v>
      </c>
      <c r="E35" s="395">
        <v>1</v>
      </c>
      <c r="F35" s="394">
        <f t="shared" si="3"/>
        <v>1</v>
      </c>
      <c r="G35" s="394">
        <f t="shared" si="3"/>
        <v>1</v>
      </c>
      <c r="H35" s="364">
        <f t="shared" si="4"/>
        <v>173487.69838699998</v>
      </c>
    </row>
    <row r="36" spans="1:8">
      <c r="A36" s="112">
        <f t="shared" si="0"/>
        <v>22</v>
      </c>
      <c r="B36" s="431">
        <v>35201</v>
      </c>
      <c r="C36" s="80" t="s">
        <v>582</v>
      </c>
      <c r="D36" s="364">
        <f>[4]Reserve!BM124</f>
        <v>27199.976640000004</v>
      </c>
      <c r="E36" s="395">
        <v>1</v>
      </c>
      <c r="F36" s="394">
        <f t="shared" si="3"/>
        <v>1</v>
      </c>
      <c r="G36" s="394">
        <f t="shared" si="3"/>
        <v>1</v>
      </c>
      <c r="H36" s="364">
        <f t="shared" si="4"/>
        <v>27199.976640000004</v>
      </c>
    </row>
    <row r="37" spans="1:8">
      <c r="A37" s="112">
        <f t="shared" si="0"/>
        <v>23</v>
      </c>
      <c r="B37" s="431">
        <v>35202</v>
      </c>
      <c r="C37" s="80" t="s">
        <v>583</v>
      </c>
      <c r="D37" s="364">
        <f>[4]Reserve!BM125</f>
        <v>0</v>
      </c>
      <c r="E37" s="395">
        <v>1</v>
      </c>
      <c r="F37" s="394">
        <f t="shared" si="3"/>
        <v>1</v>
      </c>
      <c r="G37" s="394">
        <f t="shared" si="3"/>
        <v>1</v>
      </c>
      <c r="H37" s="364">
        <f t="shared" si="4"/>
        <v>0</v>
      </c>
    </row>
    <row r="38" spans="1:8">
      <c r="A38" s="112">
        <f t="shared" si="0"/>
        <v>24</v>
      </c>
      <c r="B38" s="431">
        <v>35203</v>
      </c>
      <c r="C38" s="80" t="s">
        <v>341</v>
      </c>
      <c r="D38" s="364">
        <f>[4]Reserve!BM126</f>
        <v>23727.661440000007</v>
      </c>
      <c r="E38" s="395">
        <v>1</v>
      </c>
      <c r="F38" s="394">
        <f t="shared" si="3"/>
        <v>1</v>
      </c>
      <c r="G38" s="394">
        <f t="shared" si="3"/>
        <v>1</v>
      </c>
      <c r="H38" s="364">
        <f t="shared" si="4"/>
        <v>23727.661440000007</v>
      </c>
    </row>
    <row r="39" spans="1:8">
      <c r="A39" s="112">
        <f t="shared" si="0"/>
        <v>25</v>
      </c>
      <c r="B39" s="431">
        <v>35210</v>
      </c>
      <c r="C39" s="80" t="s">
        <v>584</v>
      </c>
      <c r="D39" s="364">
        <f>[4]Reserve!BM127</f>
        <v>999.76850399999978</v>
      </c>
      <c r="E39" s="395">
        <v>1</v>
      </c>
      <c r="F39" s="394">
        <f t="shared" si="3"/>
        <v>1</v>
      </c>
      <c r="G39" s="394">
        <f t="shared" si="3"/>
        <v>1</v>
      </c>
      <c r="H39" s="364">
        <f t="shared" si="4"/>
        <v>999.76850399999978</v>
      </c>
    </row>
    <row r="40" spans="1:8">
      <c r="A40" s="112">
        <f t="shared" si="0"/>
        <v>26</v>
      </c>
      <c r="B40" s="431">
        <v>35211</v>
      </c>
      <c r="C40" s="80" t="s">
        <v>585</v>
      </c>
      <c r="D40" s="364">
        <f>[4]Reserve!BM128</f>
        <v>557.06555399999991</v>
      </c>
      <c r="E40" s="395">
        <v>1</v>
      </c>
      <c r="F40" s="394">
        <f t="shared" si="3"/>
        <v>1</v>
      </c>
      <c r="G40" s="394">
        <f t="shared" si="3"/>
        <v>1</v>
      </c>
      <c r="H40" s="364">
        <f t="shared" si="4"/>
        <v>557.06555399999991</v>
      </c>
    </row>
    <row r="41" spans="1:8">
      <c r="A41" s="112">
        <f t="shared" si="0"/>
        <v>27</v>
      </c>
      <c r="B41" s="431">
        <v>35301</v>
      </c>
      <c r="C41" s="73" t="s">
        <v>161</v>
      </c>
      <c r="D41" s="364">
        <f>[4]Reserve!BM129</f>
        <v>2209.4146619999997</v>
      </c>
      <c r="E41" s="395">
        <v>1</v>
      </c>
      <c r="F41" s="394">
        <f t="shared" si="3"/>
        <v>1</v>
      </c>
      <c r="G41" s="394">
        <f t="shared" si="3"/>
        <v>1</v>
      </c>
      <c r="H41" s="364">
        <f t="shared" si="4"/>
        <v>2209.4146619999997</v>
      </c>
    </row>
    <row r="42" spans="1:8">
      <c r="A42" s="112">
        <f t="shared" si="0"/>
        <v>28</v>
      </c>
      <c r="B42" s="431">
        <v>35302</v>
      </c>
      <c r="C42" s="80" t="s">
        <v>591</v>
      </c>
      <c r="D42" s="364">
        <f>[4]Reserve!BM130</f>
        <v>2637.4181399999998</v>
      </c>
      <c r="E42" s="395">
        <v>1</v>
      </c>
      <c r="F42" s="394">
        <f t="shared" si="3"/>
        <v>1</v>
      </c>
      <c r="G42" s="394">
        <f t="shared" si="3"/>
        <v>1</v>
      </c>
      <c r="H42" s="364">
        <f t="shared" si="4"/>
        <v>2637.4181399999998</v>
      </c>
    </row>
    <row r="43" spans="1:8">
      <c r="A43" s="112">
        <f t="shared" si="0"/>
        <v>29</v>
      </c>
      <c r="B43" s="431">
        <v>35400</v>
      </c>
      <c r="C43" s="80" t="s">
        <v>586</v>
      </c>
      <c r="D43" s="364">
        <f>[4]Reserve!BM131</f>
        <v>15790.927455000005</v>
      </c>
      <c r="E43" s="395">
        <v>1</v>
      </c>
      <c r="F43" s="394">
        <f t="shared" si="3"/>
        <v>1</v>
      </c>
      <c r="G43" s="394">
        <f t="shared" si="3"/>
        <v>1</v>
      </c>
      <c r="H43" s="364">
        <f t="shared" si="4"/>
        <v>15790.927455000005</v>
      </c>
    </row>
    <row r="44" spans="1:8">
      <c r="A44" s="112">
        <f t="shared" si="0"/>
        <v>30</v>
      </c>
      <c r="B44" s="431">
        <v>35500</v>
      </c>
      <c r="C44" s="80" t="s">
        <v>979</v>
      </c>
      <c r="D44" s="364">
        <f>[4]Reserve!BM132</f>
        <v>5106.6779060000008</v>
      </c>
      <c r="E44" s="395">
        <v>1</v>
      </c>
      <c r="F44" s="394">
        <f t="shared" si="3"/>
        <v>1</v>
      </c>
      <c r="G44" s="394">
        <f t="shared" si="3"/>
        <v>1</v>
      </c>
      <c r="H44" s="364">
        <f t="shared" si="4"/>
        <v>5106.6779060000008</v>
      </c>
    </row>
    <row r="45" spans="1:8">
      <c r="A45" s="112">
        <f t="shared" si="0"/>
        <v>31</v>
      </c>
      <c r="B45" s="431">
        <v>35600</v>
      </c>
      <c r="C45" s="80" t="s">
        <v>1024</v>
      </c>
      <c r="D45" s="364">
        <f>[4]Reserve!BM133</f>
        <v>20725.745249999996</v>
      </c>
      <c r="E45" s="395">
        <v>1</v>
      </c>
      <c r="F45" s="394">
        <f t="shared" si="3"/>
        <v>1</v>
      </c>
      <c r="G45" s="394">
        <f t="shared" si="3"/>
        <v>1</v>
      </c>
      <c r="H45" s="842">
        <f t="shared" si="4"/>
        <v>20725.745249999996</v>
      </c>
    </row>
    <row r="46" spans="1:8">
      <c r="A46" s="112">
        <f t="shared" si="0"/>
        <v>32</v>
      </c>
      <c r="B46" s="431"/>
      <c r="C46" s="80"/>
      <c r="D46" s="853"/>
      <c r="E46" s="395"/>
      <c r="F46" s="394"/>
      <c r="G46" s="394"/>
      <c r="H46" s="364"/>
    </row>
    <row r="47" spans="1:8">
      <c r="A47" s="112">
        <f t="shared" si="0"/>
        <v>33</v>
      </c>
      <c r="B47" s="431"/>
      <c r="C47" s="80" t="s">
        <v>1289</v>
      </c>
      <c r="D47" s="304">
        <f>SUM(D29:D46)</f>
        <v>277018.92310199997</v>
      </c>
      <c r="E47" s="395"/>
      <c r="F47" s="394"/>
      <c r="G47" s="394"/>
      <c r="H47" s="304">
        <f>SUM(H29:H46)</f>
        <v>277018.92310199997</v>
      </c>
    </row>
    <row r="48" spans="1:8">
      <c r="A48" s="112">
        <f t="shared" si="0"/>
        <v>34</v>
      </c>
      <c r="B48" s="431"/>
      <c r="C48" s="80"/>
      <c r="D48" s="364"/>
      <c r="E48" s="395"/>
      <c r="F48" s="394"/>
      <c r="G48" s="394"/>
      <c r="H48" s="364"/>
    </row>
    <row r="49" spans="1:14">
      <c r="A49" s="112">
        <f t="shared" si="0"/>
        <v>35</v>
      </c>
      <c r="B49" s="431"/>
      <c r="C49" s="500" t="s">
        <v>980</v>
      </c>
      <c r="D49" s="364"/>
      <c r="E49" s="395"/>
      <c r="F49" s="394"/>
      <c r="G49" s="394"/>
      <c r="H49" s="364"/>
    </row>
    <row r="50" spans="1:14">
      <c r="A50" s="112">
        <f t="shared" si="0"/>
        <v>36</v>
      </c>
      <c r="B50" s="431">
        <v>36510</v>
      </c>
      <c r="C50" s="80" t="s">
        <v>290</v>
      </c>
      <c r="D50" s="304">
        <f>[4]Reserve!BM134</f>
        <v>0</v>
      </c>
      <c r="E50" s="395">
        <v>1</v>
      </c>
      <c r="F50" s="394">
        <f t="shared" ref="F50:G58" si="5">$F$16</f>
        <v>1</v>
      </c>
      <c r="G50" s="394">
        <f t="shared" si="5"/>
        <v>1</v>
      </c>
      <c r="H50" s="304">
        <f t="shared" ref="H50:H58" si="6">D50*E50*F50*G50</f>
        <v>0</v>
      </c>
    </row>
    <row r="51" spans="1:14">
      <c r="A51" s="112">
        <f t="shared" si="0"/>
        <v>37</v>
      </c>
      <c r="B51" s="431">
        <v>36520</v>
      </c>
      <c r="C51" s="80" t="s">
        <v>785</v>
      </c>
      <c r="D51" s="364">
        <f>[4]Reserve!BM135</f>
        <v>7376.0620000000026</v>
      </c>
      <c r="E51" s="395">
        <v>1</v>
      </c>
      <c r="F51" s="394">
        <f t="shared" si="5"/>
        <v>1</v>
      </c>
      <c r="G51" s="394">
        <f t="shared" si="5"/>
        <v>1</v>
      </c>
      <c r="H51" s="364">
        <f t="shared" si="6"/>
        <v>7376.0620000000026</v>
      </c>
    </row>
    <row r="52" spans="1:14">
      <c r="A52" s="112">
        <f t="shared" si="0"/>
        <v>38</v>
      </c>
      <c r="B52" s="431">
        <v>36602</v>
      </c>
      <c r="C52" s="80" t="s">
        <v>848</v>
      </c>
      <c r="D52" s="364">
        <f>[4]Reserve!BM136</f>
        <v>553.71943599999997</v>
      </c>
      <c r="E52" s="395">
        <v>1</v>
      </c>
      <c r="F52" s="394">
        <f t="shared" si="5"/>
        <v>1</v>
      </c>
      <c r="G52" s="394">
        <f t="shared" si="5"/>
        <v>1</v>
      </c>
      <c r="H52" s="364">
        <f t="shared" si="6"/>
        <v>553.71943599999997</v>
      </c>
    </row>
    <row r="53" spans="1:14">
      <c r="A53" s="112">
        <f t="shared" si="0"/>
        <v>39</v>
      </c>
      <c r="B53" s="431">
        <v>36603</v>
      </c>
      <c r="C53" s="80" t="s">
        <v>981</v>
      </c>
      <c r="D53" s="364">
        <f>[4]Reserve!BM137</f>
        <v>0</v>
      </c>
      <c r="E53" s="395">
        <v>1</v>
      </c>
      <c r="F53" s="394">
        <f t="shared" si="5"/>
        <v>1</v>
      </c>
      <c r="G53" s="394">
        <f t="shared" si="5"/>
        <v>1</v>
      </c>
      <c r="H53" s="364">
        <f t="shared" si="6"/>
        <v>0</v>
      </c>
    </row>
    <row r="54" spans="1:14">
      <c r="A54" s="112">
        <f t="shared" si="0"/>
        <v>40</v>
      </c>
      <c r="B54" s="431">
        <v>36700</v>
      </c>
      <c r="C54" s="80" t="s">
        <v>836</v>
      </c>
      <c r="D54" s="364">
        <f>[4]Reserve!BM138</f>
        <v>1478.3907090000002</v>
      </c>
      <c r="E54" s="395">
        <v>1</v>
      </c>
      <c r="F54" s="394">
        <f t="shared" si="5"/>
        <v>1</v>
      </c>
      <c r="G54" s="394">
        <f t="shared" si="5"/>
        <v>1</v>
      </c>
      <c r="H54" s="364">
        <f t="shared" si="6"/>
        <v>1478.3907090000002</v>
      </c>
    </row>
    <row r="55" spans="1:14">
      <c r="A55" s="112">
        <f t="shared" si="0"/>
        <v>41</v>
      </c>
      <c r="B55" s="431">
        <v>36701</v>
      </c>
      <c r="C55" s="80" t="s">
        <v>16</v>
      </c>
      <c r="D55" s="364">
        <f>[4]Reserve!BM139</f>
        <v>384031.38000599999</v>
      </c>
      <c r="E55" s="395">
        <v>1</v>
      </c>
      <c r="F55" s="394">
        <f t="shared" si="5"/>
        <v>1</v>
      </c>
      <c r="G55" s="394">
        <f t="shared" si="5"/>
        <v>1</v>
      </c>
      <c r="H55" s="364">
        <f t="shared" si="6"/>
        <v>384031.38000599999</v>
      </c>
    </row>
    <row r="56" spans="1:14">
      <c r="A56" s="112">
        <f t="shared" si="0"/>
        <v>42</v>
      </c>
      <c r="B56" s="431">
        <v>36703</v>
      </c>
      <c r="C56" s="72" t="s">
        <v>1529</v>
      </c>
      <c r="D56" s="364">
        <f>[4]Reserve!BM140</f>
        <v>2558.8710000000005</v>
      </c>
      <c r="E56" s="395">
        <v>2</v>
      </c>
      <c r="F56" s="394">
        <f t="shared" si="5"/>
        <v>1</v>
      </c>
      <c r="G56" s="394">
        <f t="shared" si="5"/>
        <v>1</v>
      </c>
      <c r="H56" s="364">
        <f t="shared" si="6"/>
        <v>5117.7420000000011</v>
      </c>
      <c r="I56"/>
      <c r="J56"/>
      <c r="K56"/>
      <c r="L56"/>
      <c r="M56"/>
      <c r="N56"/>
    </row>
    <row r="57" spans="1:14">
      <c r="A57" s="112">
        <f t="shared" si="0"/>
        <v>43</v>
      </c>
      <c r="B57" s="431">
        <v>36900</v>
      </c>
      <c r="C57" s="80" t="s">
        <v>982</v>
      </c>
      <c r="D57" s="364">
        <f>[4]Reserve!BM141</f>
        <v>35792.614281000002</v>
      </c>
      <c r="E57" s="395">
        <v>1</v>
      </c>
      <c r="F57" s="394">
        <f t="shared" si="5"/>
        <v>1</v>
      </c>
      <c r="G57" s="394">
        <f t="shared" si="5"/>
        <v>1</v>
      </c>
      <c r="H57" s="364">
        <f t="shared" si="6"/>
        <v>35792.614281000002</v>
      </c>
      <c r="I57"/>
      <c r="J57"/>
      <c r="K57"/>
      <c r="L57"/>
      <c r="M57"/>
      <c r="N57"/>
    </row>
    <row r="58" spans="1:14">
      <c r="A58" s="112">
        <f t="shared" si="0"/>
        <v>44</v>
      </c>
      <c r="B58" s="431">
        <v>36901</v>
      </c>
      <c r="C58" s="80" t="s">
        <v>982</v>
      </c>
      <c r="D58" s="364">
        <f>[4]Reserve!BM142</f>
        <v>40624.037291000008</v>
      </c>
      <c r="E58" s="395">
        <v>1</v>
      </c>
      <c r="F58" s="394">
        <f t="shared" si="5"/>
        <v>1</v>
      </c>
      <c r="G58" s="394">
        <f t="shared" si="5"/>
        <v>1</v>
      </c>
      <c r="H58" s="842">
        <f t="shared" si="6"/>
        <v>40624.037291000008</v>
      </c>
      <c r="I58"/>
      <c r="J58"/>
      <c r="K58"/>
      <c r="L58"/>
      <c r="M58"/>
      <c r="N58"/>
    </row>
    <row r="59" spans="1:14">
      <c r="A59" s="112">
        <f t="shared" si="0"/>
        <v>45</v>
      </c>
      <c r="B59" s="431"/>
      <c r="C59" s="80"/>
      <c r="D59" s="853"/>
      <c r="E59" s="395"/>
      <c r="F59" s="394"/>
      <c r="G59" s="394"/>
      <c r="H59" s="364"/>
      <c r="I59"/>
      <c r="J59"/>
      <c r="K59"/>
      <c r="L59"/>
      <c r="M59"/>
      <c r="N59"/>
    </row>
    <row r="60" spans="1:14">
      <c r="A60" s="112">
        <f t="shared" si="0"/>
        <v>46</v>
      </c>
      <c r="B60" s="570"/>
      <c r="C60" s="80" t="s">
        <v>1290</v>
      </c>
      <c r="D60" s="304">
        <f>SUM(D50:D59)</f>
        <v>472415.074723</v>
      </c>
      <c r="E60" s="395"/>
      <c r="F60" s="394"/>
      <c r="G60" s="394"/>
      <c r="H60" s="304">
        <f>SUM(H50:H59)</f>
        <v>474973.94572300004</v>
      </c>
      <c r="I60"/>
      <c r="J60"/>
      <c r="K60"/>
      <c r="L60"/>
      <c r="M60"/>
      <c r="N60"/>
    </row>
    <row r="61" spans="1:14">
      <c r="A61" s="112">
        <f t="shared" si="0"/>
        <v>47</v>
      </c>
      <c r="B61" s="570"/>
      <c r="C61" s="73"/>
      <c r="D61" s="364"/>
      <c r="E61" s="395"/>
      <c r="F61" s="394"/>
      <c r="G61" s="394"/>
      <c r="H61" s="364"/>
      <c r="I61"/>
      <c r="J61"/>
      <c r="K61"/>
      <c r="L61"/>
      <c r="M61"/>
      <c r="N61"/>
    </row>
    <row r="62" spans="1:14">
      <c r="A62" s="112">
        <f t="shared" si="0"/>
        <v>48</v>
      </c>
      <c r="B62" s="570"/>
      <c r="C62" s="500" t="s">
        <v>297</v>
      </c>
      <c r="D62" s="364"/>
      <c r="E62" s="395"/>
      <c r="F62" s="394"/>
      <c r="G62" s="394"/>
      <c r="H62" s="364"/>
      <c r="I62"/>
      <c r="J62"/>
      <c r="K62"/>
      <c r="L62"/>
      <c r="M62"/>
      <c r="N62"/>
    </row>
    <row r="63" spans="1:14">
      <c r="A63" s="112">
        <f t="shared" si="0"/>
        <v>49</v>
      </c>
      <c r="B63" s="431">
        <v>37400</v>
      </c>
      <c r="C63" s="80" t="s">
        <v>1128</v>
      </c>
      <c r="D63" s="304">
        <f>[4]Reserve!BM143</f>
        <v>0</v>
      </c>
      <c r="E63" s="395">
        <v>1</v>
      </c>
      <c r="F63" s="394">
        <f t="shared" ref="F63:G84" si="7">$F$16</f>
        <v>1</v>
      </c>
      <c r="G63" s="394">
        <f t="shared" si="7"/>
        <v>1</v>
      </c>
      <c r="H63" s="304">
        <f t="shared" ref="H63:H84" si="8">D63*E63*F63*G63</f>
        <v>0</v>
      </c>
      <c r="I63"/>
      <c r="J63"/>
      <c r="K63"/>
      <c r="L63"/>
      <c r="M63"/>
      <c r="N63"/>
    </row>
    <row r="64" spans="1:14">
      <c r="A64" s="112">
        <f t="shared" si="0"/>
        <v>50</v>
      </c>
      <c r="B64" s="431">
        <v>37401</v>
      </c>
      <c r="C64" s="80" t="s">
        <v>290</v>
      </c>
      <c r="D64" s="364">
        <f>[4]Reserve!BM144</f>
        <v>0</v>
      </c>
      <c r="E64" s="395">
        <v>1</v>
      </c>
      <c r="F64" s="394">
        <f t="shared" si="7"/>
        <v>1</v>
      </c>
      <c r="G64" s="394">
        <f t="shared" si="7"/>
        <v>1</v>
      </c>
      <c r="H64" s="364">
        <f t="shared" si="8"/>
        <v>0</v>
      </c>
      <c r="I64"/>
      <c r="J64"/>
      <c r="K64"/>
      <c r="L64"/>
      <c r="M64"/>
      <c r="N64"/>
    </row>
    <row r="65" spans="1:14">
      <c r="A65" s="112">
        <f t="shared" si="0"/>
        <v>51</v>
      </c>
      <c r="B65" s="431">
        <v>37402</v>
      </c>
      <c r="C65" s="80" t="s">
        <v>986</v>
      </c>
      <c r="D65" s="364">
        <f>[4]Reserve!BM145</f>
        <v>46661.234922999989</v>
      </c>
      <c r="E65" s="395">
        <v>1</v>
      </c>
      <c r="F65" s="394">
        <f t="shared" si="7"/>
        <v>1</v>
      </c>
      <c r="G65" s="394">
        <f t="shared" si="7"/>
        <v>1</v>
      </c>
      <c r="H65" s="364">
        <f t="shared" si="8"/>
        <v>46661.234922999989</v>
      </c>
      <c r="I65"/>
      <c r="J65"/>
      <c r="K65"/>
      <c r="L65"/>
      <c r="M65"/>
      <c r="N65"/>
    </row>
    <row r="66" spans="1:14">
      <c r="A66" s="112">
        <f t="shared" si="0"/>
        <v>52</v>
      </c>
      <c r="B66" s="431">
        <v>37403</v>
      </c>
      <c r="C66" s="80" t="s">
        <v>983</v>
      </c>
      <c r="D66" s="364">
        <f>[4]Reserve!BM146</f>
        <v>0</v>
      </c>
      <c r="E66" s="395">
        <v>1</v>
      </c>
      <c r="F66" s="394">
        <f t="shared" si="7"/>
        <v>1</v>
      </c>
      <c r="G66" s="394">
        <f t="shared" si="7"/>
        <v>1</v>
      </c>
      <c r="H66" s="364">
        <f t="shared" si="8"/>
        <v>0</v>
      </c>
      <c r="I66"/>
      <c r="J66"/>
      <c r="K66"/>
      <c r="L66"/>
      <c r="M66"/>
      <c r="N66"/>
    </row>
    <row r="67" spans="1:14">
      <c r="A67" s="112">
        <f t="shared" si="0"/>
        <v>53</v>
      </c>
      <c r="B67" s="431">
        <v>37500</v>
      </c>
      <c r="C67" s="80" t="s">
        <v>848</v>
      </c>
      <c r="D67" s="364">
        <f>[4]Reserve!BM147</f>
        <v>4840.8125759999984</v>
      </c>
      <c r="E67" s="395">
        <v>1</v>
      </c>
      <c r="F67" s="394">
        <f t="shared" si="7"/>
        <v>1</v>
      </c>
      <c r="G67" s="394">
        <f t="shared" si="7"/>
        <v>1</v>
      </c>
      <c r="H67" s="364">
        <f t="shared" si="8"/>
        <v>4840.8125759999984</v>
      </c>
      <c r="I67"/>
      <c r="J67"/>
      <c r="K67"/>
      <c r="L67"/>
      <c r="M67"/>
      <c r="N67"/>
    </row>
    <row r="68" spans="1:14">
      <c r="A68" s="112">
        <f t="shared" si="0"/>
        <v>54</v>
      </c>
      <c r="B68" s="431">
        <v>37501</v>
      </c>
      <c r="C68" s="80" t="s">
        <v>984</v>
      </c>
      <c r="D68" s="364">
        <f>[4]Reserve!BM148</f>
        <v>1437.3810720000004</v>
      </c>
      <c r="E68" s="395">
        <v>1</v>
      </c>
      <c r="F68" s="394">
        <f t="shared" si="7"/>
        <v>1</v>
      </c>
      <c r="G68" s="394">
        <f t="shared" si="7"/>
        <v>1</v>
      </c>
      <c r="H68" s="364">
        <f t="shared" si="8"/>
        <v>1437.3810720000004</v>
      </c>
      <c r="I68"/>
      <c r="J68"/>
      <c r="K68"/>
      <c r="L68"/>
      <c r="M68"/>
      <c r="N68"/>
    </row>
    <row r="69" spans="1:14">
      <c r="A69" s="112">
        <f t="shared" si="0"/>
        <v>55</v>
      </c>
      <c r="B69" s="431">
        <v>37502</v>
      </c>
      <c r="C69" s="80" t="s">
        <v>986</v>
      </c>
      <c r="D69" s="364">
        <f>[4]Reserve!BM149</f>
        <v>555.17027999999993</v>
      </c>
      <c r="E69" s="395">
        <v>1</v>
      </c>
      <c r="F69" s="394">
        <f t="shared" si="7"/>
        <v>1</v>
      </c>
      <c r="G69" s="394">
        <f t="shared" si="7"/>
        <v>1</v>
      </c>
      <c r="H69" s="364">
        <f t="shared" si="8"/>
        <v>555.17027999999993</v>
      </c>
      <c r="I69"/>
      <c r="J69"/>
      <c r="K69"/>
      <c r="L69"/>
      <c r="M69"/>
      <c r="N69"/>
    </row>
    <row r="70" spans="1:14">
      <c r="A70" s="112">
        <f t="shared" si="0"/>
        <v>56</v>
      </c>
      <c r="B70" s="431">
        <v>37503</v>
      </c>
      <c r="C70" s="80" t="s">
        <v>985</v>
      </c>
      <c r="D70" s="364">
        <f>[4]Reserve!BM150</f>
        <v>57.67315199999998</v>
      </c>
      <c r="E70" s="395">
        <v>1</v>
      </c>
      <c r="F70" s="394">
        <f t="shared" si="7"/>
        <v>1</v>
      </c>
      <c r="G70" s="394">
        <f t="shared" si="7"/>
        <v>1</v>
      </c>
      <c r="H70" s="364">
        <f t="shared" si="8"/>
        <v>57.67315199999998</v>
      </c>
      <c r="I70"/>
      <c r="J70"/>
      <c r="K70"/>
      <c r="L70"/>
      <c r="M70"/>
      <c r="N70"/>
    </row>
    <row r="71" spans="1:14">
      <c r="A71" s="112">
        <f t="shared" si="0"/>
        <v>57</v>
      </c>
      <c r="B71" s="431">
        <v>37600</v>
      </c>
      <c r="C71" s="80" t="s">
        <v>836</v>
      </c>
      <c r="D71" s="364">
        <f>[4]Reserve!BM151</f>
        <v>163906.5869907912</v>
      </c>
      <c r="E71" s="395">
        <v>1</v>
      </c>
      <c r="F71" s="394">
        <f t="shared" si="7"/>
        <v>1</v>
      </c>
      <c r="G71" s="394">
        <f t="shared" si="7"/>
        <v>1</v>
      </c>
      <c r="H71" s="364">
        <f t="shared" si="8"/>
        <v>163906.5869907912</v>
      </c>
      <c r="I71"/>
      <c r="J71"/>
      <c r="K71"/>
      <c r="L71"/>
      <c r="M71"/>
      <c r="N71"/>
    </row>
    <row r="72" spans="1:14">
      <c r="A72" s="112">
        <f t="shared" si="0"/>
        <v>58</v>
      </c>
      <c r="B72" s="431">
        <v>37601</v>
      </c>
      <c r="C72" s="80" t="s">
        <v>16</v>
      </c>
      <c r="D72" s="364">
        <f>[4]Reserve!BM152</f>
        <v>3185067.8388914466</v>
      </c>
      <c r="E72" s="395">
        <v>1</v>
      </c>
      <c r="F72" s="394">
        <f t="shared" si="7"/>
        <v>1</v>
      </c>
      <c r="G72" s="394">
        <f t="shared" si="7"/>
        <v>1</v>
      </c>
      <c r="H72" s="364">
        <f t="shared" si="8"/>
        <v>3185067.8388914466</v>
      </c>
      <c r="I72"/>
      <c r="J72"/>
      <c r="K72"/>
      <c r="L72"/>
      <c r="M72"/>
      <c r="N72"/>
    </row>
    <row r="73" spans="1:14">
      <c r="A73" s="112">
        <f t="shared" si="0"/>
        <v>59</v>
      </c>
      <c r="B73" s="431">
        <v>37602</v>
      </c>
      <c r="C73" s="80" t="s">
        <v>837</v>
      </c>
      <c r="D73" s="364">
        <f>[4]Reserve!BM153</f>
        <v>3221562.5921501918</v>
      </c>
      <c r="E73" s="395">
        <v>1</v>
      </c>
      <c r="F73" s="394">
        <f t="shared" si="7"/>
        <v>1</v>
      </c>
      <c r="G73" s="394">
        <f t="shared" si="7"/>
        <v>1</v>
      </c>
      <c r="H73" s="364">
        <f t="shared" si="8"/>
        <v>3221562.5921501918</v>
      </c>
      <c r="I73"/>
      <c r="J73"/>
      <c r="K73"/>
      <c r="L73"/>
      <c r="M73"/>
      <c r="N73"/>
    </row>
    <row r="74" spans="1:14">
      <c r="A74" s="112">
        <f t="shared" si="0"/>
        <v>60</v>
      </c>
      <c r="B74" s="431">
        <v>37603</v>
      </c>
      <c r="C74" s="80" t="s">
        <v>1529</v>
      </c>
      <c r="D74" s="364">
        <f>[4]Reserve!BM154</f>
        <v>197983.91978842852</v>
      </c>
      <c r="E74" s="395">
        <v>1</v>
      </c>
      <c r="F74" s="394">
        <f t="shared" si="7"/>
        <v>1</v>
      </c>
      <c r="G74" s="394">
        <f t="shared" si="7"/>
        <v>1</v>
      </c>
      <c r="H74" s="364">
        <f t="shared" ref="H74:H75" si="9">D74*E74*F74*G74</f>
        <v>197983.91978842852</v>
      </c>
      <c r="I74"/>
      <c r="J74"/>
      <c r="K74"/>
      <c r="L74"/>
      <c r="M74"/>
      <c r="N74"/>
    </row>
    <row r="75" spans="1:14">
      <c r="A75" s="112">
        <f t="shared" si="0"/>
        <v>61</v>
      </c>
      <c r="B75" s="431">
        <v>37604</v>
      </c>
      <c r="C75" s="80" t="s">
        <v>1530</v>
      </c>
      <c r="D75" s="364">
        <f>[4]Reserve!BM155</f>
        <v>528575.59200000006</v>
      </c>
      <c r="E75" s="395">
        <v>1</v>
      </c>
      <c r="F75" s="394">
        <f t="shared" si="7"/>
        <v>1</v>
      </c>
      <c r="G75" s="394">
        <f t="shared" si="7"/>
        <v>1</v>
      </c>
      <c r="H75" s="364">
        <f t="shared" si="9"/>
        <v>528575.59200000006</v>
      </c>
      <c r="I75"/>
      <c r="J75"/>
      <c r="K75"/>
      <c r="L75"/>
      <c r="M75"/>
      <c r="N75"/>
    </row>
    <row r="76" spans="1:14">
      <c r="A76" s="112">
        <f t="shared" si="0"/>
        <v>62</v>
      </c>
      <c r="B76" s="431">
        <v>37800</v>
      </c>
      <c r="C76" s="80" t="s">
        <v>228</v>
      </c>
      <c r="D76" s="364">
        <f>[4]Reserve!BM156</f>
        <v>515882.48482403765</v>
      </c>
      <c r="E76" s="395">
        <v>1</v>
      </c>
      <c r="F76" s="394">
        <f t="shared" si="7"/>
        <v>1</v>
      </c>
      <c r="G76" s="394">
        <f t="shared" si="7"/>
        <v>1</v>
      </c>
      <c r="H76" s="364">
        <f t="shared" si="8"/>
        <v>515882.48482403765</v>
      </c>
    </row>
    <row r="77" spans="1:14">
      <c r="A77" s="112">
        <f t="shared" si="0"/>
        <v>63</v>
      </c>
      <c r="B77" s="431">
        <v>37900</v>
      </c>
      <c r="C77" s="80" t="s">
        <v>1171</v>
      </c>
      <c r="D77" s="364">
        <f>[4]Reserve!BM157</f>
        <v>98422.00217468667</v>
      </c>
      <c r="E77" s="395">
        <v>1</v>
      </c>
      <c r="F77" s="394">
        <f t="shared" si="7"/>
        <v>1</v>
      </c>
      <c r="G77" s="394">
        <f t="shared" si="7"/>
        <v>1</v>
      </c>
      <c r="H77" s="364">
        <f t="shared" si="8"/>
        <v>98422.00217468667</v>
      </c>
    </row>
    <row r="78" spans="1:14">
      <c r="A78" s="112">
        <f t="shared" si="0"/>
        <v>64</v>
      </c>
      <c r="B78" s="431">
        <v>37905</v>
      </c>
      <c r="C78" s="80" t="s">
        <v>720</v>
      </c>
      <c r="D78" s="364">
        <f>[4]Reserve!BM158</f>
        <v>37355.81315993594</v>
      </c>
      <c r="E78" s="395">
        <v>1</v>
      </c>
      <c r="F78" s="394">
        <f t="shared" si="7"/>
        <v>1</v>
      </c>
      <c r="G78" s="394">
        <f t="shared" si="7"/>
        <v>1</v>
      </c>
      <c r="H78" s="364">
        <f t="shared" si="8"/>
        <v>37355.81315993594</v>
      </c>
    </row>
    <row r="79" spans="1:14">
      <c r="A79" s="112">
        <f t="shared" si="0"/>
        <v>65</v>
      </c>
      <c r="B79" s="431">
        <v>38000</v>
      </c>
      <c r="C79" s="80" t="s">
        <v>1036</v>
      </c>
      <c r="D79" s="364">
        <f>[4]Reserve!BM159</f>
        <v>4632273.5983511461</v>
      </c>
      <c r="E79" s="395">
        <v>1</v>
      </c>
      <c r="F79" s="394">
        <f t="shared" si="7"/>
        <v>1</v>
      </c>
      <c r="G79" s="394">
        <f t="shared" si="7"/>
        <v>1</v>
      </c>
      <c r="H79" s="364">
        <f t="shared" si="8"/>
        <v>4632273.5983511461</v>
      </c>
    </row>
    <row r="80" spans="1:14">
      <c r="A80" s="112">
        <f t="shared" si="0"/>
        <v>66</v>
      </c>
      <c r="B80" s="431">
        <v>38100</v>
      </c>
      <c r="C80" s="80" t="s">
        <v>838</v>
      </c>
      <c r="D80" s="364">
        <f>[4]Reserve!BM160</f>
        <v>2443291.1821256573</v>
      </c>
      <c r="E80" s="395">
        <v>1</v>
      </c>
      <c r="F80" s="394">
        <f t="shared" si="7"/>
        <v>1</v>
      </c>
      <c r="G80" s="394">
        <f t="shared" si="7"/>
        <v>1</v>
      </c>
      <c r="H80" s="364">
        <f t="shared" si="8"/>
        <v>2443291.1821256573</v>
      </c>
    </row>
    <row r="81" spans="1:13">
      <c r="A81" s="112">
        <f t="shared" si="0"/>
        <v>67</v>
      </c>
      <c r="B81" s="431">
        <v>38200</v>
      </c>
      <c r="C81" s="80" t="s">
        <v>438</v>
      </c>
      <c r="D81" s="364">
        <f>[4]Reserve!BM161</f>
        <v>1906954.4779561651</v>
      </c>
      <c r="E81" s="395">
        <v>1</v>
      </c>
      <c r="F81" s="394">
        <f t="shared" si="7"/>
        <v>1</v>
      </c>
      <c r="G81" s="394">
        <f t="shared" si="7"/>
        <v>1</v>
      </c>
      <c r="H81" s="364">
        <f t="shared" si="8"/>
        <v>1906954.4779561651</v>
      </c>
    </row>
    <row r="82" spans="1:13">
      <c r="A82" s="112">
        <f t="shared" si="0"/>
        <v>68</v>
      </c>
      <c r="B82" s="431">
        <v>38300</v>
      </c>
      <c r="C82" s="80" t="s">
        <v>1037</v>
      </c>
      <c r="D82" s="364">
        <f>[4]Reserve!BM162</f>
        <v>81287.979868652328</v>
      </c>
      <c r="E82" s="395">
        <v>1</v>
      </c>
      <c r="F82" s="394">
        <f t="shared" si="7"/>
        <v>1</v>
      </c>
      <c r="G82" s="394">
        <f t="shared" si="7"/>
        <v>1</v>
      </c>
      <c r="H82" s="364">
        <f t="shared" si="8"/>
        <v>81287.979868652328</v>
      </c>
    </row>
    <row r="83" spans="1:13">
      <c r="A83" s="112">
        <f t="shared" si="0"/>
        <v>69</v>
      </c>
      <c r="B83" s="431">
        <v>38400</v>
      </c>
      <c r="C83" s="80" t="s">
        <v>439</v>
      </c>
      <c r="D83" s="364">
        <f>[4]Reserve!BM163</f>
        <v>11080.656080006911</v>
      </c>
      <c r="E83" s="395">
        <v>1</v>
      </c>
      <c r="F83" s="394">
        <f t="shared" si="7"/>
        <v>1</v>
      </c>
      <c r="G83" s="394">
        <f t="shared" si="7"/>
        <v>1</v>
      </c>
      <c r="H83" s="364">
        <f t="shared" si="8"/>
        <v>11080.656080006911</v>
      </c>
    </row>
    <row r="84" spans="1:13">
      <c r="A84" s="112">
        <f t="shared" ref="A84:A147" si="10">A83+1</f>
        <v>70</v>
      </c>
      <c r="B84" s="431">
        <v>38500</v>
      </c>
      <c r="C84" s="80" t="s">
        <v>440</v>
      </c>
      <c r="D84" s="364">
        <f>[4]Reserve!BM164</f>
        <v>91283.089030498988</v>
      </c>
      <c r="E84" s="395">
        <v>1</v>
      </c>
      <c r="F84" s="394">
        <f t="shared" si="7"/>
        <v>1</v>
      </c>
      <c r="G84" s="394">
        <f t="shared" si="7"/>
        <v>1</v>
      </c>
      <c r="H84" s="364">
        <f t="shared" si="8"/>
        <v>91283.089030498988</v>
      </c>
      <c r="M84" s="575"/>
    </row>
    <row r="85" spans="1:13">
      <c r="A85" s="112">
        <f t="shared" si="10"/>
        <v>71</v>
      </c>
      <c r="B85" s="431"/>
      <c r="C85" s="80"/>
      <c r="D85" s="853"/>
      <c r="E85" s="395"/>
      <c r="F85" s="394"/>
      <c r="G85" s="394"/>
      <c r="H85" s="853"/>
    </row>
    <row r="86" spans="1:13">
      <c r="A86" s="112">
        <f t="shared" si="10"/>
        <v>72</v>
      </c>
      <c r="B86" s="431"/>
      <c r="C86" s="80" t="s">
        <v>1287</v>
      </c>
      <c r="D86" s="304">
        <f>SUM(D63:D85)</f>
        <v>17168480.085394651</v>
      </c>
      <c r="E86" s="395"/>
      <c r="F86" s="394"/>
      <c r="G86" s="394"/>
      <c r="H86" s="304">
        <f>SUM(H63:H85)</f>
        <v>17168480.085394651</v>
      </c>
    </row>
    <row r="87" spans="1:13">
      <c r="A87" s="112">
        <f t="shared" si="10"/>
        <v>73</v>
      </c>
      <c r="B87" s="431"/>
      <c r="C87" s="80"/>
      <c r="D87" s="364"/>
      <c r="E87" s="395"/>
      <c r="F87" s="394"/>
      <c r="G87" s="394"/>
      <c r="H87" s="364"/>
    </row>
    <row r="88" spans="1:13">
      <c r="A88" s="112">
        <f t="shared" si="10"/>
        <v>74</v>
      </c>
      <c r="B88" s="570"/>
      <c r="C88" s="500" t="s">
        <v>299</v>
      </c>
      <c r="D88" s="364"/>
      <c r="E88" s="395"/>
      <c r="F88" s="394"/>
      <c r="G88" s="394"/>
      <c r="H88" s="364"/>
    </row>
    <row r="89" spans="1:13">
      <c r="A89" s="112">
        <f t="shared" si="10"/>
        <v>75</v>
      </c>
      <c r="B89" s="431">
        <v>38900</v>
      </c>
      <c r="C89" s="80" t="s">
        <v>1463</v>
      </c>
      <c r="D89" s="304">
        <f>[4]Reserve!BM165</f>
        <v>0</v>
      </c>
      <c r="E89" s="395">
        <v>1</v>
      </c>
      <c r="F89" s="394">
        <f t="shared" ref="F89:G107" si="11">$F$16</f>
        <v>1</v>
      </c>
      <c r="G89" s="394">
        <f t="shared" si="11"/>
        <v>1</v>
      </c>
      <c r="H89" s="304">
        <f t="shared" ref="H89:H114" si="12">D89*E89*F89*G89</f>
        <v>0</v>
      </c>
    </row>
    <row r="90" spans="1:13">
      <c r="A90" s="112">
        <f t="shared" si="10"/>
        <v>76</v>
      </c>
      <c r="B90" s="431">
        <v>39000</v>
      </c>
      <c r="C90" s="80" t="s">
        <v>1464</v>
      </c>
      <c r="D90" s="364">
        <f>[4]Reserve!BM166</f>
        <v>223589.38857253166</v>
      </c>
      <c r="E90" s="395">
        <v>1</v>
      </c>
      <c r="F90" s="394">
        <f t="shared" si="11"/>
        <v>1</v>
      </c>
      <c r="G90" s="394">
        <f t="shared" si="11"/>
        <v>1</v>
      </c>
      <c r="H90" s="364">
        <f t="shared" si="12"/>
        <v>223589.38857253166</v>
      </c>
    </row>
    <row r="91" spans="1:13">
      <c r="A91" s="112">
        <f t="shared" si="10"/>
        <v>77</v>
      </c>
      <c r="B91" s="431">
        <v>39002</v>
      </c>
      <c r="C91" s="80" t="s">
        <v>1465</v>
      </c>
      <c r="D91" s="364">
        <f>[4]Reserve!BM167</f>
        <v>4206.6908549999998</v>
      </c>
      <c r="E91" s="395">
        <v>1</v>
      </c>
      <c r="F91" s="394">
        <f t="shared" si="11"/>
        <v>1</v>
      </c>
      <c r="G91" s="394">
        <f t="shared" si="11"/>
        <v>1</v>
      </c>
      <c r="H91" s="364">
        <f t="shared" si="12"/>
        <v>4206.6908549999998</v>
      </c>
    </row>
    <row r="92" spans="1:13">
      <c r="A92" s="112">
        <f t="shared" si="10"/>
        <v>78</v>
      </c>
      <c r="B92" s="431">
        <v>39003</v>
      </c>
      <c r="C92" s="80" t="s">
        <v>1466</v>
      </c>
      <c r="D92" s="364">
        <f>[4]Reserve!BM168</f>
        <v>17233.540073999997</v>
      </c>
      <c r="E92" s="395">
        <v>1</v>
      </c>
      <c r="F92" s="394">
        <f t="shared" si="11"/>
        <v>1</v>
      </c>
      <c r="G92" s="394">
        <f t="shared" si="11"/>
        <v>1</v>
      </c>
      <c r="H92" s="364">
        <f t="shared" si="12"/>
        <v>17233.540073999997</v>
      </c>
    </row>
    <row r="93" spans="1:13">
      <c r="A93" s="112">
        <f t="shared" si="10"/>
        <v>79</v>
      </c>
      <c r="B93" s="431">
        <v>39004</v>
      </c>
      <c r="C93" s="80" t="s">
        <v>1467</v>
      </c>
      <c r="D93" s="364">
        <f>[4]Reserve!BM169</f>
        <v>553.16739800000005</v>
      </c>
      <c r="E93" s="395">
        <v>1</v>
      </c>
      <c r="F93" s="394">
        <f t="shared" si="11"/>
        <v>1</v>
      </c>
      <c r="G93" s="394">
        <f t="shared" si="11"/>
        <v>1</v>
      </c>
      <c r="H93" s="364">
        <f t="shared" si="12"/>
        <v>553.16739800000005</v>
      </c>
    </row>
    <row r="94" spans="1:13">
      <c r="A94" s="112">
        <f t="shared" si="10"/>
        <v>80</v>
      </c>
      <c r="B94" s="431">
        <v>39009</v>
      </c>
      <c r="C94" s="80" t="s">
        <v>1468</v>
      </c>
      <c r="D94" s="364">
        <f>[4]Reserve!BM170</f>
        <v>0</v>
      </c>
      <c r="E94" s="395">
        <v>1</v>
      </c>
      <c r="F94" s="394">
        <f t="shared" si="11"/>
        <v>1</v>
      </c>
      <c r="G94" s="394">
        <f t="shared" si="11"/>
        <v>1</v>
      </c>
      <c r="H94" s="364">
        <f t="shared" si="12"/>
        <v>0</v>
      </c>
    </row>
    <row r="95" spans="1:13">
      <c r="A95" s="112">
        <f t="shared" si="10"/>
        <v>81</v>
      </c>
      <c r="B95" s="431">
        <v>39100</v>
      </c>
      <c r="C95" s="80" t="s">
        <v>1469</v>
      </c>
      <c r="D95" s="364">
        <f>[4]Reserve!BM171</f>
        <v>87668.636499999979</v>
      </c>
      <c r="E95" s="395">
        <v>1</v>
      </c>
      <c r="F95" s="394">
        <f t="shared" si="11"/>
        <v>1</v>
      </c>
      <c r="G95" s="394">
        <f t="shared" si="11"/>
        <v>1</v>
      </c>
      <c r="H95" s="364">
        <f t="shared" si="12"/>
        <v>87668.636499999979</v>
      </c>
    </row>
    <row r="96" spans="1:13">
      <c r="A96" s="112">
        <f t="shared" si="10"/>
        <v>82</v>
      </c>
      <c r="B96" s="431">
        <v>39103</v>
      </c>
      <c r="C96" s="80" t="s">
        <v>773</v>
      </c>
      <c r="D96" s="364">
        <f>[4]Reserve!BM172</f>
        <v>0</v>
      </c>
      <c r="E96" s="395">
        <v>1</v>
      </c>
      <c r="F96" s="394">
        <f t="shared" si="11"/>
        <v>1</v>
      </c>
      <c r="G96" s="394">
        <f t="shared" si="11"/>
        <v>1</v>
      </c>
      <c r="H96" s="364">
        <f t="shared" si="12"/>
        <v>0</v>
      </c>
    </row>
    <row r="97" spans="1:11">
      <c r="A97" s="112">
        <f t="shared" si="10"/>
        <v>83</v>
      </c>
      <c r="B97" s="431">
        <v>39200</v>
      </c>
      <c r="C97" s="80" t="s">
        <v>1470</v>
      </c>
      <c r="D97" s="364">
        <f>[4]Reserve!BM173</f>
        <v>8542.6031449999973</v>
      </c>
      <c r="E97" s="395">
        <f>'[5]Base period Actuals'!$Z$31</f>
        <v>0.43894472541714291</v>
      </c>
      <c r="F97" s="394">
        <f t="shared" si="11"/>
        <v>1</v>
      </c>
      <c r="G97" s="394">
        <f t="shared" si="11"/>
        <v>1</v>
      </c>
      <c r="H97" s="364">
        <f t="shared" si="12"/>
        <v>3749.7305918296452</v>
      </c>
    </row>
    <row r="98" spans="1:11">
      <c r="A98" s="112">
        <f t="shared" si="10"/>
        <v>84</v>
      </c>
      <c r="B98" s="431">
        <v>39202</v>
      </c>
      <c r="C98" s="80" t="s">
        <v>1471</v>
      </c>
      <c r="D98" s="364">
        <f>[4]Reserve!BM174</f>
        <v>1204.3462199999997</v>
      </c>
      <c r="E98" s="395">
        <f>'[5]Base period Actuals'!$Z$31</f>
        <v>0.43894472541714291</v>
      </c>
      <c r="F98" s="394">
        <f t="shared" si="11"/>
        <v>1</v>
      </c>
      <c r="G98" s="394">
        <f t="shared" si="11"/>
        <v>1</v>
      </c>
      <c r="H98" s="364">
        <f t="shared" si="12"/>
        <v>528.64142084507387</v>
      </c>
    </row>
    <row r="99" spans="1:11">
      <c r="A99" s="112">
        <f t="shared" si="10"/>
        <v>85</v>
      </c>
      <c r="B99" s="431">
        <v>39400</v>
      </c>
      <c r="C99" s="80" t="s">
        <v>1472</v>
      </c>
      <c r="D99" s="364">
        <f>[4]Reserve!BM175</f>
        <v>543303.52148044819</v>
      </c>
      <c r="E99" s="395">
        <f>'[5]Base period Actuals'!$Z$35</f>
        <v>0.43890355550304738</v>
      </c>
      <c r="F99" s="394">
        <f t="shared" si="11"/>
        <v>1</v>
      </c>
      <c r="G99" s="394">
        <f t="shared" si="11"/>
        <v>1</v>
      </c>
      <c r="H99" s="364">
        <f t="shared" si="12"/>
        <v>238457.84729509498</v>
      </c>
    </row>
    <row r="100" spans="1:11">
      <c r="A100" s="112">
        <f t="shared" si="10"/>
        <v>86</v>
      </c>
      <c r="B100" s="431">
        <v>39603</v>
      </c>
      <c r="C100" s="80" t="s">
        <v>1473</v>
      </c>
      <c r="D100" s="364">
        <f>[4]Reserve!BM176</f>
        <v>0</v>
      </c>
      <c r="E100" s="395">
        <f>'[5]Base period Actuals'!$Z$33</f>
        <v>2.0006528302912829E-2</v>
      </c>
      <c r="F100" s="394">
        <f t="shared" si="11"/>
        <v>1</v>
      </c>
      <c r="G100" s="394">
        <f t="shared" si="11"/>
        <v>1</v>
      </c>
      <c r="H100" s="364">
        <f t="shared" si="12"/>
        <v>0</v>
      </c>
    </row>
    <row r="101" spans="1:11">
      <c r="A101" s="112">
        <f t="shared" si="10"/>
        <v>87</v>
      </c>
      <c r="B101" s="431">
        <v>39604</v>
      </c>
      <c r="C101" s="80" t="s">
        <v>1474</v>
      </c>
      <c r="D101" s="364">
        <f>[4]Reserve!BM177</f>
        <v>0</v>
      </c>
      <c r="E101" s="395">
        <f>'[5]Base period Actuals'!$Z$33</f>
        <v>2.0006528302912829E-2</v>
      </c>
      <c r="F101" s="394">
        <f t="shared" si="11"/>
        <v>1</v>
      </c>
      <c r="G101" s="394">
        <f t="shared" si="11"/>
        <v>1</v>
      </c>
      <c r="H101" s="364">
        <f t="shared" si="12"/>
        <v>0</v>
      </c>
      <c r="K101" s="557"/>
    </row>
    <row r="102" spans="1:11">
      <c r="A102" s="112">
        <f t="shared" si="10"/>
        <v>88</v>
      </c>
      <c r="B102" s="431">
        <v>39605</v>
      </c>
      <c r="C102" s="80" t="s">
        <v>1475</v>
      </c>
      <c r="D102" s="364">
        <f>[4]Reserve!BM178</f>
        <v>0</v>
      </c>
      <c r="E102" s="395">
        <f>'[5]Base period Actuals'!$Z$33</f>
        <v>2.0006528302912829E-2</v>
      </c>
      <c r="F102" s="394">
        <f t="shared" si="11"/>
        <v>1</v>
      </c>
      <c r="G102" s="394">
        <f t="shared" si="11"/>
        <v>1</v>
      </c>
      <c r="H102" s="364">
        <f t="shared" si="12"/>
        <v>0</v>
      </c>
      <c r="K102" s="557"/>
    </row>
    <row r="103" spans="1:11">
      <c r="A103" s="112">
        <f t="shared" si="10"/>
        <v>89</v>
      </c>
      <c r="B103" s="431">
        <v>39700</v>
      </c>
      <c r="C103" s="80" t="s">
        <v>1476</v>
      </c>
      <c r="D103" s="364">
        <f>[4]Reserve!BM179</f>
        <v>28369.268879000007</v>
      </c>
      <c r="E103" s="395">
        <v>1</v>
      </c>
      <c r="F103" s="394">
        <f t="shared" si="11"/>
        <v>1</v>
      </c>
      <c r="G103" s="394">
        <f t="shared" si="11"/>
        <v>1</v>
      </c>
      <c r="H103" s="364">
        <f t="shared" si="12"/>
        <v>28369.268879000007</v>
      </c>
      <c r="K103" s="557"/>
    </row>
    <row r="104" spans="1:11">
      <c r="A104" s="112">
        <f t="shared" si="10"/>
        <v>90</v>
      </c>
      <c r="B104" s="570">
        <v>39701</v>
      </c>
      <c r="C104" s="80" t="s">
        <v>1436</v>
      </c>
      <c r="D104" s="364">
        <f>[4]Reserve!BM180</f>
        <v>0</v>
      </c>
      <c r="E104" s="395">
        <v>1</v>
      </c>
      <c r="F104" s="394">
        <f t="shared" si="11"/>
        <v>1</v>
      </c>
      <c r="G104" s="394">
        <f t="shared" si="11"/>
        <v>1</v>
      </c>
      <c r="H104" s="364">
        <f t="shared" si="12"/>
        <v>0</v>
      </c>
      <c r="K104" s="557"/>
    </row>
    <row r="105" spans="1:11">
      <c r="A105" s="112">
        <f t="shared" si="10"/>
        <v>91</v>
      </c>
      <c r="B105" s="570">
        <v>39702</v>
      </c>
      <c r="C105" s="73" t="s">
        <v>1436</v>
      </c>
      <c r="D105" s="364">
        <f>[4]Reserve!BM181</f>
        <v>0</v>
      </c>
      <c r="E105" s="395">
        <v>1</v>
      </c>
      <c r="F105" s="394">
        <f t="shared" si="11"/>
        <v>1</v>
      </c>
      <c r="G105" s="394">
        <f t="shared" si="11"/>
        <v>1</v>
      </c>
      <c r="H105" s="364">
        <f t="shared" si="12"/>
        <v>0</v>
      </c>
      <c r="K105" s="557"/>
    </row>
    <row r="106" spans="1:11">
      <c r="A106" s="112">
        <f t="shared" si="10"/>
        <v>92</v>
      </c>
      <c r="B106" s="570">
        <v>39705</v>
      </c>
      <c r="C106" s="80" t="s">
        <v>1477</v>
      </c>
      <c r="D106" s="364">
        <f>[4]Reserve!BM182</f>
        <v>0</v>
      </c>
      <c r="E106" s="395">
        <v>1</v>
      </c>
      <c r="F106" s="394">
        <f t="shared" si="11"/>
        <v>1</v>
      </c>
      <c r="G106" s="394">
        <f t="shared" si="11"/>
        <v>1</v>
      </c>
      <c r="H106" s="364">
        <f t="shared" si="12"/>
        <v>0</v>
      </c>
    </row>
    <row r="107" spans="1:11">
      <c r="A107" s="112">
        <f t="shared" si="10"/>
        <v>93</v>
      </c>
      <c r="B107" s="570">
        <v>39800</v>
      </c>
      <c r="C107" s="80" t="s">
        <v>1478</v>
      </c>
      <c r="D107" s="364">
        <f>[4]Reserve!BM183</f>
        <v>259404.50543399996</v>
      </c>
      <c r="E107" s="395">
        <v>1</v>
      </c>
      <c r="F107" s="394">
        <f t="shared" si="11"/>
        <v>1</v>
      </c>
      <c r="G107" s="394">
        <f t="shared" si="11"/>
        <v>1</v>
      </c>
      <c r="H107" s="364">
        <f t="shared" si="12"/>
        <v>259404.50543399996</v>
      </c>
    </row>
    <row r="108" spans="1:11">
      <c r="A108" s="112">
        <f t="shared" si="10"/>
        <v>94</v>
      </c>
      <c r="B108" s="570">
        <v>39901</v>
      </c>
      <c r="C108" s="80" t="s">
        <v>1437</v>
      </c>
      <c r="D108" s="364">
        <f>[4]Reserve!BM184</f>
        <v>5117.9620709999999</v>
      </c>
      <c r="E108" s="395">
        <v>1</v>
      </c>
      <c r="F108" s="394">
        <f t="shared" ref="F108:G114" si="13">$F$16</f>
        <v>1</v>
      </c>
      <c r="G108" s="394">
        <f t="shared" si="13"/>
        <v>1</v>
      </c>
      <c r="H108" s="364">
        <f t="shared" si="12"/>
        <v>5117.9620709999999</v>
      </c>
    </row>
    <row r="109" spans="1:11">
      <c r="A109" s="112">
        <f t="shared" si="10"/>
        <v>95</v>
      </c>
      <c r="B109" s="570">
        <v>39902</v>
      </c>
      <c r="C109" s="80" t="s">
        <v>1438</v>
      </c>
      <c r="D109" s="364">
        <f>[4]Reserve!BM185</f>
        <v>0</v>
      </c>
      <c r="E109" s="395">
        <v>1</v>
      </c>
      <c r="F109" s="394">
        <f t="shared" si="13"/>
        <v>1</v>
      </c>
      <c r="G109" s="394">
        <f t="shared" si="13"/>
        <v>1</v>
      </c>
      <c r="H109" s="364">
        <f t="shared" si="12"/>
        <v>0</v>
      </c>
    </row>
    <row r="110" spans="1:11">
      <c r="A110" s="112">
        <f t="shared" si="10"/>
        <v>96</v>
      </c>
      <c r="B110" s="570">
        <v>39903</v>
      </c>
      <c r="C110" s="80" t="s">
        <v>1479</v>
      </c>
      <c r="D110" s="364">
        <f>[4]Reserve!BM186</f>
        <v>19234.177093999999</v>
      </c>
      <c r="E110" s="395">
        <v>1</v>
      </c>
      <c r="F110" s="394">
        <f t="shared" si="13"/>
        <v>1</v>
      </c>
      <c r="G110" s="394">
        <f t="shared" si="13"/>
        <v>1</v>
      </c>
      <c r="H110" s="364">
        <f t="shared" si="12"/>
        <v>19234.177093999999</v>
      </c>
    </row>
    <row r="111" spans="1:11">
      <c r="A111" s="112">
        <f t="shared" si="10"/>
        <v>97</v>
      </c>
      <c r="B111" s="570">
        <v>39906</v>
      </c>
      <c r="C111" s="80" t="s">
        <v>1480</v>
      </c>
      <c r="D111" s="364">
        <f>[4]Reserve!BM187</f>
        <v>3494.623714783706</v>
      </c>
      <c r="E111" s="395">
        <v>1</v>
      </c>
      <c r="F111" s="394">
        <f t="shared" si="13"/>
        <v>1</v>
      </c>
      <c r="G111" s="394">
        <f t="shared" si="13"/>
        <v>1</v>
      </c>
      <c r="H111" s="364">
        <f t="shared" si="12"/>
        <v>3494.623714783706</v>
      </c>
    </row>
    <row r="112" spans="1:11">
      <c r="A112" s="112">
        <f t="shared" si="10"/>
        <v>98</v>
      </c>
      <c r="B112" s="570">
        <v>39907</v>
      </c>
      <c r="C112" s="80" t="s">
        <v>1481</v>
      </c>
      <c r="D112" s="364">
        <f>[4]Reserve!BM188</f>
        <v>0</v>
      </c>
      <c r="E112" s="395">
        <v>1</v>
      </c>
      <c r="F112" s="394">
        <f t="shared" si="13"/>
        <v>1</v>
      </c>
      <c r="G112" s="394">
        <f t="shared" si="13"/>
        <v>1</v>
      </c>
      <c r="H112" s="364">
        <f t="shared" si="12"/>
        <v>0</v>
      </c>
    </row>
    <row r="113" spans="1:14">
      <c r="A113" s="112">
        <f t="shared" si="10"/>
        <v>99</v>
      </c>
      <c r="B113" s="570">
        <v>39908</v>
      </c>
      <c r="C113" s="80" t="s">
        <v>1482</v>
      </c>
      <c r="D113" s="364">
        <f>[4]Reserve!BM189</f>
        <v>5009.5495449999999</v>
      </c>
      <c r="E113" s="395">
        <v>1</v>
      </c>
      <c r="F113" s="394">
        <f t="shared" si="13"/>
        <v>1</v>
      </c>
      <c r="G113" s="394">
        <f t="shared" si="13"/>
        <v>1</v>
      </c>
      <c r="H113" s="364">
        <f t="shared" si="12"/>
        <v>5009.5495449999999</v>
      </c>
    </row>
    <row r="114" spans="1:14" ht="15.75">
      <c r="A114" s="112">
        <f t="shared" si="10"/>
        <v>100</v>
      </c>
      <c r="B114" s="570"/>
      <c r="C114" s="80" t="s">
        <v>1221</v>
      </c>
      <c r="D114" s="364">
        <f>[4]Reserve!BM190</f>
        <v>0</v>
      </c>
      <c r="E114" s="395">
        <v>1</v>
      </c>
      <c r="F114" s="394">
        <f t="shared" si="13"/>
        <v>1</v>
      </c>
      <c r="G114" s="394">
        <f t="shared" si="13"/>
        <v>1</v>
      </c>
      <c r="H114" s="364">
        <f t="shared" si="12"/>
        <v>0</v>
      </c>
      <c r="J114" s="729"/>
      <c r="K114" s="557"/>
    </row>
    <row r="115" spans="1:14">
      <c r="A115" s="112">
        <f t="shared" si="10"/>
        <v>101</v>
      </c>
      <c r="B115" s="570"/>
      <c r="C115" s="80"/>
      <c r="D115" s="853"/>
      <c r="E115" s="574"/>
      <c r="H115" s="853"/>
    </row>
    <row r="116" spans="1:14">
      <c r="A116" s="112">
        <f t="shared" si="10"/>
        <v>102</v>
      </c>
      <c r="B116" s="334"/>
      <c r="C116" s="80" t="s">
        <v>1286</v>
      </c>
      <c r="D116" s="304">
        <f>SUM(D89:D115)</f>
        <v>1206931.9809827635</v>
      </c>
      <c r="E116" s="573"/>
      <c r="H116" s="304">
        <f>SUM(H89:H115)</f>
        <v>896617.72944508493</v>
      </c>
    </row>
    <row r="117" spans="1:14">
      <c r="A117" s="112">
        <f t="shared" si="10"/>
        <v>103</v>
      </c>
      <c r="B117" s="334"/>
      <c r="C117" s="80"/>
      <c r="D117" s="364"/>
      <c r="E117" s="574"/>
      <c r="H117" s="364"/>
    </row>
    <row r="118" spans="1:14">
      <c r="A118" s="112">
        <f t="shared" si="10"/>
        <v>104</v>
      </c>
      <c r="B118" s="334"/>
      <c r="C118" s="80" t="s">
        <v>1283</v>
      </c>
      <c r="D118" s="304">
        <f>D116+D86+D60+D47+D26+D19</f>
        <v>19124846.064202413</v>
      </c>
      <c r="E118" s="573"/>
      <c r="H118" s="304">
        <f>H116+H86+H60+H47+H26+H19</f>
        <v>18817090.683664735</v>
      </c>
      <c r="M118" s="544"/>
      <c r="N118" s="544"/>
    </row>
    <row r="119" spans="1:14">
      <c r="A119" s="112">
        <f t="shared" si="10"/>
        <v>105</v>
      </c>
      <c r="B119" s="334"/>
      <c r="C119" s="80"/>
      <c r="D119" s="364"/>
    </row>
    <row r="120" spans="1:14">
      <c r="A120" s="112">
        <f t="shared" si="10"/>
        <v>106</v>
      </c>
      <c r="B120" s="334"/>
      <c r="C120" s="73"/>
      <c r="D120" s="364"/>
    </row>
    <row r="121" spans="1:14">
      <c r="A121" s="112">
        <f t="shared" si="10"/>
        <v>107</v>
      </c>
      <c r="B121" s="838"/>
      <c r="D121" s="364"/>
    </row>
    <row r="122" spans="1:14" ht="15.75">
      <c r="A122" s="112">
        <f t="shared" si="10"/>
        <v>108</v>
      </c>
      <c r="B122" s="843" t="s">
        <v>7</v>
      </c>
      <c r="D122" s="364"/>
    </row>
    <row r="123" spans="1:14">
      <c r="A123" s="112">
        <f t="shared" si="10"/>
        <v>109</v>
      </c>
      <c r="B123" s="838"/>
      <c r="D123" s="364"/>
    </row>
    <row r="124" spans="1:14">
      <c r="A124" s="112">
        <f t="shared" si="10"/>
        <v>110</v>
      </c>
      <c r="B124" s="334"/>
      <c r="C124" s="500" t="s">
        <v>295</v>
      </c>
      <c r="D124" s="364"/>
    </row>
    <row r="125" spans="1:14">
      <c r="A125" s="112">
        <f t="shared" si="10"/>
        <v>111</v>
      </c>
      <c r="B125" s="431">
        <v>30100</v>
      </c>
      <c r="C125" s="80" t="s">
        <v>289</v>
      </c>
      <c r="D125" s="304">
        <f>[4]Reserve!BM84</f>
        <v>0</v>
      </c>
      <c r="E125" s="395">
        <v>1</v>
      </c>
      <c r="F125" s="394">
        <f>$F$16</f>
        <v>1</v>
      </c>
      <c r="G125" s="395">
        <f>Allocation!$D$17</f>
        <v>0.50419999999999998</v>
      </c>
      <c r="H125" s="304">
        <f>D125*E125*F125*G125</f>
        <v>0</v>
      </c>
    </row>
    <row r="126" spans="1:14">
      <c r="A126" s="112">
        <f t="shared" si="10"/>
        <v>112</v>
      </c>
      <c r="B126" s="431">
        <v>30300</v>
      </c>
      <c r="C126" s="80" t="s">
        <v>537</v>
      </c>
      <c r="D126" s="364">
        <f>[4]Reserve!BM85</f>
        <v>0</v>
      </c>
      <c r="E126" s="395">
        <v>1</v>
      </c>
      <c r="F126" s="394">
        <f>$F$16</f>
        <v>1</v>
      </c>
      <c r="G126" s="395">
        <f>$G$125</f>
        <v>0.50419999999999998</v>
      </c>
      <c r="H126" s="842">
        <f>D126*E126*F126*G126</f>
        <v>0</v>
      </c>
    </row>
    <row r="127" spans="1:14">
      <c r="A127" s="112">
        <f t="shared" si="10"/>
        <v>113</v>
      </c>
      <c r="B127" s="431"/>
      <c r="C127" s="80"/>
      <c r="D127" s="499"/>
    </row>
    <row r="128" spans="1:14">
      <c r="A128" s="112">
        <f t="shared" si="10"/>
        <v>114</v>
      </c>
      <c r="B128" s="570"/>
      <c r="C128" s="80" t="s">
        <v>1288</v>
      </c>
      <c r="D128" s="304">
        <f>SUM(D125:D127)</f>
        <v>0</v>
      </c>
      <c r="E128" s="573"/>
      <c r="F128" s="394"/>
      <c r="G128" s="394"/>
      <c r="H128" s="304">
        <f>SUM(H125:H127)</f>
        <v>0</v>
      </c>
    </row>
    <row r="129" spans="1:15">
      <c r="A129" s="112">
        <f t="shared" si="10"/>
        <v>115</v>
      </c>
      <c r="B129" s="855"/>
    </row>
    <row r="130" spans="1:15">
      <c r="A130" s="112">
        <f t="shared" si="10"/>
        <v>116</v>
      </c>
      <c r="B130" s="570"/>
      <c r="C130" s="500" t="s">
        <v>297</v>
      </c>
    </row>
    <row r="131" spans="1:15">
      <c r="A131" s="112">
        <f t="shared" si="10"/>
        <v>117</v>
      </c>
      <c r="B131" s="431">
        <v>37400</v>
      </c>
      <c r="C131" s="80" t="s">
        <v>1128</v>
      </c>
      <c r="D131" s="304">
        <v>0</v>
      </c>
      <c r="E131" s="395">
        <v>1</v>
      </c>
      <c r="F131" s="394">
        <f t="shared" ref="F131:F151" si="14">$F$16</f>
        <v>1</v>
      </c>
      <c r="G131" s="395">
        <f t="shared" ref="G131:G151" si="15">$G$125</f>
        <v>0.50419999999999998</v>
      </c>
      <c r="H131" s="304">
        <f>D131*E131*F131*G131</f>
        <v>0</v>
      </c>
    </row>
    <row r="132" spans="1:15">
      <c r="A132" s="112">
        <f t="shared" si="10"/>
        <v>118</v>
      </c>
      <c r="B132" s="431">
        <v>35010</v>
      </c>
      <c r="C132" s="80" t="s">
        <v>290</v>
      </c>
      <c r="D132" s="364">
        <v>0</v>
      </c>
      <c r="E132" s="395">
        <v>1</v>
      </c>
      <c r="F132" s="394">
        <f t="shared" si="14"/>
        <v>1</v>
      </c>
      <c r="G132" s="395">
        <f t="shared" si="15"/>
        <v>0.50419999999999998</v>
      </c>
      <c r="H132" s="364">
        <f t="shared" ref="H132:H151" si="16">D132*E132*F132*G132</f>
        <v>0</v>
      </c>
    </row>
    <row r="133" spans="1:15">
      <c r="A133" s="112">
        <f t="shared" si="10"/>
        <v>119</v>
      </c>
      <c r="B133" s="431">
        <v>37402</v>
      </c>
      <c r="C133" s="80" t="s">
        <v>986</v>
      </c>
      <c r="D133" s="364">
        <v>0</v>
      </c>
      <c r="E133" s="395">
        <v>1</v>
      </c>
      <c r="F133" s="394">
        <f t="shared" si="14"/>
        <v>1</v>
      </c>
      <c r="G133" s="395">
        <f t="shared" si="15"/>
        <v>0.50419999999999998</v>
      </c>
      <c r="H133" s="364">
        <f t="shared" si="16"/>
        <v>0</v>
      </c>
    </row>
    <row r="134" spans="1:15">
      <c r="A134" s="112">
        <f t="shared" si="10"/>
        <v>120</v>
      </c>
      <c r="B134" s="431">
        <v>37403</v>
      </c>
      <c r="C134" s="80" t="s">
        <v>983</v>
      </c>
      <c r="D134" s="364">
        <v>0</v>
      </c>
      <c r="E134" s="395">
        <v>1</v>
      </c>
      <c r="F134" s="394">
        <f t="shared" si="14"/>
        <v>1</v>
      </c>
      <c r="G134" s="395">
        <f t="shared" si="15"/>
        <v>0.50419999999999998</v>
      </c>
      <c r="H134" s="364">
        <f t="shared" si="16"/>
        <v>0</v>
      </c>
      <c r="O134" s="80"/>
    </row>
    <row r="135" spans="1:15">
      <c r="A135" s="112">
        <f t="shared" si="10"/>
        <v>121</v>
      </c>
      <c r="B135" s="431">
        <v>36602</v>
      </c>
      <c r="C135" s="80" t="s">
        <v>848</v>
      </c>
      <c r="D135" s="364">
        <v>0</v>
      </c>
      <c r="E135" s="395">
        <v>1</v>
      </c>
      <c r="F135" s="394">
        <f t="shared" si="14"/>
        <v>1</v>
      </c>
      <c r="G135" s="395">
        <f t="shared" si="15"/>
        <v>0.50419999999999998</v>
      </c>
      <c r="H135" s="364">
        <f t="shared" si="16"/>
        <v>0</v>
      </c>
    </row>
    <row r="136" spans="1:15">
      <c r="A136" s="112">
        <f t="shared" si="10"/>
        <v>122</v>
      </c>
      <c r="B136" s="431">
        <v>37501</v>
      </c>
      <c r="C136" s="80" t="s">
        <v>984</v>
      </c>
      <c r="D136" s="364">
        <v>0</v>
      </c>
      <c r="E136" s="395">
        <v>1</v>
      </c>
      <c r="F136" s="394">
        <f t="shared" si="14"/>
        <v>1</v>
      </c>
      <c r="G136" s="395">
        <f t="shared" si="15"/>
        <v>0.50419999999999998</v>
      </c>
      <c r="H136" s="364">
        <f t="shared" si="16"/>
        <v>0</v>
      </c>
      <c r="O136" s="431"/>
    </row>
    <row r="137" spans="1:15">
      <c r="A137" s="112">
        <f t="shared" si="10"/>
        <v>123</v>
      </c>
      <c r="B137" s="431">
        <v>37402</v>
      </c>
      <c r="C137" s="80" t="s">
        <v>986</v>
      </c>
      <c r="D137" s="364">
        <v>0</v>
      </c>
      <c r="E137" s="395">
        <v>1</v>
      </c>
      <c r="F137" s="394">
        <f t="shared" si="14"/>
        <v>1</v>
      </c>
      <c r="G137" s="395">
        <f t="shared" si="15"/>
        <v>0.50419999999999998</v>
      </c>
      <c r="H137" s="364">
        <f t="shared" si="16"/>
        <v>0</v>
      </c>
    </row>
    <row r="138" spans="1:15">
      <c r="A138" s="112">
        <f t="shared" si="10"/>
        <v>124</v>
      </c>
      <c r="B138" s="431">
        <v>37503</v>
      </c>
      <c r="C138" s="80" t="s">
        <v>985</v>
      </c>
      <c r="D138" s="364">
        <v>0</v>
      </c>
      <c r="E138" s="395">
        <v>1</v>
      </c>
      <c r="F138" s="394">
        <f t="shared" si="14"/>
        <v>1</v>
      </c>
      <c r="G138" s="395">
        <f t="shared" si="15"/>
        <v>0.50419999999999998</v>
      </c>
      <c r="H138" s="364">
        <f t="shared" si="16"/>
        <v>0</v>
      </c>
      <c r="O138" s="431"/>
    </row>
    <row r="139" spans="1:15">
      <c r="A139" s="112">
        <f t="shared" si="10"/>
        <v>125</v>
      </c>
      <c r="B139" s="431">
        <v>36700</v>
      </c>
      <c r="C139" s="80" t="s">
        <v>836</v>
      </c>
      <c r="D139" s="364">
        <v>0</v>
      </c>
      <c r="E139" s="395">
        <v>1</v>
      </c>
      <c r="F139" s="394">
        <f t="shared" si="14"/>
        <v>1</v>
      </c>
      <c r="G139" s="395">
        <f t="shared" si="15"/>
        <v>0.50419999999999998</v>
      </c>
      <c r="H139" s="364">
        <f t="shared" si="16"/>
        <v>0</v>
      </c>
    </row>
    <row r="140" spans="1:15">
      <c r="A140" s="112">
        <f t="shared" si="10"/>
        <v>126</v>
      </c>
      <c r="B140" s="431">
        <v>36701</v>
      </c>
      <c r="C140" s="80" t="s">
        <v>16</v>
      </c>
      <c r="D140" s="364">
        <v>0</v>
      </c>
      <c r="E140" s="395">
        <v>1</v>
      </c>
      <c r="F140" s="394">
        <f t="shared" si="14"/>
        <v>1</v>
      </c>
      <c r="G140" s="395">
        <f t="shared" si="15"/>
        <v>0.50419999999999998</v>
      </c>
      <c r="H140" s="364">
        <f t="shared" si="16"/>
        <v>0</v>
      </c>
    </row>
    <row r="141" spans="1:15">
      <c r="A141" s="112">
        <f t="shared" si="10"/>
        <v>127</v>
      </c>
      <c r="B141" s="431">
        <v>37602</v>
      </c>
      <c r="C141" s="80" t="s">
        <v>837</v>
      </c>
      <c r="D141" s="364">
        <v>0</v>
      </c>
      <c r="E141" s="395">
        <v>1</v>
      </c>
      <c r="F141" s="394">
        <f t="shared" si="14"/>
        <v>1</v>
      </c>
      <c r="G141" s="395">
        <f t="shared" si="15"/>
        <v>0.50419999999999998</v>
      </c>
      <c r="H141" s="364">
        <f t="shared" si="16"/>
        <v>0</v>
      </c>
    </row>
    <row r="142" spans="1:15">
      <c r="A142" s="112">
        <f t="shared" si="10"/>
        <v>128</v>
      </c>
      <c r="B142" s="431">
        <v>37800</v>
      </c>
      <c r="C142" s="80" t="s">
        <v>228</v>
      </c>
      <c r="D142" s="364">
        <v>0</v>
      </c>
      <c r="E142" s="395">
        <v>1</v>
      </c>
      <c r="F142" s="394">
        <f t="shared" si="14"/>
        <v>1</v>
      </c>
      <c r="G142" s="395">
        <f t="shared" si="15"/>
        <v>0.50419999999999998</v>
      </c>
      <c r="H142" s="364">
        <f t="shared" si="16"/>
        <v>0</v>
      </c>
      <c r="M142" s="578"/>
      <c r="N142" s="576"/>
    </row>
    <row r="143" spans="1:15">
      <c r="A143" s="112">
        <f t="shared" si="10"/>
        <v>129</v>
      </c>
      <c r="B143" s="431">
        <v>37900</v>
      </c>
      <c r="C143" s="80" t="s">
        <v>1171</v>
      </c>
      <c r="D143" s="364">
        <v>0</v>
      </c>
      <c r="E143" s="395">
        <v>1</v>
      </c>
      <c r="F143" s="394">
        <f t="shared" si="14"/>
        <v>1</v>
      </c>
      <c r="G143" s="395">
        <f t="shared" si="15"/>
        <v>0.50419999999999998</v>
      </c>
      <c r="H143" s="364">
        <f t="shared" si="16"/>
        <v>0</v>
      </c>
    </row>
    <row r="144" spans="1:15">
      <c r="A144" s="112">
        <f t="shared" si="10"/>
        <v>130</v>
      </c>
      <c r="B144" s="431">
        <v>37905</v>
      </c>
      <c r="C144" s="80" t="s">
        <v>720</v>
      </c>
      <c r="D144" s="364">
        <v>0</v>
      </c>
      <c r="E144" s="395">
        <v>1</v>
      </c>
      <c r="F144" s="394">
        <f t="shared" si="14"/>
        <v>1</v>
      </c>
      <c r="G144" s="395">
        <f t="shared" si="15"/>
        <v>0.50419999999999998</v>
      </c>
      <c r="H144" s="364">
        <f t="shared" si="16"/>
        <v>0</v>
      </c>
      <c r="M144" s="575"/>
      <c r="N144" s="577"/>
    </row>
    <row r="145" spans="1:14">
      <c r="A145" s="112">
        <f t="shared" si="10"/>
        <v>131</v>
      </c>
      <c r="B145" s="431">
        <v>38000</v>
      </c>
      <c r="C145" s="80" t="s">
        <v>1036</v>
      </c>
      <c r="D145" s="364">
        <v>0</v>
      </c>
      <c r="E145" s="395">
        <v>1</v>
      </c>
      <c r="F145" s="394">
        <f t="shared" si="14"/>
        <v>1</v>
      </c>
      <c r="G145" s="395">
        <f t="shared" si="15"/>
        <v>0.50419999999999998</v>
      </c>
      <c r="H145" s="364">
        <f t="shared" si="16"/>
        <v>0</v>
      </c>
    </row>
    <row r="146" spans="1:14">
      <c r="A146" s="112">
        <f t="shared" si="10"/>
        <v>132</v>
      </c>
      <c r="B146" s="431">
        <v>38100</v>
      </c>
      <c r="C146" s="80" t="s">
        <v>838</v>
      </c>
      <c r="D146" s="364">
        <v>0</v>
      </c>
      <c r="E146" s="395">
        <v>1</v>
      </c>
      <c r="F146" s="394">
        <f t="shared" si="14"/>
        <v>1</v>
      </c>
      <c r="G146" s="395">
        <f t="shared" si="15"/>
        <v>0.50419999999999998</v>
      </c>
      <c r="H146" s="364">
        <f t="shared" si="16"/>
        <v>0</v>
      </c>
      <c r="M146" s="575"/>
      <c r="N146" s="576"/>
    </row>
    <row r="147" spans="1:14">
      <c r="A147" s="112">
        <f t="shared" si="10"/>
        <v>133</v>
      </c>
      <c r="B147" s="431">
        <v>38200</v>
      </c>
      <c r="C147" s="80" t="s">
        <v>438</v>
      </c>
      <c r="D147" s="364">
        <v>0</v>
      </c>
      <c r="E147" s="395">
        <v>1</v>
      </c>
      <c r="F147" s="394">
        <f t="shared" si="14"/>
        <v>1</v>
      </c>
      <c r="G147" s="395">
        <f t="shared" si="15"/>
        <v>0.50419999999999998</v>
      </c>
      <c r="H147" s="364">
        <f t="shared" si="16"/>
        <v>0</v>
      </c>
    </row>
    <row r="148" spans="1:14">
      <c r="A148" s="112">
        <f t="shared" ref="A148:A211" si="17">A147+1</f>
        <v>134</v>
      </c>
      <c r="B148" s="431">
        <v>38300</v>
      </c>
      <c r="C148" s="80" t="s">
        <v>1037</v>
      </c>
      <c r="D148" s="364">
        <v>0</v>
      </c>
      <c r="E148" s="395">
        <v>1</v>
      </c>
      <c r="F148" s="394">
        <f t="shared" si="14"/>
        <v>1</v>
      </c>
      <c r="G148" s="395">
        <f t="shared" si="15"/>
        <v>0.50419999999999998</v>
      </c>
      <c r="H148" s="364">
        <f t="shared" si="16"/>
        <v>0</v>
      </c>
      <c r="M148" s="575"/>
      <c r="N148" s="576"/>
    </row>
    <row r="149" spans="1:14">
      <c r="A149" s="112">
        <f t="shared" si="17"/>
        <v>135</v>
      </c>
      <c r="B149" s="431">
        <v>38400</v>
      </c>
      <c r="C149" s="80" t="s">
        <v>439</v>
      </c>
      <c r="D149" s="364">
        <v>0</v>
      </c>
      <c r="E149" s="395">
        <v>1</v>
      </c>
      <c r="F149" s="394">
        <f t="shared" si="14"/>
        <v>1</v>
      </c>
      <c r="G149" s="395">
        <f t="shared" si="15"/>
        <v>0.50419999999999998</v>
      </c>
      <c r="H149" s="364">
        <f t="shared" si="16"/>
        <v>0</v>
      </c>
    </row>
    <row r="150" spans="1:14">
      <c r="A150" s="112">
        <f t="shared" si="17"/>
        <v>136</v>
      </c>
      <c r="B150" s="431">
        <v>38500</v>
      </c>
      <c r="C150" s="80" t="s">
        <v>440</v>
      </c>
      <c r="D150" s="364">
        <v>0</v>
      </c>
      <c r="E150" s="395">
        <v>1</v>
      </c>
      <c r="F150" s="394">
        <f t="shared" si="14"/>
        <v>1</v>
      </c>
      <c r="G150" s="395">
        <f t="shared" si="15"/>
        <v>0.50419999999999998</v>
      </c>
      <c r="H150" s="364">
        <f t="shared" si="16"/>
        <v>0</v>
      </c>
    </row>
    <row r="151" spans="1:14">
      <c r="A151" s="112">
        <f t="shared" si="17"/>
        <v>137</v>
      </c>
      <c r="B151" s="431">
        <v>38600</v>
      </c>
      <c r="C151" s="80" t="s">
        <v>105</v>
      </c>
      <c r="D151" s="842">
        <v>0</v>
      </c>
      <c r="E151" s="395">
        <v>1</v>
      </c>
      <c r="F151" s="394">
        <f t="shared" si="14"/>
        <v>1</v>
      </c>
      <c r="G151" s="395">
        <f t="shared" si="15"/>
        <v>0.50419999999999998</v>
      </c>
      <c r="H151" s="842">
        <f t="shared" si="16"/>
        <v>0</v>
      </c>
    </row>
    <row r="152" spans="1:14">
      <c r="A152" s="112">
        <f t="shared" si="17"/>
        <v>138</v>
      </c>
      <c r="B152" s="431"/>
      <c r="C152" s="80"/>
    </row>
    <row r="153" spans="1:14">
      <c r="A153" s="112">
        <f t="shared" si="17"/>
        <v>139</v>
      </c>
      <c r="B153" s="431"/>
      <c r="C153" s="80" t="s">
        <v>1287</v>
      </c>
      <c r="D153" s="304">
        <f>SUM(D131:D152)</f>
        <v>0</v>
      </c>
      <c r="E153" s="573"/>
      <c r="H153" s="304">
        <f>SUM(H131:H152)</f>
        <v>0</v>
      </c>
    </row>
    <row r="154" spans="1:14">
      <c r="A154" s="112">
        <f t="shared" si="17"/>
        <v>140</v>
      </c>
      <c r="B154" s="431"/>
      <c r="C154" s="80"/>
    </row>
    <row r="155" spans="1:14">
      <c r="A155" s="112">
        <f t="shared" si="17"/>
        <v>141</v>
      </c>
      <c r="B155" s="570"/>
      <c r="C155" s="500" t="s">
        <v>299</v>
      </c>
    </row>
    <row r="156" spans="1:14">
      <c r="A156" s="112">
        <f t="shared" si="17"/>
        <v>142</v>
      </c>
      <c r="B156" s="431">
        <v>39001</v>
      </c>
      <c r="C156" s="80" t="s">
        <v>1483</v>
      </c>
      <c r="D156" s="304">
        <f>[4]Reserve!BM86</f>
        <v>4429.6614439999985</v>
      </c>
      <c r="E156" s="395">
        <v>1</v>
      </c>
      <c r="F156" s="394">
        <f t="shared" ref="F156:F176" si="18">$F$16</f>
        <v>1</v>
      </c>
      <c r="G156" s="395">
        <f t="shared" ref="G156:G176" si="19">$G$125</f>
        <v>0.50419999999999998</v>
      </c>
      <c r="H156" s="304">
        <f t="shared" ref="H156:H176" si="20">D156*E156*F156*G156</f>
        <v>2233.4353000647993</v>
      </c>
      <c r="N156" s="395"/>
    </row>
    <row r="157" spans="1:14">
      <c r="A157" s="112">
        <f t="shared" si="17"/>
        <v>143</v>
      </c>
      <c r="B157" s="431">
        <v>39004</v>
      </c>
      <c r="C157" s="80" t="s">
        <v>1467</v>
      </c>
      <c r="D157" s="364">
        <f>[4]Reserve!BM87</f>
        <v>989.18541299999981</v>
      </c>
      <c r="E157" s="395">
        <v>1</v>
      </c>
      <c r="F157" s="394">
        <f t="shared" si="18"/>
        <v>1</v>
      </c>
      <c r="G157" s="395">
        <f t="shared" si="19"/>
        <v>0.50419999999999998</v>
      </c>
      <c r="H157" s="364">
        <f t="shared" si="20"/>
        <v>498.74728523459987</v>
      </c>
      <c r="N157" s="395"/>
    </row>
    <row r="158" spans="1:14">
      <c r="A158" s="112">
        <f t="shared" si="17"/>
        <v>144</v>
      </c>
      <c r="B158" s="431">
        <v>39009</v>
      </c>
      <c r="C158" s="80" t="s">
        <v>1468</v>
      </c>
      <c r="D158" s="364">
        <f>[4]Reserve!BM88</f>
        <v>0</v>
      </c>
      <c r="E158" s="395">
        <v>1</v>
      </c>
      <c r="F158" s="394">
        <f t="shared" si="18"/>
        <v>1</v>
      </c>
      <c r="G158" s="395">
        <f t="shared" si="19"/>
        <v>0.50419999999999998</v>
      </c>
      <c r="H158" s="364">
        <f t="shared" si="20"/>
        <v>0</v>
      </c>
      <c r="N158" s="395"/>
    </row>
    <row r="159" spans="1:14">
      <c r="A159" s="112">
        <f t="shared" si="17"/>
        <v>145</v>
      </c>
      <c r="B159" s="431">
        <v>39100</v>
      </c>
      <c r="C159" s="80" t="s">
        <v>1469</v>
      </c>
      <c r="D159" s="364">
        <f>[4]Reserve!BM89</f>
        <v>1346.3964999999998</v>
      </c>
      <c r="E159" s="395">
        <v>1</v>
      </c>
      <c r="F159" s="394">
        <f t="shared" si="18"/>
        <v>1</v>
      </c>
      <c r="G159" s="395">
        <f t="shared" si="19"/>
        <v>0.50419999999999998</v>
      </c>
      <c r="H159" s="364">
        <f t="shared" si="20"/>
        <v>678.8531152999999</v>
      </c>
      <c r="N159" s="395"/>
    </row>
    <row r="160" spans="1:14">
      <c r="A160" s="112">
        <f t="shared" si="17"/>
        <v>146</v>
      </c>
      <c r="B160" s="431">
        <v>39101</v>
      </c>
      <c r="C160" s="80" t="s">
        <v>1439</v>
      </c>
      <c r="D160" s="364">
        <f>[4]Reserve!BM90</f>
        <v>0</v>
      </c>
      <c r="E160" s="395">
        <v>1</v>
      </c>
      <c r="F160" s="394">
        <f t="shared" si="18"/>
        <v>1</v>
      </c>
      <c r="G160" s="395">
        <f t="shared" si="19"/>
        <v>0.50419999999999998</v>
      </c>
      <c r="H160" s="364">
        <f t="shared" si="20"/>
        <v>0</v>
      </c>
      <c r="K160" s="557"/>
      <c r="N160" s="395"/>
    </row>
    <row r="161" spans="1:14">
      <c r="A161" s="112">
        <f t="shared" si="17"/>
        <v>147</v>
      </c>
      <c r="B161" s="431">
        <v>39103</v>
      </c>
      <c r="C161" s="80" t="s">
        <v>773</v>
      </c>
      <c r="D161" s="364">
        <f>[4]Reserve!BM91</f>
        <v>0</v>
      </c>
      <c r="E161" s="395">
        <v>1</v>
      </c>
      <c r="F161" s="394">
        <f t="shared" si="18"/>
        <v>1</v>
      </c>
      <c r="G161" s="395">
        <f t="shared" si="19"/>
        <v>0.50419999999999998</v>
      </c>
      <c r="H161" s="364">
        <f t="shared" si="20"/>
        <v>0</v>
      </c>
      <c r="K161" s="557"/>
      <c r="N161" s="395"/>
    </row>
    <row r="162" spans="1:14">
      <c r="A162" s="112">
        <f t="shared" si="17"/>
        <v>148</v>
      </c>
      <c r="B162" s="431">
        <v>39200</v>
      </c>
      <c r="C162" s="80" t="s">
        <v>1484</v>
      </c>
      <c r="D162" s="364">
        <f>[4]Reserve!BM92</f>
        <v>1476.101729</v>
      </c>
      <c r="E162" s="1063">
        <f>'[5]Base period Actuals'!$Z$12</f>
        <v>0.43895256934847215</v>
      </c>
      <c r="F162" s="394">
        <f t="shared" si="18"/>
        <v>1</v>
      </c>
      <c r="G162" s="395">
        <f t="shared" si="19"/>
        <v>0.50419999999999998</v>
      </c>
      <c r="H162" s="364">
        <f t="shared" si="20"/>
        <v>326.69066559770602</v>
      </c>
      <c r="K162" s="557"/>
      <c r="N162" s="395"/>
    </row>
    <row r="163" spans="1:14">
      <c r="A163" s="112">
        <f t="shared" si="17"/>
        <v>149</v>
      </c>
      <c r="B163" s="431">
        <v>39300</v>
      </c>
      <c r="C163" s="80" t="s">
        <v>644</v>
      </c>
      <c r="D163" s="364">
        <f>[4]Reserve!BM93</f>
        <v>0</v>
      </c>
      <c r="E163" s="395">
        <v>1</v>
      </c>
      <c r="F163" s="394">
        <f t="shared" si="18"/>
        <v>1</v>
      </c>
      <c r="G163" s="395">
        <f t="shared" si="19"/>
        <v>0.50419999999999998</v>
      </c>
      <c r="H163" s="364">
        <f t="shared" si="20"/>
        <v>0</v>
      </c>
      <c r="K163" s="557"/>
      <c r="N163" s="395"/>
    </row>
    <row r="164" spans="1:14">
      <c r="A164" s="112">
        <f t="shared" si="17"/>
        <v>150</v>
      </c>
      <c r="B164" s="431">
        <v>39400</v>
      </c>
      <c r="C164" s="80" t="s">
        <v>1472</v>
      </c>
      <c r="D164" s="364">
        <f>[4]Reserve!BM94</f>
        <v>7328.4464113333297</v>
      </c>
      <c r="E164" s="1063">
        <f>'[5]Base period Actuals'!$Z$16</f>
        <v>0.43909049802305034</v>
      </c>
      <c r="F164" s="394">
        <f t="shared" si="18"/>
        <v>1</v>
      </c>
      <c r="G164" s="395">
        <f t="shared" si="19"/>
        <v>0.50419999999999998</v>
      </c>
      <c r="H164" s="364">
        <f t="shared" si="20"/>
        <v>1622.4405672186417</v>
      </c>
      <c r="K164" s="557"/>
      <c r="N164" s="395"/>
    </row>
    <row r="165" spans="1:14">
      <c r="A165" s="112">
        <f t="shared" si="17"/>
        <v>151</v>
      </c>
      <c r="B165" s="431">
        <v>39600</v>
      </c>
      <c r="C165" s="80" t="s">
        <v>1485</v>
      </c>
      <c r="D165" s="364">
        <f>[4]Reserve!BM95</f>
        <v>1029.8876379999999</v>
      </c>
      <c r="E165" s="1063">
        <f>'[5]Base period Actuals'!$Z$14</f>
        <v>2.0041948263807674E-2</v>
      </c>
      <c r="F165" s="394">
        <f t="shared" si="18"/>
        <v>1</v>
      </c>
      <c r="G165" s="395">
        <f t="shared" si="19"/>
        <v>0.50419999999999998</v>
      </c>
      <c r="H165" s="364">
        <f t="shared" si="20"/>
        <v>10.407169389150532</v>
      </c>
      <c r="K165" s="557"/>
      <c r="N165" s="395"/>
    </row>
    <row r="166" spans="1:14">
      <c r="A166" s="112">
        <f t="shared" si="17"/>
        <v>152</v>
      </c>
      <c r="B166" s="431">
        <v>39700</v>
      </c>
      <c r="C166" s="80" t="s">
        <v>1476</v>
      </c>
      <c r="D166" s="364">
        <f>[4]Reserve!BM96</f>
        <v>0</v>
      </c>
      <c r="E166" s="395">
        <v>1</v>
      </c>
      <c r="F166" s="394">
        <f t="shared" si="18"/>
        <v>1</v>
      </c>
      <c r="G166" s="395">
        <f t="shared" si="19"/>
        <v>0.50419999999999998</v>
      </c>
      <c r="H166" s="364">
        <f t="shared" si="20"/>
        <v>0</v>
      </c>
      <c r="K166" s="557"/>
      <c r="N166" s="395"/>
    </row>
    <row r="167" spans="1:14">
      <c r="A167" s="112">
        <f t="shared" si="17"/>
        <v>153</v>
      </c>
      <c r="B167" s="431">
        <v>39701</v>
      </c>
      <c r="C167" s="80" t="s">
        <v>1436</v>
      </c>
      <c r="D167" s="364">
        <f>[4]Reserve!BM97</f>
        <v>0</v>
      </c>
      <c r="E167" s="395">
        <v>1</v>
      </c>
      <c r="F167" s="394">
        <f t="shared" si="18"/>
        <v>1</v>
      </c>
      <c r="G167" s="395">
        <f t="shared" si="19"/>
        <v>0.50419999999999998</v>
      </c>
      <c r="H167" s="364">
        <f t="shared" si="20"/>
        <v>0</v>
      </c>
      <c r="K167" s="557"/>
      <c r="N167" s="395"/>
    </row>
    <row r="168" spans="1:14">
      <c r="A168" s="112">
        <f t="shared" si="17"/>
        <v>154</v>
      </c>
      <c r="B168" s="570">
        <v>39702</v>
      </c>
      <c r="C168" s="80" t="s">
        <v>1436</v>
      </c>
      <c r="D168" s="364">
        <f>[4]Reserve!BM98</f>
        <v>0</v>
      </c>
      <c r="E168" s="395">
        <v>1</v>
      </c>
      <c r="F168" s="394">
        <f t="shared" si="18"/>
        <v>1</v>
      </c>
      <c r="G168" s="395">
        <f t="shared" si="19"/>
        <v>0.50419999999999998</v>
      </c>
      <c r="H168" s="364">
        <f t="shared" si="20"/>
        <v>0</v>
      </c>
      <c r="N168" s="395"/>
    </row>
    <row r="169" spans="1:14">
      <c r="A169" s="112">
        <f t="shared" si="17"/>
        <v>155</v>
      </c>
      <c r="B169" s="570">
        <v>39800</v>
      </c>
      <c r="C169" s="80" t="s">
        <v>1478</v>
      </c>
      <c r="D169" s="364">
        <f>[4]Reserve!BM99</f>
        <v>0</v>
      </c>
      <c r="E169" s="395">
        <v>1</v>
      </c>
      <c r="F169" s="394">
        <f t="shared" si="18"/>
        <v>1</v>
      </c>
      <c r="G169" s="395">
        <f t="shared" si="19"/>
        <v>0.50419999999999998</v>
      </c>
      <c r="H169" s="364">
        <f t="shared" si="20"/>
        <v>0</v>
      </c>
      <c r="N169" s="395"/>
    </row>
    <row r="170" spans="1:14">
      <c r="A170" s="112">
        <f t="shared" si="17"/>
        <v>156</v>
      </c>
      <c r="B170" s="570">
        <v>39900</v>
      </c>
      <c r="C170" s="80" t="s">
        <v>1486</v>
      </c>
      <c r="D170" s="364">
        <f>[4]Reserve!BM100</f>
        <v>0</v>
      </c>
      <c r="E170" s="395">
        <v>1</v>
      </c>
      <c r="F170" s="394">
        <f t="shared" si="18"/>
        <v>1</v>
      </c>
      <c r="G170" s="395">
        <f t="shared" si="19"/>
        <v>0.50419999999999998</v>
      </c>
      <c r="H170" s="364">
        <f t="shared" si="20"/>
        <v>0</v>
      </c>
      <c r="N170" s="395"/>
    </row>
    <row r="171" spans="1:14">
      <c r="A171" s="112">
        <f t="shared" si="17"/>
        <v>157</v>
      </c>
      <c r="B171" s="570">
        <v>39901</v>
      </c>
      <c r="C171" s="80" t="s">
        <v>1487</v>
      </c>
      <c r="D171" s="364">
        <f>[4]Reserve!BM101</f>
        <v>0</v>
      </c>
      <c r="E171" s="395">
        <v>1</v>
      </c>
      <c r="F171" s="394">
        <f t="shared" si="18"/>
        <v>1</v>
      </c>
      <c r="G171" s="395">
        <f t="shared" si="19"/>
        <v>0.50419999999999998</v>
      </c>
      <c r="H171" s="364">
        <f t="shared" si="20"/>
        <v>0</v>
      </c>
      <c r="N171" s="395"/>
    </row>
    <row r="172" spans="1:14">
      <c r="A172" s="112">
        <f t="shared" si="17"/>
        <v>158</v>
      </c>
      <c r="B172" s="570">
        <v>39902</v>
      </c>
      <c r="C172" s="80" t="s">
        <v>1488</v>
      </c>
      <c r="D172" s="364">
        <f>[4]Reserve!BM102</f>
        <v>0</v>
      </c>
      <c r="E172" s="395">
        <v>1</v>
      </c>
      <c r="F172" s="394">
        <f t="shared" si="18"/>
        <v>1</v>
      </c>
      <c r="G172" s="395">
        <f t="shared" si="19"/>
        <v>0.50419999999999998</v>
      </c>
      <c r="H172" s="364">
        <f t="shared" si="20"/>
        <v>0</v>
      </c>
      <c r="N172" s="395"/>
    </row>
    <row r="173" spans="1:14">
      <c r="A173" s="112">
        <f t="shared" si="17"/>
        <v>159</v>
      </c>
      <c r="B173" s="570">
        <v>39903</v>
      </c>
      <c r="C173" s="80" t="s">
        <v>1479</v>
      </c>
      <c r="D173" s="364">
        <f>[4]Reserve!BM103</f>
        <v>2826.6440000000002</v>
      </c>
      <c r="E173" s="395">
        <v>1</v>
      </c>
      <c r="F173" s="394">
        <f t="shared" si="18"/>
        <v>1</v>
      </c>
      <c r="G173" s="395">
        <f t="shared" si="19"/>
        <v>0.50419999999999998</v>
      </c>
      <c r="H173" s="364">
        <f t="shared" si="20"/>
        <v>1425.1939048000002</v>
      </c>
      <c r="N173" s="395"/>
    </row>
    <row r="174" spans="1:14">
      <c r="A174" s="112">
        <f t="shared" si="17"/>
        <v>160</v>
      </c>
      <c r="B174" s="570">
        <v>39906</v>
      </c>
      <c r="C174" s="80" t="s">
        <v>1480</v>
      </c>
      <c r="D174" s="364">
        <f>[4]Reserve!BM104</f>
        <v>0</v>
      </c>
      <c r="E174" s="395">
        <v>1</v>
      </c>
      <c r="F174" s="394">
        <f t="shared" si="18"/>
        <v>1</v>
      </c>
      <c r="G174" s="395">
        <f t="shared" si="19"/>
        <v>0.50419999999999998</v>
      </c>
      <c r="H174" s="364">
        <f t="shared" si="20"/>
        <v>0</v>
      </c>
      <c r="N174" s="395"/>
    </row>
    <row r="175" spans="1:14">
      <c r="A175" s="112">
        <f t="shared" si="17"/>
        <v>161</v>
      </c>
      <c r="B175" s="570">
        <v>39907</v>
      </c>
      <c r="C175" s="80" t="s">
        <v>1481</v>
      </c>
      <c r="D175" s="364">
        <f>[4]Reserve!BM105</f>
        <v>9783.9171599999991</v>
      </c>
      <c r="E175" s="395">
        <v>1</v>
      </c>
      <c r="F175" s="394">
        <f t="shared" si="18"/>
        <v>1</v>
      </c>
      <c r="G175" s="395">
        <f t="shared" si="19"/>
        <v>0.50419999999999998</v>
      </c>
      <c r="H175" s="364">
        <f t="shared" si="20"/>
        <v>4933.0510320719995</v>
      </c>
      <c r="N175" s="395"/>
    </row>
    <row r="176" spans="1:14">
      <c r="A176" s="112">
        <f t="shared" si="17"/>
        <v>162</v>
      </c>
      <c r="B176" s="570">
        <v>39908</v>
      </c>
      <c r="C176" s="80" t="s">
        <v>1482</v>
      </c>
      <c r="D176" s="364">
        <f>[4]Reserve!BM106</f>
        <v>0</v>
      </c>
      <c r="E176" s="395">
        <v>1</v>
      </c>
      <c r="F176" s="394">
        <f t="shared" si="18"/>
        <v>1</v>
      </c>
      <c r="G176" s="395">
        <f t="shared" si="19"/>
        <v>0.50419999999999998</v>
      </c>
      <c r="H176" s="364">
        <f t="shared" si="20"/>
        <v>0</v>
      </c>
      <c r="N176" s="395"/>
    </row>
    <row r="177" spans="1:14">
      <c r="A177" s="112">
        <f t="shared" si="17"/>
        <v>163</v>
      </c>
      <c r="B177" s="570"/>
      <c r="C177" s="80"/>
      <c r="D177" s="364"/>
      <c r="E177" s="395"/>
      <c r="F177" s="394"/>
      <c r="G177" s="395"/>
      <c r="H177" s="364"/>
    </row>
    <row r="178" spans="1:14">
      <c r="A178" s="112">
        <f t="shared" si="17"/>
        <v>164</v>
      </c>
      <c r="B178" s="334"/>
      <c r="C178" s="80"/>
      <c r="D178" s="499"/>
      <c r="E178" s="825"/>
      <c r="H178" s="499"/>
    </row>
    <row r="179" spans="1:14">
      <c r="A179" s="112">
        <f t="shared" si="17"/>
        <v>165</v>
      </c>
      <c r="B179" s="334"/>
      <c r="C179" s="80" t="s">
        <v>1286</v>
      </c>
      <c r="D179" s="304">
        <f>SUM(D156:D177)</f>
        <v>29210.240295333329</v>
      </c>
      <c r="E179" s="860"/>
      <c r="H179" s="304">
        <f>SUM(H156:H177)</f>
        <v>11728.819039676897</v>
      </c>
    </row>
    <row r="180" spans="1:14">
      <c r="A180" s="112">
        <f t="shared" si="17"/>
        <v>166</v>
      </c>
      <c r="B180" s="334"/>
      <c r="C180" s="80"/>
      <c r="E180" s="825"/>
    </row>
    <row r="181" spans="1:14" ht="15.75" thickBot="1">
      <c r="A181" s="112">
        <f t="shared" si="17"/>
        <v>167</v>
      </c>
      <c r="B181" s="334"/>
      <c r="C181" s="80" t="s">
        <v>1282</v>
      </c>
      <c r="D181" s="1059">
        <f>D128+D153+D179</f>
        <v>29210.240295333329</v>
      </c>
      <c r="E181" s="860"/>
      <c r="H181" s="1059">
        <f>H128+H153+H179</f>
        <v>11728.819039676897</v>
      </c>
    </row>
    <row r="182" spans="1:14" ht="15.75" thickTop="1">
      <c r="A182" s="112">
        <f t="shared" si="17"/>
        <v>168</v>
      </c>
      <c r="B182" s="838"/>
      <c r="D182" s="364"/>
      <c r="E182" s="825"/>
    </row>
    <row r="183" spans="1:14" ht="15.75">
      <c r="A183" s="112">
        <f t="shared" si="17"/>
        <v>169</v>
      </c>
      <c r="B183" s="843" t="s">
        <v>8</v>
      </c>
      <c r="D183" s="364"/>
    </row>
    <row r="184" spans="1:14">
      <c r="A184" s="112">
        <f t="shared" si="17"/>
        <v>170</v>
      </c>
      <c r="D184" s="364"/>
    </row>
    <row r="185" spans="1:14">
      <c r="A185" s="112">
        <f t="shared" si="17"/>
        <v>171</v>
      </c>
      <c r="B185" s="334"/>
      <c r="C185" s="500" t="s">
        <v>299</v>
      </c>
      <c r="D185" s="364"/>
    </row>
    <row r="186" spans="1:14">
      <c r="A186" s="112">
        <f t="shared" si="17"/>
        <v>172</v>
      </c>
      <c r="B186" s="431">
        <v>39000</v>
      </c>
      <c r="C186" s="80" t="s">
        <v>1464</v>
      </c>
      <c r="D186" s="304">
        <f>[4]Reserve!BM7</f>
        <v>324959.33021929167</v>
      </c>
      <c r="E186" s="394">
        <v>1</v>
      </c>
      <c r="F186" s="395">
        <f>Allocation!$C$14</f>
        <v>9.8599999999999993E-2</v>
      </c>
      <c r="G186" s="395">
        <f>Allocation!$D$14</f>
        <v>0.50419999999999998</v>
      </c>
      <c r="H186" s="304">
        <f>D186*E186*F186*G186</f>
        <v>16155.067137641492</v>
      </c>
      <c r="N186" s="395"/>
    </row>
    <row r="187" spans="1:14">
      <c r="A187" s="112">
        <f t="shared" si="17"/>
        <v>173</v>
      </c>
      <c r="B187" s="431">
        <v>39005</v>
      </c>
      <c r="C187" s="80" t="s">
        <v>1489</v>
      </c>
      <c r="D187" s="364">
        <f>[4]Reserve!BM8</f>
        <v>276532.97329700005</v>
      </c>
      <c r="E187" s="394">
        <v>1</v>
      </c>
      <c r="F187" s="395">
        <v>1</v>
      </c>
      <c r="G187" s="395">
        <f>Allocation!$I$20</f>
        <v>1.559576E-2</v>
      </c>
      <c r="H187" s="364">
        <f t="shared" ref="H187:H221" si="21">D187*E187*F187*G187</f>
        <v>4312.7418836264214</v>
      </c>
      <c r="N187" s="395"/>
    </row>
    <row r="188" spans="1:14">
      <c r="A188" s="112">
        <f t="shared" si="17"/>
        <v>174</v>
      </c>
      <c r="B188" s="431">
        <v>39009</v>
      </c>
      <c r="C188" s="80" t="s">
        <v>1468</v>
      </c>
      <c r="D188" s="364">
        <f>[4]Reserve!BM9</f>
        <v>187189.40638125001</v>
      </c>
      <c r="E188" s="394">
        <v>1</v>
      </c>
      <c r="F188" s="395">
        <f t="shared" ref="F188:F201" si="22">$F$186</f>
        <v>9.8599999999999993E-2</v>
      </c>
      <c r="G188" s="395">
        <f t="shared" ref="G188:G201" si="23">$G$186</f>
        <v>0.50419999999999998</v>
      </c>
      <c r="H188" s="364">
        <f t="shared" si="21"/>
        <v>9305.9566115662292</v>
      </c>
      <c r="N188" s="395"/>
    </row>
    <row r="189" spans="1:14">
      <c r="A189" s="112">
        <f t="shared" si="17"/>
        <v>175</v>
      </c>
      <c r="B189" s="431">
        <v>39020</v>
      </c>
      <c r="C189" s="80" t="s">
        <v>1440</v>
      </c>
      <c r="D189" s="364">
        <f>[4]Reserve!BM10</f>
        <v>63.694007999999997</v>
      </c>
      <c r="E189" s="394">
        <v>1</v>
      </c>
      <c r="F189" s="395">
        <v>1</v>
      </c>
      <c r="G189" s="395">
        <f>Allocation!$E$22</f>
        <v>6.106367E-2</v>
      </c>
      <c r="H189" s="364">
        <f t="shared" si="21"/>
        <v>3.88938988548936</v>
      </c>
      <c r="N189" s="395"/>
    </row>
    <row r="190" spans="1:14">
      <c r="A190" s="112">
        <f t="shared" si="17"/>
        <v>176</v>
      </c>
      <c r="B190" s="431">
        <v>39029</v>
      </c>
      <c r="C190" s="80" t="s">
        <v>1441</v>
      </c>
      <c r="D190" s="364">
        <f>[4]Reserve!BM11</f>
        <v>1034.2952750000002</v>
      </c>
      <c r="E190" s="394">
        <v>1</v>
      </c>
      <c r="F190" s="395">
        <v>1</v>
      </c>
      <c r="G190" s="395">
        <f>Allocation!$E$22</f>
        <v>6.106367E-2</v>
      </c>
      <c r="H190" s="364">
        <f t="shared" si="21"/>
        <v>63.157865355159259</v>
      </c>
      <c r="N190" s="395"/>
    </row>
    <row r="191" spans="1:14">
      <c r="A191" s="112">
        <f t="shared" si="17"/>
        <v>177</v>
      </c>
      <c r="B191" s="431">
        <v>39100</v>
      </c>
      <c r="C191" s="80" t="s">
        <v>1469</v>
      </c>
      <c r="D191" s="364">
        <f>[4]Reserve!BM12</f>
        <v>282087.61689352721</v>
      </c>
      <c r="E191" s="394">
        <v>1</v>
      </c>
      <c r="F191" s="395">
        <f t="shared" si="22"/>
        <v>9.8599999999999993E-2</v>
      </c>
      <c r="G191" s="395">
        <f t="shared" si="23"/>
        <v>0.50419999999999998</v>
      </c>
      <c r="H191" s="364">
        <f t="shared" si="21"/>
        <v>14023.737636758839</v>
      </c>
      <c r="N191" s="395"/>
    </row>
    <row r="192" spans="1:14">
      <c r="A192" s="112">
        <f t="shared" si="17"/>
        <v>178</v>
      </c>
      <c r="B192" s="431">
        <v>39102</v>
      </c>
      <c r="C192" s="80" t="s">
        <v>1490</v>
      </c>
      <c r="D192" s="364">
        <f>[4]Reserve!BM13</f>
        <v>0</v>
      </c>
      <c r="E192" s="394">
        <v>1</v>
      </c>
      <c r="F192" s="395">
        <f t="shared" si="22"/>
        <v>9.8599999999999993E-2</v>
      </c>
      <c r="G192" s="395">
        <f t="shared" si="23"/>
        <v>0.50419999999999998</v>
      </c>
      <c r="H192" s="364">
        <f t="shared" si="21"/>
        <v>0</v>
      </c>
      <c r="N192" s="395"/>
    </row>
    <row r="193" spans="1:14">
      <c r="A193" s="112">
        <f t="shared" si="17"/>
        <v>179</v>
      </c>
      <c r="B193" s="431">
        <v>39103</v>
      </c>
      <c r="C193" s="80" t="s">
        <v>1275</v>
      </c>
      <c r="D193" s="364">
        <f>[4]Reserve!BM14</f>
        <v>0</v>
      </c>
      <c r="E193" s="394">
        <v>1</v>
      </c>
      <c r="F193" s="395">
        <f t="shared" si="22"/>
        <v>9.8599999999999993E-2</v>
      </c>
      <c r="G193" s="395">
        <f t="shared" si="23"/>
        <v>0.50419999999999998</v>
      </c>
      <c r="H193" s="364">
        <f t="shared" si="21"/>
        <v>0</v>
      </c>
      <c r="N193" s="395"/>
    </row>
    <row r="194" spans="1:14">
      <c r="A194" s="112">
        <f t="shared" si="17"/>
        <v>180</v>
      </c>
      <c r="B194" s="431">
        <v>39104</v>
      </c>
      <c r="C194" s="80" t="s">
        <v>1491</v>
      </c>
      <c r="D194" s="364">
        <f>[4]Reserve!BM15</f>
        <v>2813.0442120000007</v>
      </c>
      <c r="E194" s="394">
        <v>1</v>
      </c>
      <c r="F194" s="395">
        <v>1</v>
      </c>
      <c r="G194" s="395">
        <f>Allocation!$I$20</f>
        <v>1.559576E-2</v>
      </c>
      <c r="H194" s="364">
        <f t="shared" si="21"/>
        <v>43.87156239974113</v>
      </c>
      <c r="N194" s="395"/>
    </row>
    <row r="195" spans="1:14">
      <c r="A195" s="112">
        <f t="shared" si="17"/>
        <v>181</v>
      </c>
      <c r="B195" s="431">
        <v>39120</v>
      </c>
      <c r="C195" s="80" t="s">
        <v>1442</v>
      </c>
      <c r="D195" s="364">
        <f>[4]Reserve!BM16</f>
        <v>10428.180444000001</v>
      </c>
      <c r="E195" s="394">
        <v>1</v>
      </c>
      <c r="F195" s="395">
        <v>1</v>
      </c>
      <c r="G195" s="395">
        <f>Allocation!$E$22</f>
        <v>6.106367E-2</v>
      </c>
      <c r="H195" s="364">
        <f t="shared" si="21"/>
        <v>636.78296933286958</v>
      </c>
      <c r="N195" s="395"/>
    </row>
    <row r="196" spans="1:14">
      <c r="A196" s="112">
        <f t="shared" si="17"/>
        <v>182</v>
      </c>
      <c r="B196" s="431">
        <v>39200</v>
      </c>
      <c r="C196" s="80" t="s">
        <v>1470</v>
      </c>
      <c r="D196" s="364">
        <f>[4]Reserve!BM17</f>
        <v>27205.569677697207</v>
      </c>
      <c r="E196" s="394">
        <v>1</v>
      </c>
      <c r="F196" s="395">
        <f t="shared" si="22"/>
        <v>9.8599999999999993E-2</v>
      </c>
      <c r="G196" s="395">
        <f t="shared" si="23"/>
        <v>0.50419999999999998</v>
      </c>
      <c r="H196" s="364">
        <f t="shared" si="21"/>
        <v>1352.5009556254001</v>
      </c>
      <c r="N196" s="395"/>
    </row>
    <row r="197" spans="1:14">
      <c r="A197" s="112">
        <f t="shared" si="17"/>
        <v>183</v>
      </c>
      <c r="B197" s="431">
        <v>39300</v>
      </c>
      <c r="C197" s="80" t="s">
        <v>1492</v>
      </c>
      <c r="D197" s="364">
        <f>[4]Reserve!BM18</f>
        <v>0</v>
      </c>
      <c r="E197" s="394">
        <v>1</v>
      </c>
      <c r="F197" s="395">
        <f t="shared" si="22"/>
        <v>9.8599999999999993E-2</v>
      </c>
      <c r="G197" s="395">
        <f t="shared" si="23"/>
        <v>0.50419999999999998</v>
      </c>
      <c r="H197" s="364">
        <f t="shared" si="21"/>
        <v>0</v>
      </c>
      <c r="N197" s="395"/>
    </row>
    <row r="198" spans="1:14">
      <c r="A198" s="112">
        <f t="shared" si="17"/>
        <v>184</v>
      </c>
      <c r="B198" s="431">
        <v>39400</v>
      </c>
      <c r="C198" s="80" t="s">
        <v>1472</v>
      </c>
      <c r="D198" s="364">
        <f>[4]Reserve!BM19</f>
        <v>6367.1711579999983</v>
      </c>
      <c r="E198" s="394">
        <v>1</v>
      </c>
      <c r="F198" s="395">
        <f t="shared" si="22"/>
        <v>9.8599999999999993E-2</v>
      </c>
      <c r="G198" s="395">
        <f t="shared" si="23"/>
        <v>0.50419999999999998</v>
      </c>
      <c r="H198" s="364">
        <f t="shared" si="21"/>
        <v>316.53831100935082</v>
      </c>
      <c r="N198" s="395"/>
    </row>
    <row r="199" spans="1:14">
      <c r="A199" s="112">
        <f t="shared" si="17"/>
        <v>185</v>
      </c>
      <c r="B199" s="431">
        <v>39420</v>
      </c>
      <c r="C199" s="80" t="s">
        <v>1443</v>
      </c>
      <c r="D199" s="364">
        <f>[4]Reserve!BM20</f>
        <v>0</v>
      </c>
      <c r="E199" s="394">
        <v>1</v>
      </c>
      <c r="F199" s="395">
        <v>1</v>
      </c>
      <c r="G199" s="395">
        <f>Allocation!$E$22</f>
        <v>6.106367E-2</v>
      </c>
      <c r="H199" s="364">
        <f t="shared" si="21"/>
        <v>0</v>
      </c>
      <c r="N199" s="395"/>
    </row>
    <row r="200" spans="1:14">
      <c r="A200" s="112">
        <f t="shared" si="17"/>
        <v>186</v>
      </c>
      <c r="B200" s="431">
        <v>39500</v>
      </c>
      <c r="C200" s="80" t="s">
        <v>1493</v>
      </c>
      <c r="D200" s="364">
        <f>[4]Reserve!BM21</f>
        <v>0</v>
      </c>
      <c r="E200" s="394">
        <v>1</v>
      </c>
      <c r="F200" s="395">
        <f t="shared" si="22"/>
        <v>9.8599999999999993E-2</v>
      </c>
      <c r="G200" s="395">
        <f t="shared" si="23"/>
        <v>0.50419999999999998</v>
      </c>
      <c r="H200" s="364">
        <f t="shared" si="21"/>
        <v>0</v>
      </c>
      <c r="N200" s="395"/>
    </row>
    <row r="201" spans="1:14">
      <c r="A201" s="112">
        <f t="shared" si="17"/>
        <v>187</v>
      </c>
      <c r="B201" s="431">
        <v>39700</v>
      </c>
      <c r="C201" s="80" t="s">
        <v>1476</v>
      </c>
      <c r="D201" s="364">
        <f>[4]Reserve!BM22</f>
        <v>26913.009082218825</v>
      </c>
      <c r="E201" s="394">
        <v>1</v>
      </c>
      <c r="F201" s="395">
        <f t="shared" si="22"/>
        <v>9.8599999999999993E-2</v>
      </c>
      <c r="G201" s="395">
        <f t="shared" si="23"/>
        <v>0.50419999999999998</v>
      </c>
      <c r="H201" s="364">
        <f t="shared" si="21"/>
        <v>1337.9565630745165</v>
      </c>
      <c r="N201" s="395"/>
    </row>
    <row r="202" spans="1:14">
      <c r="A202" s="112">
        <f t="shared" si="17"/>
        <v>188</v>
      </c>
      <c r="B202" s="431">
        <v>39720</v>
      </c>
      <c r="C202" s="80" t="s">
        <v>1444</v>
      </c>
      <c r="D202" s="364">
        <f>[4]Reserve!BM23</f>
        <v>592.99564799999985</v>
      </c>
      <c r="E202" s="394">
        <v>1</v>
      </c>
      <c r="F202" s="395">
        <v>1</v>
      </c>
      <c r="G202" s="395">
        <f>Allocation!$E$22</f>
        <v>6.106367E-2</v>
      </c>
      <c r="H202" s="364">
        <f t="shared" si="21"/>
        <v>36.210490560908148</v>
      </c>
      <c r="N202" s="395"/>
    </row>
    <row r="203" spans="1:14">
      <c r="A203" s="112">
        <f t="shared" si="17"/>
        <v>189</v>
      </c>
      <c r="B203" s="431">
        <v>39800</v>
      </c>
      <c r="C203" s="80" t="s">
        <v>1478</v>
      </c>
      <c r="D203" s="364">
        <f>[4]Reserve!BM24</f>
        <v>9883.289248000001</v>
      </c>
      <c r="E203" s="394">
        <v>1</v>
      </c>
      <c r="F203" s="395">
        <f t="shared" ref="F203:F218" si="24">$F$186</f>
        <v>9.8599999999999993E-2</v>
      </c>
      <c r="G203" s="395">
        <f t="shared" ref="G203:G218" si="25">$G$186</f>
        <v>0.50419999999999998</v>
      </c>
      <c r="H203" s="364">
        <f t="shared" si="21"/>
        <v>491.33902766978179</v>
      </c>
      <c r="N203" s="395"/>
    </row>
    <row r="204" spans="1:14">
      <c r="A204" s="112">
        <f t="shared" si="17"/>
        <v>190</v>
      </c>
      <c r="B204" s="431">
        <v>39820</v>
      </c>
      <c r="C204" s="80" t="s">
        <v>1445</v>
      </c>
      <c r="D204" s="364">
        <f>[4]Reserve!BM25</f>
        <v>534.91943600000002</v>
      </c>
      <c r="E204" s="394">
        <v>1</v>
      </c>
      <c r="F204" s="395">
        <v>1</v>
      </c>
      <c r="G204" s="395">
        <f>Allocation!$E$22</f>
        <v>6.106367E-2</v>
      </c>
      <c r="H204" s="364">
        <f t="shared" si="21"/>
        <v>32.664143916490119</v>
      </c>
      <c r="N204" s="395"/>
    </row>
    <row r="205" spans="1:14">
      <c r="A205" s="112">
        <f t="shared" si="17"/>
        <v>191</v>
      </c>
      <c r="B205" s="431">
        <v>39900</v>
      </c>
      <c r="C205" s="80" t="s">
        <v>1494</v>
      </c>
      <c r="D205" s="364">
        <f>[4]Reserve!BM26</f>
        <v>0</v>
      </c>
      <c r="E205" s="394">
        <v>1</v>
      </c>
      <c r="F205" s="395">
        <f t="shared" si="24"/>
        <v>9.8599999999999993E-2</v>
      </c>
      <c r="G205" s="395">
        <f t="shared" si="25"/>
        <v>0.50419999999999998</v>
      </c>
      <c r="H205" s="364">
        <f t="shared" si="21"/>
        <v>0</v>
      </c>
      <c r="N205" s="395"/>
    </row>
    <row r="206" spans="1:14">
      <c r="A206" s="112">
        <f t="shared" si="17"/>
        <v>192</v>
      </c>
      <c r="B206" s="431">
        <v>39901</v>
      </c>
      <c r="C206" s="72" t="s">
        <v>1487</v>
      </c>
      <c r="D206" s="364">
        <f>[4]Reserve!BM27</f>
        <v>6131586.5890181847</v>
      </c>
      <c r="E206" s="394">
        <v>1</v>
      </c>
      <c r="F206" s="395">
        <f t="shared" si="24"/>
        <v>9.8599999999999993E-2</v>
      </c>
      <c r="G206" s="395">
        <f t="shared" si="25"/>
        <v>0.50419999999999998</v>
      </c>
      <c r="H206" s="364">
        <f t="shared" si="21"/>
        <v>304826.43147684069</v>
      </c>
      <c r="N206" s="395"/>
    </row>
    <row r="207" spans="1:14">
      <c r="A207" s="112">
        <f t="shared" si="17"/>
        <v>193</v>
      </c>
      <c r="B207" s="431">
        <v>39902</v>
      </c>
      <c r="C207" s="80" t="s">
        <v>1488</v>
      </c>
      <c r="D207" s="364">
        <f>[4]Reserve!BM28</f>
        <v>436691.79492856248</v>
      </c>
      <c r="E207" s="394">
        <v>1</v>
      </c>
      <c r="F207" s="395">
        <f t="shared" si="24"/>
        <v>9.8599999999999993E-2</v>
      </c>
      <c r="G207" s="395">
        <f t="shared" si="25"/>
        <v>0.50419999999999998</v>
      </c>
      <c r="H207" s="364">
        <f t="shared" si="21"/>
        <v>21709.748296093945</v>
      </c>
      <c r="N207" s="395"/>
    </row>
    <row r="208" spans="1:14">
      <c r="A208" s="112">
        <f t="shared" si="17"/>
        <v>194</v>
      </c>
      <c r="B208" s="431">
        <v>39903</v>
      </c>
      <c r="C208" s="80" t="s">
        <v>1479</v>
      </c>
      <c r="D208" s="364">
        <f>[4]Reserve!BM29</f>
        <v>400279.4744316396</v>
      </c>
      <c r="E208" s="394">
        <v>1</v>
      </c>
      <c r="F208" s="395">
        <f t="shared" si="24"/>
        <v>9.8599999999999993E-2</v>
      </c>
      <c r="G208" s="395">
        <f t="shared" si="25"/>
        <v>0.50419999999999998</v>
      </c>
      <c r="H208" s="364">
        <f t="shared" si="21"/>
        <v>19899.541825431461</v>
      </c>
      <c r="N208" s="395"/>
    </row>
    <row r="209" spans="1:14">
      <c r="A209" s="112">
        <f t="shared" si="17"/>
        <v>195</v>
      </c>
      <c r="B209" s="431">
        <v>39904</v>
      </c>
      <c r="C209" s="80" t="s">
        <v>1495</v>
      </c>
      <c r="D209" s="364">
        <f>[4]Reserve!BM30</f>
        <v>0</v>
      </c>
      <c r="E209" s="394">
        <v>1</v>
      </c>
      <c r="F209" s="395">
        <f t="shared" si="24"/>
        <v>9.8599999999999993E-2</v>
      </c>
      <c r="G209" s="395">
        <f t="shared" si="25"/>
        <v>0.50419999999999998</v>
      </c>
      <c r="H209" s="364">
        <f t="shared" si="21"/>
        <v>0</v>
      </c>
      <c r="N209" s="395"/>
    </row>
    <row r="210" spans="1:14">
      <c r="A210" s="112">
        <f t="shared" si="17"/>
        <v>196</v>
      </c>
      <c r="B210" s="431">
        <v>39905</v>
      </c>
      <c r="C210" s="80" t="s">
        <v>1496</v>
      </c>
      <c r="D210" s="364">
        <f>[4]Reserve!BM31</f>
        <v>0</v>
      </c>
      <c r="E210" s="394">
        <v>1</v>
      </c>
      <c r="F210" s="395">
        <f t="shared" si="24"/>
        <v>9.8599999999999993E-2</v>
      </c>
      <c r="G210" s="395">
        <f t="shared" si="25"/>
        <v>0.50419999999999998</v>
      </c>
      <c r="H210" s="364">
        <f t="shared" si="21"/>
        <v>0</v>
      </c>
      <c r="N210" s="395"/>
    </row>
    <row r="211" spans="1:14">
      <c r="A211" s="112">
        <f t="shared" si="17"/>
        <v>197</v>
      </c>
      <c r="B211" s="570">
        <v>39906</v>
      </c>
      <c r="C211" s="80" t="s">
        <v>1480</v>
      </c>
      <c r="D211" s="364">
        <f>[4]Reserve!BM32</f>
        <v>932635.999946189</v>
      </c>
      <c r="E211" s="394">
        <v>1</v>
      </c>
      <c r="F211" s="395">
        <f t="shared" si="24"/>
        <v>9.8599999999999993E-2</v>
      </c>
      <c r="G211" s="395">
        <f t="shared" si="25"/>
        <v>0.50419999999999998</v>
      </c>
      <c r="H211" s="364">
        <f t="shared" si="21"/>
        <v>46365.17801764483</v>
      </c>
      <c r="N211" s="395"/>
    </row>
    <row r="212" spans="1:14">
      <c r="A212" s="112">
        <f t="shared" ref="A212:A264" si="26">A211+1</f>
        <v>198</v>
      </c>
      <c r="B212" s="570">
        <v>39907</v>
      </c>
      <c r="C212" s="80" t="s">
        <v>1481</v>
      </c>
      <c r="D212" s="364">
        <f>[4]Reserve!BM33</f>
        <v>127086.64835000002</v>
      </c>
      <c r="E212" s="394">
        <v>1</v>
      </c>
      <c r="F212" s="395">
        <f t="shared" si="24"/>
        <v>9.8599999999999993E-2</v>
      </c>
      <c r="G212" s="395">
        <f t="shared" si="25"/>
        <v>0.50419999999999998</v>
      </c>
      <c r="H212" s="364">
        <f t="shared" si="21"/>
        <v>6318.000886469702</v>
      </c>
      <c r="N212" s="395"/>
    </row>
    <row r="213" spans="1:14">
      <c r="A213" s="112">
        <f t="shared" si="26"/>
        <v>199</v>
      </c>
      <c r="B213" s="570">
        <v>39908</v>
      </c>
      <c r="C213" s="80" t="s">
        <v>1482</v>
      </c>
      <c r="D213" s="364">
        <f>[4]Reserve!BM34</f>
        <v>7724177.4883233756</v>
      </c>
      <c r="E213" s="394">
        <v>1</v>
      </c>
      <c r="F213" s="395">
        <f t="shared" si="24"/>
        <v>9.8599999999999993E-2</v>
      </c>
      <c r="G213" s="395">
        <f t="shared" si="25"/>
        <v>0.50419999999999998</v>
      </c>
      <c r="H213" s="364">
        <f t="shared" si="21"/>
        <v>384000.68655580684</v>
      </c>
      <c r="N213" s="395"/>
    </row>
    <row r="214" spans="1:14">
      <c r="A214" s="112">
        <f t="shared" si="26"/>
        <v>200</v>
      </c>
      <c r="B214" s="570">
        <v>39909</v>
      </c>
      <c r="C214" s="80" t="s">
        <v>1497</v>
      </c>
      <c r="D214" s="364">
        <f>[4]Reserve!BM35</f>
        <v>0</v>
      </c>
      <c r="E214" s="394">
        <v>1</v>
      </c>
      <c r="F214" s="395">
        <f t="shared" si="24"/>
        <v>9.8599999999999993E-2</v>
      </c>
      <c r="G214" s="395">
        <f t="shared" si="25"/>
        <v>0.50419999999999998</v>
      </c>
      <c r="H214" s="364">
        <f t="shared" si="21"/>
        <v>0</v>
      </c>
      <c r="N214" s="395"/>
    </row>
    <row r="215" spans="1:14">
      <c r="A215" s="112">
        <f t="shared" si="26"/>
        <v>201</v>
      </c>
      <c r="B215" s="570">
        <v>39921</v>
      </c>
      <c r="C215" s="80" t="s">
        <v>1446</v>
      </c>
      <c r="D215" s="364">
        <f>[4]Reserve!BM36</f>
        <v>280069.06207243551</v>
      </c>
      <c r="E215" s="394">
        <v>1</v>
      </c>
      <c r="F215" s="395">
        <v>1</v>
      </c>
      <c r="G215" s="395">
        <f>Allocation!$E$22</f>
        <v>6.106367E-2</v>
      </c>
      <c r="H215" s="364">
        <f t="shared" si="21"/>
        <v>17102.044783600719</v>
      </c>
      <c r="N215" s="395"/>
    </row>
    <row r="216" spans="1:14">
      <c r="A216" s="112">
        <f t="shared" si="26"/>
        <v>202</v>
      </c>
      <c r="B216" s="570">
        <v>39922</v>
      </c>
      <c r="C216" s="80" t="s">
        <v>1447</v>
      </c>
      <c r="D216" s="364">
        <f>[4]Reserve!BM37</f>
        <v>1074976.8234302471</v>
      </c>
      <c r="E216" s="394">
        <v>1</v>
      </c>
      <c r="F216" s="395">
        <v>1</v>
      </c>
      <c r="G216" s="395">
        <f>Allocation!$E$22</f>
        <v>6.106367E-2</v>
      </c>
      <c r="H216" s="364">
        <f t="shared" si="21"/>
        <v>65642.030003592881</v>
      </c>
      <c r="N216" s="395"/>
    </row>
    <row r="217" spans="1:14">
      <c r="A217" s="112">
        <f t="shared" si="26"/>
        <v>203</v>
      </c>
      <c r="B217" s="570">
        <v>39923</v>
      </c>
      <c r="C217" s="80" t="s">
        <v>1448</v>
      </c>
      <c r="D217" s="364">
        <f>[4]Reserve!BM38</f>
        <v>69147.634155725667</v>
      </c>
      <c r="E217" s="394">
        <v>1</v>
      </c>
      <c r="F217" s="395">
        <v>1</v>
      </c>
      <c r="G217" s="395">
        <f>Allocation!$E$22</f>
        <v>6.106367E-2</v>
      </c>
      <c r="H217" s="364">
        <f t="shared" si="21"/>
        <v>4222.4083133659606</v>
      </c>
      <c r="N217" s="395"/>
    </row>
    <row r="218" spans="1:14">
      <c r="A218" s="112">
        <f t="shared" si="26"/>
        <v>204</v>
      </c>
      <c r="B218" s="570">
        <v>39924</v>
      </c>
      <c r="C218" s="80" t="s">
        <v>1340</v>
      </c>
      <c r="D218" s="364">
        <f>[4]Reserve!BM39</f>
        <v>0</v>
      </c>
      <c r="E218" s="394">
        <v>1</v>
      </c>
      <c r="F218" s="395">
        <f t="shared" si="24"/>
        <v>9.8599999999999993E-2</v>
      </c>
      <c r="G218" s="395">
        <f t="shared" si="25"/>
        <v>0.50419999999999998</v>
      </c>
      <c r="H218" s="364">
        <f t="shared" si="21"/>
        <v>0</v>
      </c>
      <c r="N218" s="395"/>
    </row>
    <row r="219" spans="1:14">
      <c r="A219" s="112">
        <f t="shared" si="26"/>
        <v>205</v>
      </c>
      <c r="B219" s="570">
        <v>39926</v>
      </c>
      <c r="C219" s="80" t="s">
        <v>1457</v>
      </c>
      <c r="D219" s="364">
        <f>[4]Reserve!BM40</f>
        <v>59723.553791999999</v>
      </c>
      <c r="E219" s="394">
        <v>1</v>
      </c>
      <c r="F219" s="395">
        <v>1</v>
      </c>
      <c r="G219" s="395">
        <f>Allocation!$E$22</f>
        <v>6.106367E-2</v>
      </c>
      <c r="H219" s="364">
        <f t="shared" si="21"/>
        <v>3646.9393799819368</v>
      </c>
      <c r="N219" s="395"/>
    </row>
    <row r="220" spans="1:14">
      <c r="A220" s="112">
        <f t="shared" si="26"/>
        <v>206</v>
      </c>
      <c r="B220" s="570">
        <v>39928</v>
      </c>
      <c r="C220" s="80" t="s">
        <v>1458</v>
      </c>
      <c r="D220" s="364">
        <f>[4]Reserve!BM41</f>
        <v>2390198.1059635221</v>
      </c>
      <c r="E220" s="394">
        <v>1</v>
      </c>
      <c r="F220" s="395">
        <v>1</v>
      </c>
      <c r="G220" s="395">
        <f>Allocation!$E$22</f>
        <v>6.106367E-2</v>
      </c>
      <c r="H220" s="364">
        <f t="shared" si="21"/>
        <v>145954.26837718155</v>
      </c>
      <c r="N220" s="395"/>
    </row>
    <row r="221" spans="1:14">
      <c r="A221" s="112">
        <f t="shared" si="26"/>
        <v>207</v>
      </c>
      <c r="B221" s="570">
        <v>39931</v>
      </c>
      <c r="C221" s="80" t="s">
        <v>1459</v>
      </c>
      <c r="D221" s="364">
        <f>[4]Reserve!BM42</f>
        <v>39536.459130000003</v>
      </c>
      <c r="E221" s="394">
        <v>1</v>
      </c>
      <c r="F221" s="395">
        <v>1</v>
      </c>
      <c r="G221" s="395">
        <f>Allocation!$E$23</f>
        <v>4.6370689999999999E-2</v>
      </c>
      <c r="H221" s="364">
        <f t="shared" si="21"/>
        <v>1833.3328900148997</v>
      </c>
      <c r="N221" s="395"/>
    </row>
    <row r="222" spans="1:14">
      <c r="A222" s="112">
        <f t="shared" si="26"/>
        <v>208</v>
      </c>
      <c r="B222" s="570">
        <v>39932</v>
      </c>
      <c r="C222" s="80" t="s">
        <v>1460</v>
      </c>
      <c r="D222" s="364">
        <f>[4]Reserve!BM43</f>
        <v>83330.335643000013</v>
      </c>
      <c r="E222" s="394">
        <v>1</v>
      </c>
      <c r="F222" s="395">
        <v>1</v>
      </c>
      <c r="G222" s="395">
        <f>Allocation!$E$23</f>
        <v>4.6370689999999999E-2</v>
      </c>
      <c r="H222" s="364">
        <f t="shared" ref="H222:H223" si="27">D222*E222*F222*G222</f>
        <v>3864.0851616975042</v>
      </c>
      <c r="N222" s="395"/>
    </row>
    <row r="223" spans="1:14">
      <c r="A223" s="112">
        <f t="shared" si="26"/>
        <v>209</v>
      </c>
      <c r="B223" s="570">
        <v>39938</v>
      </c>
      <c r="C223" s="80" t="s">
        <v>1461</v>
      </c>
      <c r="D223" s="364">
        <f>[4]Reserve!BM44</f>
        <v>1625485.2334451259</v>
      </c>
      <c r="E223" s="394">
        <v>1</v>
      </c>
      <c r="F223" s="395">
        <v>1</v>
      </c>
      <c r="G223" s="395">
        <f>Allocation!$E$23</f>
        <v>4.6370689999999999E-2</v>
      </c>
      <c r="H223" s="364">
        <f t="shared" si="27"/>
        <v>75374.871859661565</v>
      </c>
      <c r="N223" s="395"/>
    </row>
    <row r="224" spans="1:14">
      <c r="A224" s="112">
        <f t="shared" si="26"/>
        <v>210</v>
      </c>
      <c r="B224" s="634"/>
      <c r="C224" s="671"/>
      <c r="D224" s="746"/>
      <c r="E224" s="328"/>
      <c r="F224" s="357"/>
      <c r="G224" s="357"/>
      <c r="H224" s="842"/>
    </row>
    <row r="225" spans="1:14">
      <c r="A225" s="112">
        <f t="shared" si="26"/>
        <v>211</v>
      </c>
      <c r="B225" s="334"/>
      <c r="C225" s="80"/>
      <c r="E225" s="825"/>
    </row>
    <row r="226" spans="1:14" ht="15.75" thickBot="1">
      <c r="A226" s="112">
        <f t="shared" si="26"/>
        <v>212</v>
      </c>
      <c r="B226" s="334"/>
      <c r="C226" s="80" t="s">
        <v>1284</v>
      </c>
      <c r="D226" s="1059">
        <f>SUM(D186:D224)</f>
        <v>22531530.697609995</v>
      </c>
      <c r="E226" s="860"/>
      <c r="H226" s="1059">
        <f>SUM(H186:H224)</f>
        <v>1148871.9823758074</v>
      </c>
      <c r="M226" s="544"/>
      <c r="N226" s="544"/>
    </row>
    <row r="227" spans="1:14" ht="15.75" thickTop="1">
      <c r="A227" s="112">
        <f t="shared" si="26"/>
        <v>213</v>
      </c>
      <c r="B227" s="838"/>
      <c r="D227" s="364"/>
      <c r="E227" s="825"/>
    </row>
    <row r="228" spans="1:14" ht="15.75">
      <c r="A228" s="112">
        <f t="shared" si="26"/>
        <v>214</v>
      </c>
      <c r="B228" s="843" t="s">
        <v>9</v>
      </c>
      <c r="D228" s="364"/>
    </row>
    <row r="229" spans="1:14">
      <c r="A229" s="112">
        <f t="shared" si="26"/>
        <v>215</v>
      </c>
      <c r="B229" s="838"/>
      <c r="D229" s="364"/>
      <c r="K229" s="544"/>
    </row>
    <row r="230" spans="1:14">
      <c r="A230" s="112">
        <f t="shared" si="26"/>
        <v>216</v>
      </c>
      <c r="B230" s="334"/>
      <c r="C230" s="500" t="s">
        <v>299</v>
      </c>
      <c r="D230" s="364"/>
    </row>
    <row r="231" spans="1:14">
      <c r="A231" s="112">
        <f t="shared" si="26"/>
        <v>217</v>
      </c>
      <c r="B231" s="431">
        <v>38900</v>
      </c>
      <c r="C231" s="80" t="s">
        <v>1498</v>
      </c>
      <c r="D231" s="304">
        <f>[4]Reserve!BM50</f>
        <v>0</v>
      </c>
      <c r="E231" s="394">
        <v>1</v>
      </c>
      <c r="F231" s="395">
        <f>Allocation!$C$15</f>
        <v>0.11020000000000001</v>
      </c>
      <c r="G231" s="395">
        <f>Allocation!$D$15</f>
        <v>0.50429999999999997</v>
      </c>
      <c r="H231" s="304">
        <f>D231*E231*F231*G231</f>
        <v>0</v>
      </c>
      <c r="J231" s="358"/>
      <c r="N231" s="395"/>
    </row>
    <row r="232" spans="1:14">
      <c r="A232" s="112">
        <f t="shared" si="26"/>
        <v>218</v>
      </c>
      <c r="B232" s="431">
        <v>38910</v>
      </c>
      <c r="C232" s="80" t="s">
        <v>1499</v>
      </c>
      <c r="D232" s="364">
        <f>[4]Reserve!BM51</f>
        <v>0</v>
      </c>
      <c r="E232" s="504">
        <v>1</v>
      </c>
      <c r="F232" s="395">
        <v>1</v>
      </c>
      <c r="G232" s="395">
        <f>Allocation!$E$21</f>
        <v>2.4788790000000002E-2</v>
      </c>
      <c r="H232" s="364">
        <f t="shared" ref="H232:H259" si="28">D232*E232*F232*G232</f>
        <v>0</v>
      </c>
      <c r="N232" s="395"/>
    </row>
    <row r="233" spans="1:14">
      <c r="A233" s="112">
        <f t="shared" si="26"/>
        <v>219</v>
      </c>
      <c r="B233" s="431">
        <v>39000</v>
      </c>
      <c r="C233" s="80" t="s">
        <v>1464</v>
      </c>
      <c r="D233" s="364">
        <f>[4]Reserve!BM52</f>
        <v>316360.80588221969</v>
      </c>
      <c r="E233" s="504">
        <v>1</v>
      </c>
      <c r="F233" s="395">
        <f>Allocation!$C$15</f>
        <v>0.11020000000000001</v>
      </c>
      <c r="G233" s="395">
        <f>Allocation!$D$15</f>
        <v>0.50429999999999997</v>
      </c>
      <c r="H233" s="364">
        <f t="shared" si="28"/>
        <v>17581.391135585654</v>
      </c>
      <c r="N233" s="395"/>
    </row>
    <row r="234" spans="1:14">
      <c r="A234" s="112">
        <f t="shared" si="26"/>
        <v>220</v>
      </c>
      <c r="B234" s="431">
        <v>39009</v>
      </c>
      <c r="C234" s="80" t="s">
        <v>1468</v>
      </c>
      <c r="D234" s="364">
        <f>[4]Reserve!BM53</f>
        <v>144697.47511499998</v>
      </c>
      <c r="E234" s="504">
        <v>1</v>
      </c>
      <c r="F234" s="395">
        <f>Allocation!$C$15</f>
        <v>0.11020000000000001</v>
      </c>
      <c r="G234" s="395">
        <f>Allocation!$D$15</f>
        <v>0.50429999999999997</v>
      </c>
      <c r="H234" s="364">
        <f t="shared" si="28"/>
        <v>8041.3972243944927</v>
      </c>
      <c r="N234" s="395"/>
    </row>
    <row r="235" spans="1:14">
      <c r="A235" s="112">
        <f t="shared" si="26"/>
        <v>221</v>
      </c>
      <c r="B235" s="431">
        <v>39010</v>
      </c>
      <c r="C235" s="80" t="s">
        <v>1500</v>
      </c>
      <c r="D235" s="364">
        <f>[4]Reserve!BM54</f>
        <v>298990.33243800001</v>
      </c>
      <c r="E235" s="504">
        <v>1</v>
      </c>
      <c r="F235" s="395">
        <v>1</v>
      </c>
      <c r="G235" s="395">
        <f>Allocation!$E$21</f>
        <v>2.4788790000000002E-2</v>
      </c>
      <c r="H235" s="364">
        <f t="shared" si="28"/>
        <v>7411.6085628357705</v>
      </c>
      <c r="N235" s="395"/>
    </row>
    <row r="236" spans="1:14">
      <c r="A236" s="112">
        <f t="shared" si="26"/>
        <v>222</v>
      </c>
      <c r="B236" s="431">
        <v>39100</v>
      </c>
      <c r="C236" s="80" t="s">
        <v>1469</v>
      </c>
      <c r="D236" s="364">
        <f>[4]Reserve!BM55</f>
        <v>174302.69735999999</v>
      </c>
      <c r="E236" s="504">
        <v>1</v>
      </c>
      <c r="F236" s="395">
        <f>Allocation!$C$15</f>
        <v>0.11020000000000001</v>
      </c>
      <c r="G236" s="395">
        <f>Allocation!$D$15</f>
        <v>0.50429999999999997</v>
      </c>
      <c r="H236" s="364">
        <f t="shared" si="28"/>
        <v>9686.6737007070078</v>
      </c>
      <c r="N236" s="395"/>
    </row>
    <row r="237" spans="1:14">
      <c r="A237" s="112">
        <f t="shared" si="26"/>
        <v>223</v>
      </c>
      <c r="B237" s="431">
        <v>39101</v>
      </c>
      <c r="C237" s="80" t="s">
        <v>1439</v>
      </c>
      <c r="D237" s="364">
        <f>[4]Reserve!BM56</f>
        <v>0</v>
      </c>
      <c r="E237" s="504">
        <v>1</v>
      </c>
      <c r="F237" s="395">
        <f>Allocation!$C$15</f>
        <v>0.11020000000000001</v>
      </c>
      <c r="G237" s="395">
        <f>Allocation!$D$15</f>
        <v>0.50429999999999997</v>
      </c>
      <c r="H237" s="364">
        <f t="shared" si="28"/>
        <v>0</v>
      </c>
      <c r="N237" s="395"/>
    </row>
    <row r="238" spans="1:14">
      <c r="A238" s="112">
        <f t="shared" si="26"/>
        <v>224</v>
      </c>
      <c r="B238" s="431">
        <v>39102</v>
      </c>
      <c r="C238" s="80" t="s">
        <v>1449</v>
      </c>
      <c r="D238" s="364">
        <f>[4]Reserve!BM57</f>
        <v>0</v>
      </c>
      <c r="E238" s="504">
        <v>1</v>
      </c>
      <c r="F238" s="395">
        <f>Allocation!$C$15</f>
        <v>0.11020000000000001</v>
      </c>
      <c r="G238" s="395">
        <f>Allocation!$D$15</f>
        <v>0.50429999999999997</v>
      </c>
      <c r="H238" s="364">
        <f t="shared" si="28"/>
        <v>0</v>
      </c>
      <c r="N238" s="395"/>
    </row>
    <row r="239" spans="1:14">
      <c r="A239" s="112">
        <f t="shared" si="26"/>
        <v>225</v>
      </c>
      <c r="B239" s="431">
        <v>39103</v>
      </c>
      <c r="C239" s="80" t="s">
        <v>1275</v>
      </c>
      <c r="D239" s="364">
        <f>[4]Reserve!BM58</f>
        <v>0</v>
      </c>
      <c r="E239" s="504">
        <v>1</v>
      </c>
      <c r="F239" s="395">
        <f>Allocation!$C$15</f>
        <v>0.11020000000000001</v>
      </c>
      <c r="G239" s="395">
        <f>Allocation!$D$15</f>
        <v>0.50429999999999997</v>
      </c>
      <c r="H239" s="364">
        <f t="shared" si="28"/>
        <v>0</v>
      </c>
      <c r="N239" s="395"/>
    </row>
    <row r="240" spans="1:14">
      <c r="A240" s="112">
        <f t="shared" si="26"/>
        <v>226</v>
      </c>
      <c r="B240" s="431">
        <v>39110</v>
      </c>
      <c r="C240" s="80" t="s">
        <v>1450</v>
      </c>
      <c r="D240" s="364">
        <f>[4]Reserve!BM59</f>
        <v>35247.262380000015</v>
      </c>
      <c r="E240" s="504">
        <v>1</v>
      </c>
      <c r="F240" s="395">
        <v>1</v>
      </c>
      <c r="G240" s="395">
        <f>Allocation!$E$21</f>
        <v>2.4788790000000002E-2</v>
      </c>
      <c r="H240" s="364">
        <f t="shared" si="28"/>
        <v>873.73698521272058</v>
      </c>
      <c r="N240" s="395"/>
    </row>
    <row r="241" spans="1:14">
      <c r="A241" s="112">
        <f t="shared" si="26"/>
        <v>227</v>
      </c>
      <c r="B241" s="431">
        <v>39210</v>
      </c>
      <c r="C241" s="80" t="s">
        <v>1451</v>
      </c>
      <c r="D241" s="364">
        <f>[4]Reserve!BM60</f>
        <v>0</v>
      </c>
      <c r="E241" s="504">
        <v>1</v>
      </c>
      <c r="F241" s="395">
        <v>1</v>
      </c>
      <c r="G241" s="395">
        <f>Allocation!$E$21</f>
        <v>2.4788790000000002E-2</v>
      </c>
      <c r="H241" s="364">
        <f t="shared" si="28"/>
        <v>0</v>
      </c>
      <c r="N241" s="395"/>
    </row>
    <row r="242" spans="1:14">
      <c r="A242" s="112">
        <f t="shared" si="26"/>
        <v>228</v>
      </c>
      <c r="B242" s="431">
        <v>39410</v>
      </c>
      <c r="C242" s="80" t="s">
        <v>1452</v>
      </c>
      <c r="D242" s="364">
        <f>[4]Reserve!BM61</f>
        <v>77659.592207999987</v>
      </c>
      <c r="E242" s="504">
        <v>1</v>
      </c>
      <c r="F242" s="395">
        <v>1</v>
      </c>
      <c r="G242" s="395">
        <f>Allocation!$E$21</f>
        <v>2.4788790000000002E-2</v>
      </c>
      <c r="H242" s="364">
        <f t="shared" si="28"/>
        <v>1925.0873227297482</v>
      </c>
      <c r="N242" s="395"/>
    </row>
    <row r="243" spans="1:14">
      <c r="A243" s="112">
        <f t="shared" si="26"/>
        <v>229</v>
      </c>
      <c r="B243" s="431">
        <v>39510</v>
      </c>
      <c r="C243" s="80" t="s">
        <v>1453</v>
      </c>
      <c r="D243" s="364">
        <f>[4]Reserve!BM62</f>
        <v>191.02589916666668</v>
      </c>
      <c r="E243" s="504">
        <v>1</v>
      </c>
      <c r="F243" s="395">
        <v>1</v>
      </c>
      <c r="G243" s="395">
        <f>Allocation!$E$21</f>
        <v>2.4788790000000002E-2</v>
      </c>
      <c r="H243" s="364">
        <f t="shared" si="28"/>
        <v>4.7353008990036756</v>
      </c>
      <c r="N243" s="395"/>
    </row>
    <row r="244" spans="1:14">
      <c r="A244" s="112">
        <f t="shared" si="26"/>
        <v>230</v>
      </c>
      <c r="B244" s="431">
        <v>39700</v>
      </c>
      <c r="C244" s="80" t="s">
        <v>1476</v>
      </c>
      <c r="D244" s="364">
        <f>[4]Reserve!BM63</f>
        <v>128561.469792</v>
      </c>
      <c r="E244" s="504">
        <v>1</v>
      </c>
      <c r="F244" s="395">
        <f>Allocation!$C$15</f>
        <v>0.11020000000000001</v>
      </c>
      <c r="G244" s="395">
        <f>Allocation!$D$15</f>
        <v>0.50429999999999997</v>
      </c>
      <c r="H244" s="364">
        <f t="shared" si="28"/>
        <v>7144.6571236148375</v>
      </c>
      <c r="N244" s="395"/>
    </row>
    <row r="245" spans="1:14">
      <c r="A245" s="112">
        <f t="shared" si="26"/>
        <v>231</v>
      </c>
      <c r="B245" s="431">
        <v>39710</v>
      </c>
      <c r="C245" s="80" t="s">
        <v>1501</v>
      </c>
      <c r="D245" s="364">
        <f>[4]Reserve!BM64</f>
        <v>22035.248256000003</v>
      </c>
      <c r="E245" s="504">
        <v>1</v>
      </c>
      <c r="F245" s="395">
        <v>1</v>
      </c>
      <c r="G245" s="395">
        <f>Allocation!$E$21</f>
        <v>2.4788790000000002E-2</v>
      </c>
      <c r="H245" s="364">
        <f t="shared" si="28"/>
        <v>546.22714161585031</v>
      </c>
      <c r="N245" s="395"/>
    </row>
    <row r="246" spans="1:14">
      <c r="A246" s="112">
        <f t="shared" si="26"/>
        <v>232</v>
      </c>
      <c r="B246" s="431">
        <v>39800</v>
      </c>
      <c r="C246" s="80" t="s">
        <v>1478</v>
      </c>
      <c r="D246" s="364">
        <f>[4]Reserve!BM65</f>
        <v>5167.675252</v>
      </c>
      <c r="E246" s="504">
        <v>1</v>
      </c>
      <c r="F246" s="395">
        <f>Allocation!$C$15</f>
        <v>0.11020000000000001</v>
      </c>
      <c r="G246" s="395">
        <f>Allocation!$D$15</f>
        <v>0.50429999999999997</v>
      </c>
      <c r="H246" s="364">
        <f t="shared" si="28"/>
        <v>287.18766098011275</v>
      </c>
      <c r="N246" s="395"/>
    </row>
    <row r="247" spans="1:14">
      <c r="A247" s="112">
        <f t="shared" si="26"/>
        <v>233</v>
      </c>
      <c r="B247" s="570">
        <v>39810</v>
      </c>
      <c r="C247" s="80" t="s">
        <v>1454</v>
      </c>
      <c r="D247" s="364">
        <f>[4]Reserve!BM66</f>
        <v>39486.642888000002</v>
      </c>
      <c r="E247" s="504">
        <v>1</v>
      </c>
      <c r="F247" s="395">
        <v>1</v>
      </c>
      <c r="G247" s="395">
        <f>Allocation!$E$21</f>
        <v>2.4788790000000002E-2</v>
      </c>
      <c r="H247" s="364">
        <f t="shared" si="28"/>
        <v>978.82609835562562</v>
      </c>
      <c r="N247" s="395"/>
    </row>
    <row r="248" spans="1:14">
      <c r="A248" s="112">
        <f t="shared" si="26"/>
        <v>234</v>
      </c>
      <c r="B248" s="570">
        <v>39900</v>
      </c>
      <c r="C248" s="80" t="s">
        <v>1486</v>
      </c>
      <c r="D248" s="364">
        <f>[4]Reserve!BM67</f>
        <v>0</v>
      </c>
      <c r="E248" s="504">
        <v>1</v>
      </c>
      <c r="F248" s="395">
        <f>Allocation!$C$15</f>
        <v>0.11020000000000001</v>
      </c>
      <c r="G248" s="395">
        <f>Allocation!$D$15</f>
        <v>0.50429999999999997</v>
      </c>
      <c r="H248" s="364">
        <f t="shared" si="28"/>
        <v>0</v>
      </c>
      <c r="N248" s="395"/>
    </row>
    <row r="249" spans="1:14">
      <c r="A249" s="112">
        <f t="shared" si="26"/>
        <v>235</v>
      </c>
      <c r="B249" s="570">
        <v>39901</v>
      </c>
      <c r="C249" s="80" t="s">
        <v>1487</v>
      </c>
      <c r="D249" s="364">
        <f>[4]Reserve!BM68</f>
        <v>1353496.4528540529</v>
      </c>
      <c r="E249" s="504">
        <v>1</v>
      </c>
      <c r="F249" s="395">
        <f>Allocation!$C$15</f>
        <v>0.11020000000000001</v>
      </c>
      <c r="G249" s="395">
        <f>Allocation!$D$15</f>
        <v>0.50429999999999997</v>
      </c>
      <c r="H249" s="364">
        <f t="shared" si="28"/>
        <v>75219.022381407733</v>
      </c>
      <c r="N249" s="395"/>
    </row>
    <row r="250" spans="1:14">
      <c r="A250" s="112">
        <f t="shared" si="26"/>
        <v>236</v>
      </c>
      <c r="B250" s="570">
        <v>39902</v>
      </c>
      <c r="C250" s="80" t="s">
        <v>1488</v>
      </c>
      <c r="D250" s="364">
        <f>[4]Reserve!BM69</f>
        <v>234783.90007200002</v>
      </c>
      <c r="E250" s="504">
        <v>1</v>
      </c>
      <c r="F250" s="395">
        <f>Allocation!$C$15</f>
        <v>0.11020000000000001</v>
      </c>
      <c r="G250" s="395">
        <f>Allocation!$D$15</f>
        <v>0.50429999999999997</v>
      </c>
      <c r="H250" s="364">
        <f t="shared" si="28"/>
        <v>13047.847592855318</v>
      </c>
      <c r="N250" s="395"/>
    </row>
    <row r="251" spans="1:14">
      <c r="A251" s="112">
        <f t="shared" si="26"/>
        <v>237</v>
      </c>
      <c r="B251" s="570">
        <v>39903</v>
      </c>
      <c r="C251" s="80" t="s">
        <v>1479</v>
      </c>
      <c r="D251" s="364">
        <f>[4]Reserve!BM70</f>
        <v>34958.277485999999</v>
      </c>
      <c r="E251" s="504">
        <v>1</v>
      </c>
      <c r="F251" s="395">
        <f>Allocation!$C$15</f>
        <v>0.11020000000000001</v>
      </c>
      <c r="G251" s="395">
        <f>Allocation!$D$15</f>
        <v>0.50429999999999997</v>
      </c>
      <c r="H251" s="364">
        <f t="shared" si="28"/>
        <v>1942.766418848116</v>
      </c>
      <c r="N251" s="395"/>
    </row>
    <row r="252" spans="1:14">
      <c r="A252" s="112">
        <f t="shared" si="26"/>
        <v>238</v>
      </c>
      <c r="B252" s="570">
        <v>39906</v>
      </c>
      <c r="C252" s="80" t="s">
        <v>1480</v>
      </c>
      <c r="D252" s="364">
        <f>[4]Reserve!BM71</f>
        <v>245485.22462358244</v>
      </c>
      <c r="E252" s="504">
        <v>1</v>
      </c>
      <c r="F252" s="395">
        <f>Allocation!$C$15</f>
        <v>0.11020000000000001</v>
      </c>
      <c r="G252" s="395">
        <f>Allocation!$D$15</f>
        <v>0.50429999999999997</v>
      </c>
      <c r="H252" s="364">
        <f t="shared" si="28"/>
        <v>13642.561505299524</v>
      </c>
      <c r="N252" s="395"/>
    </row>
    <row r="253" spans="1:14">
      <c r="A253" s="112">
        <f t="shared" si="26"/>
        <v>239</v>
      </c>
      <c r="B253" s="570">
        <v>39907</v>
      </c>
      <c r="C253" s="80" t="s">
        <v>1481</v>
      </c>
      <c r="D253" s="364">
        <f>[4]Reserve!BM72</f>
        <v>0</v>
      </c>
      <c r="E253" s="504">
        <v>1</v>
      </c>
      <c r="F253" s="395">
        <f>Allocation!$C$15</f>
        <v>0.11020000000000001</v>
      </c>
      <c r="G253" s="395">
        <f>Allocation!$D$15</f>
        <v>0.50429999999999997</v>
      </c>
      <c r="H253" s="364">
        <f t="shared" si="28"/>
        <v>0</v>
      </c>
      <c r="N253" s="395"/>
    </row>
    <row r="254" spans="1:14">
      <c r="A254" s="112">
        <f t="shared" si="26"/>
        <v>240</v>
      </c>
      <c r="B254" s="570">
        <v>39908</v>
      </c>
      <c r="C254" s="80" t="s">
        <v>1482</v>
      </c>
      <c r="D254" s="364">
        <f>[4]Reserve!BM73</f>
        <v>7507597.3450051798</v>
      </c>
      <c r="E254" s="504">
        <v>1</v>
      </c>
      <c r="F254" s="395">
        <f>Allocation!$C$15</f>
        <v>0.11020000000000001</v>
      </c>
      <c r="G254" s="395">
        <f>Allocation!$D$15</f>
        <v>0.50429999999999997</v>
      </c>
      <c r="H254" s="364">
        <f t="shared" si="28"/>
        <v>417226.16378768958</v>
      </c>
      <c r="N254" s="395"/>
    </row>
    <row r="255" spans="1:14">
      <c r="A255" s="112">
        <f t="shared" si="26"/>
        <v>241</v>
      </c>
      <c r="B255" s="570">
        <v>39910</v>
      </c>
      <c r="C255" s="80" t="s">
        <v>1502</v>
      </c>
      <c r="D255" s="364">
        <f>[4]Reserve!BM74</f>
        <v>45046.151743999995</v>
      </c>
      <c r="E255" s="504">
        <v>1</v>
      </c>
      <c r="F255" s="395">
        <v>1</v>
      </c>
      <c r="G255" s="395">
        <f>Allocation!$E$21</f>
        <v>2.4788790000000002E-2</v>
      </c>
      <c r="H255" s="364">
        <f t="shared" si="28"/>
        <v>1116.6395958901496</v>
      </c>
      <c r="N255" s="395"/>
    </row>
    <row r="256" spans="1:14">
      <c r="A256" s="112">
        <f t="shared" si="26"/>
        <v>242</v>
      </c>
      <c r="B256" s="570">
        <v>39916</v>
      </c>
      <c r="C256" s="80" t="s">
        <v>1503</v>
      </c>
      <c r="D256" s="364">
        <f>[4]Reserve!BM75</f>
        <v>12966.324224000004</v>
      </c>
      <c r="E256" s="504">
        <v>1</v>
      </c>
      <c r="F256" s="395">
        <v>1</v>
      </c>
      <c r="G256" s="395">
        <f>Allocation!$E$21</f>
        <v>2.4788790000000002E-2</v>
      </c>
      <c r="H256" s="364">
        <f t="shared" si="28"/>
        <v>321.41948826064908</v>
      </c>
      <c r="N256" s="395"/>
    </row>
    <row r="257" spans="1:14">
      <c r="A257" s="112">
        <f t="shared" si="26"/>
        <v>243</v>
      </c>
      <c r="B257" s="570">
        <v>39917</v>
      </c>
      <c r="C257" s="80" t="s">
        <v>1504</v>
      </c>
      <c r="D257" s="364">
        <f>[4]Reserve!BM76</f>
        <v>354.64679999999998</v>
      </c>
      <c r="E257" s="504">
        <v>1</v>
      </c>
      <c r="F257" s="395">
        <v>1</v>
      </c>
      <c r="G257" s="395">
        <f>Allocation!$E$21</f>
        <v>2.4788790000000002E-2</v>
      </c>
      <c r="H257" s="364">
        <f t="shared" si="28"/>
        <v>8.7912650493720008</v>
      </c>
      <c r="N257" s="395"/>
    </row>
    <row r="258" spans="1:14">
      <c r="A258" s="112">
        <f t="shared" si="26"/>
        <v>244</v>
      </c>
      <c r="B258" s="570">
        <v>39918</v>
      </c>
      <c r="C258" s="80" t="s">
        <v>1455</v>
      </c>
      <c r="D258" s="364">
        <f>[4]Reserve!BM77</f>
        <v>0</v>
      </c>
      <c r="E258" s="504">
        <v>1</v>
      </c>
      <c r="F258" s="395">
        <v>1</v>
      </c>
      <c r="G258" s="395">
        <f>Allocation!$E$21</f>
        <v>2.4788790000000002E-2</v>
      </c>
      <c r="H258" s="364">
        <f t="shared" si="28"/>
        <v>0</v>
      </c>
      <c r="N258" s="395"/>
    </row>
    <row r="259" spans="1:14">
      <c r="A259" s="112">
        <f t="shared" si="26"/>
        <v>245</v>
      </c>
      <c r="B259" s="570">
        <v>39924</v>
      </c>
      <c r="C259" s="80" t="s">
        <v>1456</v>
      </c>
      <c r="D259" s="364">
        <f>[4]Reserve!BM78</f>
        <v>0</v>
      </c>
      <c r="E259" s="504">
        <v>1</v>
      </c>
      <c r="F259" s="395">
        <f>Allocation!$C$15</f>
        <v>0.11020000000000001</v>
      </c>
      <c r="G259" s="395">
        <f>Allocation!$D$15</f>
        <v>0.50429999999999997</v>
      </c>
      <c r="H259" s="364">
        <f t="shared" si="28"/>
        <v>0</v>
      </c>
      <c r="N259" s="395"/>
    </row>
    <row r="260" spans="1:14">
      <c r="A260" s="112">
        <f t="shared" si="26"/>
        <v>246</v>
      </c>
      <c r="B260" s="570"/>
      <c r="C260" s="80"/>
      <c r="D260" s="842"/>
      <c r="E260" s="861"/>
      <c r="F260" s="395"/>
      <c r="G260" s="395"/>
      <c r="H260" s="842"/>
    </row>
    <row r="261" spans="1:14">
      <c r="A261" s="112">
        <f t="shared" si="26"/>
        <v>247</v>
      </c>
      <c r="B261" s="73"/>
      <c r="C261" s="80"/>
      <c r="D261" s="364"/>
      <c r="E261" s="825"/>
    </row>
    <row r="262" spans="1:14" ht="15.75" thickBot="1">
      <c r="A262" s="112">
        <f t="shared" si="26"/>
        <v>248</v>
      </c>
      <c r="B262" s="73"/>
      <c r="C262" s="80" t="s">
        <v>1285</v>
      </c>
      <c r="D262" s="1060">
        <f>SUM(D231:D261)</f>
        <v>10677388.550279204</v>
      </c>
      <c r="E262" s="860"/>
      <c r="H262" s="1060">
        <f>SUM(H231:H261)</f>
        <v>577006.74029223132</v>
      </c>
    </row>
    <row r="263" spans="1:14" ht="15.75" thickTop="1">
      <c r="A263" s="112">
        <f t="shared" si="26"/>
        <v>249</v>
      </c>
      <c r="E263" s="825"/>
    </row>
    <row r="264" spans="1:14" ht="30.75" thickBot="1">
      <c r="A264" s="112">
        <f t="shared" si="26"/>
        <v>250</v>
      </c>
      <c r="C264" s="496" t="s">
        <v>1126</v>
      </c>
      <c r="D264" s="1060">
        <f>D262+D226+D181+D118</f>
        <v>52362975.55238694</v>
      </c>
      <c r="E264" s="860"/>
      <c r="H264" s="1060">
        <f>H262+H226+H181+H118</f>
        <v>20554698.225372452</v>
      </c>
    </row>
    <row r="265" spans="1:14" ht="15.75" thickTop="1"/>
    <row r="266" spans="1:14">
      <c r="C266" s="72" t="s">
        <v>679</v>
      </c>
      <c r="D266" s="358"/>
    </row>
    <row r="267" spans="1:14">
      <c r="C267" s="72" t="s">
        <v>1577</v>
      </c>
    </row>
  </sheetData>
  <mergeCells count="4">
    <mergeCell ref="A1:I1"/>
    <mergeCell ref="A2:I2"/>
    <mergeCell ref="A3:I3"/>
    <mergeCell ref="A4:I4"/>
  </mergeCells>
  <phoneticPr fontId="21" type="noConversion"/>
  <printOptions horizontalCentered="1"/>
  <pageMargins left="0.75" right="0.49" top="0.78" bottom="1" header="0.5" footer="0.33"/>
  <pageSetup scale="44" fitToHeight="15" orientation="landscape" r:id="rId1"/>
  <headerFooter alignWithMargins="0">
    <oddFooter>&amp;RSchedule &amp;A
Page &amp;P of &amp;N</oddFooter>
  </headerFooter>
  <rowBreaks count="5" manualBreakCount="5">
    <brk id="61" max="7" man="1"/>
    <brk id="120" max="7" man="1"/>
    <brk id="181" max="16383" man="1"/>
    <brk id="226" max="16383" man="1"/>
    <brk id="266" max="16383" man="1"/>
  </rowBreaks>
  <colBreaks count="1" manualBreakCount="1">
    <brk id="1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1"/>
  <dimension ref="A1:G33"/>
  <sheetViews>
    <sheetView view="pageBreakPreview" zoomScale="80" zoomScaleNormal="100" zoomScaleSheetLayoutView="80" workbookViewId="0">
      <selection sqref="A1:E1"/>
    </sheetView>
  </sheetViews>
  <sheetFormatPr defaultColWidth="8.44140625" defaultRowHeight="15"/>
  <cols>
    <col min="1" max="1" width="6.6640625" style="36" customWidth="1"/>
    <col min="2" max="2" width="30.6640625" style="36" customWidth="1"/>
    <col min="3" max="3" width="24.6640625" style="36" customWidth="1"/>
    <col min="4" max="4" width="17" style="36" customWidth="1"/>
    <col min="5" max="5" width="22" style="36" customWidth="1"/>
    <col min="6" max="6" width="11.88671875" style="36" customWidth="1"/>
    <col min="7" max="16384" width="8.44140625" style="36"/>
  </cols>
  <sheetData>
    <row r="1" spans="1:7" s="1" customFormat="1">
      <c r="A1" s="1257" t="str">
        <f>'Table of Contents'!A1:C1</f>
        <v>Atmos Energy Corporation, Kentucky/Mid-States Division</v>
      </c>
      <c r="B1" s="1257"/>
      <c r="C1" s="1257"/>
      <c r="D1" s="1257"/>
      <c r="E1" s="1257"/>
    </row>
    <row r="2" spans="1:7" s="1" customFormat="1">
      <c r="A2" s="1257" t="str">
        <f>'Table of Contents'!A2:C2</f>
        <v>Kentucky Jurisdiction Case No. 2021-00214</v>
      </c>
      <c r="B2" s="1257"/>
      <c r="C2" s="1257"/>
      <c r="D2" s="1257"/>
      <c r="E2" s="1257"/>
    </row>
    <row r="3" spans="1:7" s="1" customFormat="1">
      <c r="A3" s="1258" t="s">
        <v>428</v>
      </c>
      <c r="B3" s="1258"/>
      <c r="C3" s="1258"/>
      <c r="D3" s="1258"/>
      <c r="E3" s="1258"/>
    </row>
    <row r="4" spans="1:7" s="1" customFormat="1">
      <c r="A4" s="1257" t="str">
        <f>'B.1 B'!A4</f>
        <v>Base Period: Twelve Months Ended September 30, 2021</v>
      </c>
      <c r="B4" s="1257"/>
      <c r="C4" s="1257"/>
      <c r="D4" s="1257"/>
      <c r="E4" s="1257"/>
    </row>
    <row r="5" spans="1:7" s="1" customFormat="1">
      <c r="A5" s="73"/>
    </row>
    <row r="6" spans="1:7" s="1" customFormat="1">
      <c r="A6" s="82" t="str">
        <f>'B.1 B'!A6</f>
        <v>Data:__X___Base Period______Forecasted Period</v>
      </c>
      <c r="E6" s="322" t="s">
        <v>1364</v>
      </c>
    </row>
    <row r="7" spans="1:7" s="1" customFormat="1">
      <c r="A7" s="82" t="str">
        <f>'B.1 B'!A7</f>
        <v>Type of Filing:___X____Original________Updated ________Revised</v>
      </c>
      <c r="B7" s="4"/>
      <c r="E7" s="413" t="s">
        <v>696</v>
      </c>
    </row>
    <row r="8" spans="1:7" s="1" customFormat="1">
      <c r="A8" s="1064" t="str">
        <f>'B.1 B'!A8</f>
        <v>Workpaper Reference No(s).</v>
      </c>
      <c r="B8" s="6"/>
      <c r="C8" s="6"/>
      <c r="D8" s="6"/>
      <c r="E8" s="414" t="s">
        <v>1620</v>
      </c>
    </row>
    <row r="9" spans="1:7" s="1" customFormat="1">
      <c r="C9" s="2" t="s">
        <v>694</v>
      </c>
    </row>
    <row r="10" spans="1:7" s="1" customFormat="1">
      <c r="A10" s="2" t="s">
        <v>92</v>
      </c>
      <c r="B10" s="4" t="s">
        <v>778</v>
      </c>
      <c r="C10" s="2" t="s">
        <v>695</v>
      </c>
      <c r="D10" s="2" t="s">
        <v>94</v>
      </c>
      <c r="E10" s="2" t="s">
        <v>95</v>
      </c>
    </row>
    <row r="11" spans="1:7" s="1" customFormat="1">
      <c r="A11" s="9" t="s">
        <v>98</v>
      </c>
      <c r="B11" s="5" t="s">
        <v>1170</v>
      </c>
      <c r="C11" s="9" t="s">
        <v>555</v>
      </c>
      <c r="D11" s="9" t="s">
        <v>523</v>
      </c>
      <c r="E11" s="9" t="s">
        <v>101</v>
      </c>
    </row>
    <row r="12" spans="1:7" s="1" customFormat="1">
      <c r="E12" s="2"/>
    </row>
    <row r="14" spans="1:7" s="1" customFormat="1">
      <c r="A14" s="2" t="s">
        <v>1079</v>
      </c>
      <c r="B14" s="80" t="s">
        <v>777</v>
      </c>
      <c r="C14" s="80" t="s">
        <v>1550</v>
      </c>
      <c r="D14" s="108"/>
      <c r="E14" s="275">
        <f>'[6]ATO-CWC1B'!$N$53</f>
        <v>-3207972.8857776322</v>
      </c>
      <c r="F14" s="73"/>
      <c r="G14" s="73"/>
    </row>
    <row r="15" spans="1:7" s="1" customFormat="1">
      <c r="D15" s="11"/>
      <c r="E15" s="65"/>
      <c r="F15" s="73"/>
      <c r="G15" s="73"/>
    </row>
    <row r="16" spans="1:7" s="1" customFormat="1">
      <c r="A16" s="2">
        <v>2</v>
      </c>
      <c r="B16" s="4" t="s">
        <v>784</v>
      </c>
      <c r="C16" s="4" t="s">
        <v>82</v>
      </c>
      <c r="D16" s="2" t="s">
        <v>81</v>
      </c>
      <c r="E16" s="307">
        <f>'B.4.1 B'!K21</f>
        <v>396000.71125938452</v>
      </c>
      <c r="F16" s="73"/>
      <c r="G16" s="73"/>
    </row>
    <row r="17" spans="1:7" s="1" customFormat="1">
      <c r="D17" s="11"/>
      <c r="E17" s="307"/>
      <c r="F17" s="73"/>
      <c r="G17" s="73"/>
    </row>
    <row r="18" spans="1:7" s="1" customFormat="1">
      <c r="A18" s="2">
        <v>3</v>
      </c>
      <c r="B18" s="4" t="s">
        <v>1071</v>
      </c>
      <c r="C18" s="4" t="s">
        <v>82</v>
      </c>
      <c r="D18" s="2" t="s">
        <v>81</v>
      </c>
      <c r="E18" s="307">
        <f>'B.4.1 B'!K28</f>
        <v>6673958.5978780994</v>
      </c>
      <c r="F18" s="73"/>
      <c r="G18" s="73"/>
    </row>
    <row r="19" spans="1:7" s="1" customFormat="1">
      <c r="D19" s="11"/>
      <c r="E19" s="307"/>
      <c r="F19" s="73"/>
      <c r="G19" s="73"/>
    </row>
    <row r="20" spans="1:7" s="1" customFormat="1">
      <c r="A20" s="2">
        <v>4</v>
      </c>
      <c r="B20" s="4" t="s">
        <v>783</v>
      </c>
      <c r="C20" s="4" t="s">
        <v>82</v>
      </c>
      <c r="D20" s="2" t="s">
        <v>81</v>
      </c>
      <c r="E20" s="1065">
        <f>'B.4.1 B'!K35</f>
        <v>0</v>
      </c>
      <c r="F20" s="73"/>
      <c r="G20" s="73"/>
    </row>
    <row r="21" spans="1:7" s="1" customFormat="1">
      <c r="D21" s="11"/>
      <c r="E21" s="10"/>
      <c r="F21" s="73"/>
      <c r="G21" s="73"/>
    </row>
    <row r="22" spans="1:7" ht="15.75" thickBot="1">
      <c r="A22" s="2">
        <v>5</v>
      </c>
      <c r="B22" s="4" t="s">
        <v>486</v>
      </c>
      <c r="C22" s="1"/>
      <c r="D22" s="1"/>
      <c r="E22" s="1057">
        <f>SUM(E14:E20)</f>
        <v>3861986.4233598518</v>
      </c>
      <c r="F22" s="172"/>
      <c r="G22" s="172"/>
    </row>
    <row r="23" spans="1:7" ht="15.75" thickTop="1">
      <c r="D23" s="199"/>
      <c r="E23" s="165"/>
      <c r="F23" s="172"/>
      <c r="G23" s="172"/>
    </row>
    <row r="24" spans="1:7">
      <c r="E24" s="165"/>
      <c r="F24" s="172"/>
      <c r="G24" s="172"/>
    </row>
    <row r="25" spans="1:7">
      <c r="D25" s="199"/>
      <c r="E25" s="165"/>
      <c r="F25" s="172"/>
      <c r="G25" s="172"/>
    </row>
    <row r="26" spans="1:7">
      <c r="E26" s="165"/>
      <c r="F26" s="172"/>
      <c r="G26" s="172"/>
    </row>
    <row r="27" spans="1:7">
      <c r="D27" s="199"/>
      <c r="E27" s="165"/>
      <c r="F27" s="172"/>
      <c r="G27" s="172"/>
    </row>
    <row r="28" spans="1:7">
      <c r="E28" s="165"/>
      <c r="F28" s="172"/>
      <c r="G28" s="172"/>
    </row>
    <row r="29" spans="1:7">
      <c r="D29" s="199"/>
      <c r="E29" s="165"/>
    </row>
    <row r="30" spans="1:7">
      <c r="E30" s="165"/>
    </row>
    <row r="31" spans="1:7">
      <c r="E31" s="165"/>
    </row>
    <row r="32" spans="1:7">
      <c r="E32" s="165"/>
    </row>
    <row r="33" spans="5:5">
      <c r="E33" s="165"/>
    </row>
  </sheetData>
  <mergeCells count="4">
    <mergeCell ref="A1:E1"/>
    <mergeCell ref="A2:E2"/>
    <mergeCell ref="A3:E3"/>
    <mergeCell ref="A4:E4"/>
  </mergeCells>
  <phoneticPr fontId="21" type="noConversion"/>
  <printOptions horizontalCentered="1"/>
  <pageMargins left="0.75" right="0.75" top="1" bottom="0.5" header="0.5" footer="0.5"/>
  <pageSetup orientation="landscape" verticalDpi="300" r:id="rId1"/>
  <headerFooter alignWithMargins="0">
    <oddFooter>&amp;RSchedule &amp;A
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89"/>
  <dimension ref="A1:F39"/>
  <sheetViews>
    <sheetView view="pageBreakPreview" zoomScale="80" zoomScaleNormal="100" zoomScaleSheetLayoutView="80" workbookViewId="0">
      <selection sqref="A1:E1"/>
    </sheetView>
  </sheetViews>
  <sheetFormatPr defaultColWidth="8.44140625" defaultRowHeight="15"/>
  <cols>
    <col min="1" max="1" width="6.6640625" style="36" customWidth="1"/>
    <col min="2" max="2" width="30.6640625" style="36" customWidth="1"/>
    <col min="3" max="3" width="24.6640625" style="36" customWidth="1"/>
    <col min="4" max="4" width="17" style="36" customWidth="1"/>
    <col min="5" max="5" width="20.21875" style="36" customWidth="1"/>
    <col min="6" max="6" width="11.88671875" style="36" customWidth="1"/>
    <col min="7" max="16384" width="8.44140625" style="36"/>
  </cols>
  <sheetData>
    <row r="1" spans="1:6" s="1" customFormat="1">
      <c r="A1" s="1257" t="str">
        <f>'Table of Contents'!A1:C1</f>
        <v>Atmos Energy Corporation, Kentucky/Mid-States Division</v>
      </c>
      <c r="B1" s="1257"/>
      <c r="C1" s="1257"/>
      <c r="D1" s="1257"/>
      <c r="E1" s="1257"/>
    </row>
    <row r="2" spans="1:6" s="1" customFormat="1">
      <c r="A2" s="1257" t="str">
        <f>'Table of Contents'!A2:C2</f>
        <v>Kentucky Jurisdiction Case No. 2021-00214</v>
      </c>
      <c r="B2" s="1257"/>
      <c r="C2" s="1257"/>
      <c r="D2" s="1257"/>
      <c r="E2" s="1257"/>
    </row>
    <row r="3" spans="1:6" s="1" customFormat="1">
      <c r="A3" s="1258" t="s">
        <v>428</v>
      </c>
      <c r="B3" s="1258"/>
      <c r="C3" s="1258"/>
      <c r="D3" s="1258"/>
      <c r="E3" s="1258"/>
    </row>
    <row r="4" spans="1:6" s="1" customFormat="1">
      <c r="A4" s="1257" t="str">
        <f>'B.1 F '!A4</f>
        <v>Forecasted Test Period: Twelve Months Ended December 31, 2022</v>
      </c>
      <c r="B4" s="1257"/>
      <c r="C4" s="1257"/>
      <c r="D4" s="1257"/>
      <c r="E4" s="1257"/>
    </row>
    <row r="5" spans="1:6" s="1" customFormat="1">
      <c r="A5" s="73"/>
    </row>
    <row r="6" spans="1:6" s="1" customFormat="1">
      <c r="A6" s="82" t="str">
        <f>'B.1 F '!A6</f>
        <v>Data:______Base Period__X___Forecasted Period</v>
      </c>
      <c r="E6" s="322" t="s">
        <v>1364</v>
      </c>
    </row>
    <row r="7" spans="1:6" s="1" customFormat="1">
      <c r="A7" s="82" t="str">
        <f>'B.1 F '!A7</f>
        <v>Type of Filing:___X____Original________Updated ________Revised</v>
      </c>
      <c r="B7" s="4"/>
      <c r="E7" s="413" t="s">
        <v>697</v>
      </c>
    </row>
    <row r="8" spans="1:6" s="1" customFormat="1">
      <c r="A8" s="1064" t="str">
        <f>'B.1 F '!A8</f>
        <v>Workpaper Reference No(s).</v>
      </c>
      <c r="B8" s="6"/>
      <c r="C8" s="6"/>
      <c r="D8" s="6"/>
      <c r="E8" s="1058" t="str">
        <f>'B.4 B'!E8</f>
        <v>Witness: Christian</v>
      </c>
    </row>
    <row r="9" spans="1:6" s="1" customFormat="1">
      <c r="C9" s="2" t="s">
        <v>694</v>
      </c>
    </row>
    <row r="10" spans="1:6" s="1" customFormat="1">
      <c r="A10" s="2" t="s">
        <v>92</v>
      </c>
      <c r="B10" s="4" t="s">
        <v>778</v>
      </c>
      <c r="C10" s="2" t="s">
        <v>695</v>
      </c>
      <c r="D10" s="2" t="s">
        <v>94</v>
      </c>
      <c r="E10" s="2" t="s">
        <v>95</v>
      </c>
    </row>
    <row r="11" spans="1:6" s="1" customFormat="1">
      <c r="A11" s="9" t="s">
        <v>98</v>
      </c>
      <c r="B11" s="5" t="s">
        <v>1170</v>
      </c>
      <c r="C11" s="9" t="s">
        <v>555</v>
      </c>
      <c r="D11" s="9" t="s">
        <v>523</v>
      </c>
      <c r="E11" s="9" t="s">
        <v>101</v>
      </c>
    </row>
    <row r="12" spans="1:6" s="1" customFormat="1">
      <c r="E12" s="2"/>
    </row>
    <row r="14" spans="1:6" s="1" customFormat="1">
      <c r="A14" s="2">
        <v>1</v>
      </c>
      <c r="B14" s="4" t="s">
        <v>777</v>
      </c>
      <c r="C14" s="4" t="s">
        <v>1550</v>
      </c>
      <c r="D14" s="2"/>
      <c r="E14" s="275">
        <f>'[6]ATO-CWC1A'!$N$53</f>
        <v>-3062526.8829987803</v>
      </c>
      <c r="F14" s="73"/>
    </row>
    <row r="15" spans="1:6" s="1" customFormat="1">
      <c r="D15" s="11"/>
      <c r="E15" s="65"/>
      <c r="F15" s="73"/>
    </row>
    <row r="16" spans="1:6" s="1" customFormat="1">
      <c r="A16" s="2">
        <v>2</v>
      </c>
      <c r="B16" s="4" t="s">
        <v>784</v>
      </c>
      <c r="C16" s="4" t="s">
        <v>82</v>
      </c>
      <c r="D16" s="2" t="s">
        <v>81</v>
      </c>
      <c r="E16" s="100">
        <f>'B.4.1 F'!K21</f>
        <v>215285.75020066695</v>
      </c>
      <c r="F16" s="73"/>
    </row>
    <row r="17" spans="1:6" s="1" customFormat="1">
      <c r="D17" s="11"/>
      <c r="E17" s="65"/>
      <c r="F17" s="73"/>
    </row>
    <row r="18" spans="1:6" s="1" customFormat="1">
      <c r="A18" s="2">
        <v>3</v>
      </c>
      <c r="B18" s="4" t="s">
        <v>1071</v>
      </c>
      <c r="C18" s="4" t="s">
        <v>82</v>
      </c>
      <c r="D18" s="2" t="s">
        <v>81</v>
      </c>
      <c r="E18" s="100">
        <f>'B.4.1 F'!K28</f>
        <v>8401855.403916873</v>
      </c>
      <c r="F18" s="73"/>
    </row>
    <row r="19" spans="1:6" s="1" customFormat="1">
      <c r="D19" s="11"/>
      <c r="E19" s="65"/>
      <c r="F19" s="73"/>
    </row>
    <row r="20" spans="1:6" s="1" customFormat="1">
      <c r="A20" s="2">
        <v>4</v>
      </c>
      <c r="B20" s="4" t="s">
        <v>783</v>
      </c>
      <c r="C20" s="4" t="s">
        <v>82</v>
      </c>
      <c r="D20" s="2" t="s">
        <v>81</v>
      </c>
      <c r="E20" s="101">
        <f>'B.4.1 F'!K35</f>
        <v>0</v>
      </c>
      <c r="F20" s="73"/>
    </row>
    <row r="21" spans="1:6" s="1" customFormat="1">
      <c r="D21" s="2"/>
      <c r="E21" s="10"/>
      <c r="F21" s="73"/>
    </row>
    <row r="22" spans="1:6" ht="15.75" thickBot="1">
      <c r="A22" s="2">
        <v>5</v>
      </c>
      <c r="B22" s="4" t="s">
        <v>486</v>
      </c>
      <c r="C22" s="1"/>
      <c r="D22" s="1"/>
      <c r="E22" s="1057">
        <f>SUM(E14:E20)</f>
        <v>5554614.2711187601</v>
      </c>
      <c r="F22" s="172"/>
    </row>
    <row r="23" spans="1:6" ht="15.75" thickTop="1">
      <c r="E23" s="165"/>
      <c r="F23" s="172"/>
    </row>
    <row r="24" spans="1:6">
      <c r="D24" s="199"/>
      <c r="E24" s="165"/>
      <c r="F24" s="172"/>
    </row>
    <row r="25" spans="1:6">
      <c r="E25" s="165"/>
      <c r="F25" s="172"/>
    </row>
    <row r="26" spans="1:6">
      <c r="D26" s="199"/>
      <c r="E26" s="165"/>
      <c r="F26" s="172"/>
    </row>
    <row r="27" spans="1:6">
      <c r="E27" s="165"/>
      <c r="F27" s="172"/>
    </row>
    <row r="28" spans="1:6">
      <c r="D28" s="199"/>
      <c r="E28" s="165"/>
      <c r="F28" s="172"/>
    </row>
    <row r="29" spans="1:6">
      <c r="E29" s="165"/>
      <c r="F29" s="172"/>
    </row>
    <row r="30" spans="1:6">
      <c r="E30" s="165"/>
      <c r="F30" s="172"/>
    </row>
    <row r="31" spans="1:6">
      <c r="E31" s="165"/>
    </row>
    <row r="32" spans="1:6">
      <c r="A32" s="159"/>
      <c r="B32" s="159"/>
      <c r="E32" s="165"/>
    </row>
    <row r="33" spans="2:5">
      <c r="B33" s="159"/>
      <c r="E33" s="165"/>
    </row>
    <row r="34" spans="2:5">
      <c r="B34" s="159"/>
      <c r="E34" s="165"/>
    </row>
    <row r="35" spans="2:5">
      <c r="B35" s="159"/>
      <c r="E35" s="165"/>
    </row>
    <row r="36" spans="2:5">
      <c r="E36" s="165"/>
    </row>
    <row r="37" spans="2:5">
      <c r="E37" s="165"/>
    </row>
    <row r="38" spans="2:5">
      <c r="E38" s="165"/>
    </row>
    <row r="39" spans="2:5">
      <c r="E39" s="165"/>
    </row>
  </sheetData>
  <mergeCells count="4">
    <mergeCell ref="A1:E1"/>
    <mergeCell ref="A2:E2"/>
    <mergeCell ref="A3:E3"/>
    <mergeCell ref="A4:E4"/>
  </mergeCells>
  <phoneticPr fontId="21" type="noConversion"/>
  <printOptions horizontalCentered="1"/>
  <pageMargins left="0.75" right="0.75" top="1.08" bottom="0.5" header="0.5" footer="0.5"/>
  <pageSetup orientation="landscape" verticalDpi="300" r:id="rId1"/>
  <headerFooter alignWithMargins="0">
    <oddFooter>&amp;RSchedule &amp;A
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>
    <pageSetUpPr fitToPage="1"/>
  </sheetPr>
  <dimension ref="A1:K47"/>
  <sheetViews>
    <sheetView view="pageBreakPreview" zoomScale="80" zoomScaleNormal="100" zoomScaleSheetLayoutView="80" workbookViewId="0">
      <selection sqref="A1:K1"/>
    </sheetView>
  </sheetViews>
  <sheetFormatPr defaultColWidth="8.44140625" defaultRowHeight="15"/>
  <cols>
    <col min="1" max="1" width="5" style="56" customWidth="1"/>
    <col min="2" max="2" width="42.77734375" style="56" customWidth="1"/>
    <col min="3" max="3" width="14.109375" style="56" customWidth="1"/>
    <col min="4" max="4" width="13.5546875" style="56" customWidth="1"/>
    <col min="5" max="5" width="11.77734375" style="56" customWidth="1"/>
    <col min="6" max="6" width="12.5546875" style="56" customWidth="1"/>
    <col min="7" max="7" width="2.88671875" style="86" customWidth="1"/>
    <col min="8" max="8" width="13.33203125" style="56" bestFit="1" customWidth="1"/>
    <col min="9" max="9" width="12.6640625" style="56" customWidth="1"/>
    <col min="10" max="10" width="10.77734375" style="56" customWidth="1"/>
    <col min="11" max="11" width="11.6640625" style="56" customWidth="1"/>
    <col min="12" max="16384" width="8.44140625" style="56"/>
  </cols>
  <sheetData>
    <row r="1" spans="1:11">
      <c r="A1" s="1269" t="str">
        <f>Allocation!A1</f>
        <v>Atmos Energy Corporation, Kentucky/Mid-States Division</v>
      </c>
      <c r="B1" s="1269"/>
      <c r="C1" s="1269"/>
      <c r="D1" s="1269"/>
      <c r="E1" s="1269"/>
      <c r="F1" s="1269"/>
      <c r="G1" s="1269"/>
      <c r="H1" s="1269"/>
      <c r="I1" s="1269"/>
      <c r="J1" s="1269"/>
      <c r="K1" s="1269"/>
    </row>
    <row r="2" spans="1:11">
      <c r="A2" s="1269" t="str">
        <f>Allocation!A2</f>
        <v>Kentucky Jurisdiction Case No. 2021-00214</v>
      </c>
      <c r="B2" s="1269"/>
      <c r="C2" s="1269"/>
      <c r="D2" s="1269"/>
      <c r="E2" s="1269"/>
      <c r="F2" s="1269"/>
      <c r="G2" s="1269"/>
      <c r="H2" s="1269"/>
      <c r="I2" s="1269"/>
      <c r="J2" s="1269"/>
      <c r="K2" s="1269"/>
    </row>
    <row r="3" spans="1:11">
      <c r="A3" s="1269" t="s">
        <v>962</v>
      </c>
      <c r="B3" s="1269"/>
      <c r="C3" s="1269"/>
      <c r="D3" s="1269"/>
      <c r="E3" s="1269"/>
      <c r="F3" s="1269"/>
      <c r="G3" s="1269"/>
      <c r="H3" s="1269"/>
      <c r="I3" s="1269"/>
      <c r="J3" s="1269"/>
      <c r="K3" s="1269"/>
    </row>
    <row r="4" spans="1:11">
      <c r="A4" s="1269" t="str">
        <f>'B.1 B'!A4</f>
        <v>Base Period: Twelve Months Ended September 30, 2021</v>
      </c>
      <c r="B4" s="1269"/>
      <c r="C4" s="1269"/>
      <c r="D4" s="1269"/>
      <c r="E4" s="1269"/>
      <c r="F4" s="1269"/>
      <c r="G4" s="1269"/>
      <c r="H4" s="1269"/>
      <c r="I4" s="1269"/>
      <c r="J4" s="1269"/>
      <c r="K4" s="1269"/>
    </row>
    <row r="7" spans="1:11">
      <c r="A7" s="60" t="str">
        <f>'B.1 B'!A6</f>
        <v>Data:__X___Base Period______Forecasted Period</v>
      </c>
      <c r="K7" s="418" t="s">
        <v>1365</v>
      </c>
    </row>
    <row r="8" spans="1:11">
      <c r="A8" s="60" t="str">
        <f>'B.1 B'!A7</f>
        <v>Type of Filing:___X____Original________Updated ________Revised</v>
      </c>
      <c r="B8" s="4"/>
      <c r="K8" s="562" t="s">
        <v>698</v>
      </c>
    </row>
    <row r="9" spans="1:11">
      <c r="A9" s="396" t="str">
        <f>'B.1 B'!A8</f>
        <v>Workpaper Reference No(s).</v>
      </c>
      <c r="B9" s="86"/>
      <c r="C9" s="86"/>
      <c r="D9" s="86"/>
      <c r="E9" s="86"/>
      <c r="F9" s="86"/>
      <c r="H9" s="86"/>
      <c r="I9" s="86"/>
      <c r="K9" s="563" t="str">
        <f>'B.2 B'!N8</f>
        <v>Witness: Christian</v>
      </c>
    </row>
    <row r="10" spans="1:11">
      <c r="A10" s="300"/>
      <c r="B10" s="301"/>
      <c r="C10" s="1263" t="s">
        <v>1151</v>
      </c>
      <c r="D10" s="1264"/>
      <c r="E10" s="1264"/>
      <c r="F10" s="1265"/>
      <c r="H10" s="1266" t="s">
        <v>508</v>
      </c>
      <c r="I10" s="1267"/>
      <c r="J10" s="1267"/>
      <c r="K10" s="1268"/>
    </row>
    <row r="11" spans="1:11">
      <c r="A11" s="397"/>
      <c r="B11" s="398"/>
      <c r="C11" s="300"/>
      <c r="D11" s="297" t="s">
        <v>13</v>
      </c>
      <c r="E11" s="298" t="s">
        <v>11</v>
      </c>
      <c r="F11" s="301"/>
      <c r="H11" s="300"/>
      <c r="I11" s="297" t="s">
        <v>13</v>
      </c>
      <c r="J11" s="298" t="s">
        <v>11</v>
      </c>
      <c r="K11" s="301"/>
    </row>
    <row r="12" spans="1:11">
      <c r="A12" s="399" t="s">
        <v>92</v>
      </c>
      <c r="B12" s="398"/>
      <c r="C12" s="1066">
        <f>'B.2 B'!D10</f>
        <v>44469</v>
      </c>
      <c r="D12" s="30" t="s">
        <v>14</v>
      </c>
      <c r="E12" s="67" t="s">
        <v>589</v>
      </c>
      <c r="F12" s="302" t="s">
        <v>12</v>
      </c>
      <c r="G12" s="214"/>
      <c r="H12" s="1066">
        <f>C12</f>
        <v>44469</v>
      </c>
      <c r="I12" s="30" t="s">
        <v>14</v>
      </c>
      <c r="J12" s="67" t="s">
        <v>589</v>
      </c>
      <c r="K12" s="302" t="s">
        <v>12</v>
      </c>
    </row>
    <row r="13" spans="1:11">
      <c r="A13" s="400" t="s">
        <v>98</v>
      </c>
      <c r="B13" s="401" t="s">
        <v>972</v>
      </c>
      <c r="C13" s="292" t="s">
        <v>315</v>
      </c>
      <c r="D13" s="163" t="s">
        <v>622</v>
      </c>
      <c r="E13" s="163" t="s">
        <v>622</v>
      </c>
      <c r="F13" s="303" t="s">
        <v>103</v>
      </c>
      <c r="G13" s="214"/>
      <c r="H13" s="292" t="s">
        <v>378</v>
      </c>
      <c r="I13" s="163" t="s">
        <v>622</v>
      </c>
      <c r="J13" s="163" t="s">
        <v>622</v>
      </c>
      <c r="K13" s="303" t="s">
        <v>103</v>
      </c>
    </row>
    <row r="14" spans="1:11">
      <c r="C14" s="213"/>
      <c r="F14" s="213"/>
      <c r="G14" s="214"/>
      <c r="H14" s="213"/>
      <c r="I14" s="213"/>
      <c r="K14" s="213"/>
    </row>
    <row r="16" spans="1:11">
      <c r="A16" s="213">
        <v>1</v>
      </c>
      <c r="B16" s="60" t="s">
        <v>515</v>
      </c>
      <c r="C16" s="78"/>
      <c r="D16" s="213"/>
      <c r="E16" s="213"/>
      <c r="F16" s="57"/>
      <c r="G16" s="76"/>
      <c r="H16" s="78"/>
      <c r="I16" s="78"/>
      <c r="J16" s="213"/>
      <c r="K16" s="57"/>
    </row>
    <row r="17" spans="1:11">
      <c r="A17" s="213">
        <v>2</v>
      </c>
      <c r="B17" s="285" t="s">
        <v>1152</v>
      </c>
      <c r="C17" s="299">
        <f>'WP B.4.1B'!O15</f>
        <v>-537428.85166666668</v>
      </c>
      <c r="D17" s="309">
        <v>1</v>
      </c>
      <c r="E17" s="309">
        <v>1</v>
      </c>
      <c r="F17" s="1067">
        <f>C17*D17*E17</f>
        <v>-537428.85166666668</v>
      </c>
      <c r="G17" s="76"/>
      <c r="H17" s="299">
        <f>'WP B.4.1B'!P15</f>
        <v>-532173.64769230771</v>
      </c>
      <c r="I17" s="1068">
        <f t="shared" ref="I17:J20" si="0">D17</f>
        <v>1</v>
      </c>
      <c r="J17" s="1068">
        <f t="shared" si="0"/>
        <v>1</v>
      </c>
      <c r="K17" s="1067">
        <f>H17*I17*J17</f>
        <v>-532173.64769230771</v>
      </c>
    </row>
    <row r="18" spans="1:11">
      <c r="A18" s="213">
        <v>3</v>
      </c>
      <c r="B18" s="285" t="s">
        <v>1153</v>
      </c>
      <c r="C18" s="305">
        <f>'WP B.4.1B'!O20</f>
        <v>1828237.77</v>
      </c>
      <c r="D18" s="309">
        <v>1</v>
      </c>
      <c r="E18" s="1069">
        <f>Allocation!H17</f>
        <v>0.50419999999999998</v>
      </c>
      <c r="F18" s="1070">
        <f>C18*D18*E18</f>
        <v>921797.48363399995</v>
      </c>
      <c r="G18" s="308"/>
      <c r="H18" s="305">
        <f>'WP B.4.1B'!P20</f>
        <v>1840885.2815384616</v>
      </c>
      <c r="I18" s="1068">
        <f t="shared" si="0"/>
        <v>1</v>
      </c>
      <c r="J18" s="1071">
        <f t="shared" si="0"/>
        <v>0.50419999999999998</v>
      </c>
      <c r="K18" s="1070">
        <f>H18*I18*J18</f>
        <v>928174.35895169224</v>
      </c>
    </row>
    <row r="19" spans="1:11">
      <c r="A19" s="213">
        <v>4</v>
      </c>
      <c r="B19" s="285" t="s">
        <v>1154</v>
      </c>
      <c r="C19" s="305">
        <f>'WP B.4.1B'!O25</f>
        <v>0</v>
      </c>
      <c r="D19" s="1069">
        <f>Allocation!C14</f>
        <v>9.8599999999999993E-2</v>
      </c>
      <c r="E19" s="1069">
        <f>Allocation!H14</f>
        <v>0.50419999999999998</v>
      </c>
      <c r="F19" s="1070">
        <f>C19*D19*E19</f>
        <v>0</v>
      </c>
      <c r="G19" s="308"/>
      <c r="H19" s="305">
        <f>'WP B.4.1B'!P25</f>
        <v>0</v>
      </c>
      <c r="I19" s="1071">
        <f t="shared" si="0"/>
        <v>9.8599999999999993E-2</v>
      </c>
      <c r="J19" s="1071">
        <f t="shared" si="0"/>
        <v>0.50419999999999998</v>
      </c>
      <c r="K19" s="1070">
        <f>H19*I19*J19</f>
        <v>0</v>
      </c>
    </row>
    <row r="20" spans="1:11">
      <c r="A20" s="213">
        <v>5</v>
      </c>
      <c r="B20" s="285" t="s">
        <v>1155</v>
      </c>
      <c r="C20" s="306">
        <f>'WP B.4.1B'!O30</f>
        <v>0</v>
      </c>
      <c r="D20" s="1069">
        <f>Allocation!C15</f>
        <v>0.11020000000000001</v>
      </c>
      <c r="E20" s="1069">
        <f>Allocation!H15</f>
        <v>0.50429999999999997</v>
      </c>
      <c r="F20" s="1072">
        <f>C20*D20*E20</f>
        <v>0</v>
      </c>
      <c r="G20" s="308"/>
      <c r="H20" s="306">
        <f>'WP B.4.1B'!P30</f>
        <v>0</v>
      </c>
      <c r="I20" s="1071">
        <f t="shared" si="0"/>
        <v>0.11020000000000001</v>
      </c>
      <c r="J20" s="1071">
        <f t="shared" si="0"/>
        <v>0.50429999999999997</v>
      </c>
      <c r="K20" s="1072">
        <f>H20*I20*J20</f>
        <v>0</v>
      </c>
    </row>
    <row r="21" spans="1:11">
      <c r="A21" s="213">
        <v>6</v>
      </c>
      <c r="B21" s="259" t="s">
        <v>95</v>
      </c>
      <c r="C21" s="299">
        <f>SUM(C17:C20)</f>
        <v>1290808.9183333335</v>
      </c>
      <c r="D21" s="160"/>
      <c r="E21" s="213"/>
      <c r="F21" s="299">
        <f>SUM(F17:F20)</f>
        <v>384368.63196733326</v>
      </c>
      <c r="G21" s="76"/>
      <c r="H21" s="299">
        <f>SUM(H17:H20)</f>
        <v>1308711.633846154</v>
      </c>
      <c r="I21" s="78"/>
      <c r="J21" s="213"/>
      <c r="K21" s="299">
        <f>SUM(K17:K20)</f>
        <v>396000.71125938452</v>
      </c>
    </row>
    <row r="22" spans="1:11">
      <c r="A22" s="213">
        <v>7</v>
      </c>
      <c r="C22" s="88"/>
      <c r="F22" s="57"/>
      <c r="G22" s="76"/>
      <c r="H22" s="78"/>
      <c r="I22" s="78"/>
      <c r="K22" s="57"/>
    </row>
    <row r="23" spans="1:11">
      <c r="A23" s="213">
        <v>8</v>
      </c>
      <c r="B23" s="60" t="s">
        <v>516</v>
      </c>
      <c r="C23" s="78"/>
      <c r="D23" s="213"/>
      <c r="E23" s="213"/>
      <c r="F23" s="57"/>
      <c r="G23" s="76"/>
      <c r="H23" s="78"/>
      <c r="I23" s="78"/>
      <c r="J23" s="213"/>
      <c r="K23" s="57"/>
    </row>
    <row r="24" spans="1:11">
      <c r="A24" s="213">
        <v>9</v>
      </c>
      <c r="B24" s="285" t="s">
        <v>1152</v>
      </c>
      <c r="C24" s="299">
        <f>'WP B.4.1B'!O34</f>
        <v>10824191.311803257</v>
      </c>
      <c r="D24" s="1068">
        <f>D17</f>
        <v>1</v>
      </c>
      <c r="E24" s="1068">
        <f>E17</f>
        <v>1</v>
      </c>
      <c r="F24" s="1067">
        <f>C24*D24*E24</f>
        <v>10824191.311803257</v>
      </c>
      <c r="G24" s="76"/>
      <c r="H24" s="299">
        <f>'WP B.4.1B'!P34</f>
        <v>6673958.5978780994</v>
      </c>
      <c r="I24" s="1068">
        <f>I17</f>
        <v>1</v>
      </c>
      <c r="J24" s="1068">
        <f>J17</f>
        <v>1</v>
      </c>
      <c r="K24" s="1067">
        <f>H24*I24*J24</f>
        <v>6673958.5978780994</v>
      </c>
    </row>
    <row r="25" spans="1:11">
      <c r="A25" s="213">
        <v>10</v>
      </c>
      <c r="B25" s="285" t="s">
        <v>1153</v>
      </c>
      <c r="C25" s="1073">
        <f>'WP B.4.1B'!O36</f>
        <v>0</v>
      </c>
      <c r="D25" s="1068">
        <f t="shared" ref="D25:E27" si="1">D18</f>
        <v>1</v>
      </c>
      <c r="E25" s="1071">
        <f t="shared" si="1"/>
        <v>0.50419999999999998</v>
      </c>
      <c r="F25" s="1070">
        <f>C25*D25*E25</f>
        <v>0</v>
      </c>
      <c r="G25" s="308"/>
      <c r="H25" s="305">
        <f>'WP B.4.1B'!P36</f>
        <v>0</v>
      </c>
      <c r="I25" s="1068">
        <f t="shared" ref="I25:J27" si="2">I18</f>
        <v>1</v>
      </c>
      <c r="J25" s="1071">
        <f t="shared" si="2"/>
        <v>0.50419999999999998</v>
      </c>
      <c r="K25" s="1070">
        <f>H25*I25*J25</f>
        <v>0</v>
      </c>
    </row>
    <row r="26" spans="1:11">
      <c r="A26" s="213">
        <v>11</v>
      </c>
      <c r="B26" s="285" t="s">
        <v>1154</v>
      </c>
      <c r="C26" s="1073">
        <f>'WP B.4.1B'!O38</f>
        <v>0</v>
      </c>
      <c r="D26" s="1071">
        <f t="shared" si="1"/>
        <v>9.8599999999999993E-2</v>
      </c>
      <c r="E26" s="1071">
        <f t="shared" si="1"/>
        <v>0.50419999999999998</v>
      </c>
      <c r="F26" s="1070">
        <f>C26*D26*E26</f>
        <v>0</v>
      </c>
      <c r="G26" s="308"/>
      <c r="H26" s="305">
        <f>'WP B.4.1B'!P38</f>
        <v>0</v>
      </c>
      <c r="I26" s="1071">
        <f t="shared" si="2"/>
        <v>9.8599999999999993E-2</v>
      </c>
      <c r="J26" s="1071">
        <f t="shared" si="2"/>
        <v>0.50419999999999998</v>
      </c>
      <c r="K26" s="1070">
        <f>H26*I26*J26</f>
        <v>0</v>
      </c>
    </row>
    <row r="27" spans="1:11">
      <c r="A27" s="213">
        <v>12</v>
      </c>
      <c r="B27" s="285" t="s">
        <v>1155</v>
      </c>
      <c r="C27" s="1074">
        <f>'WP B.4.1B'!O40</f>
        <v>0</v>
      </c>
      <c r="D27" s="1071">
        <f t="shared" si="1"/>
        <v>0.11020000000000001</v>
      </c>
      <c r="E27" s="1071">
        <f t="shared" si="1"/>
        <v>0.50429999999999997</v>
      </c>
      <c r="F27" s="1072">
        <f>C27*D27*E27</f>
        <v>0</v>
      </c>
      <c r="G27" s="308"/>
      <c r="H27" s="306">
        <f>'WP B.4.1B'!P40</f>
        <v>0</v>
      </c>
      <c r="I27" s="1071">
        <f t="shared" si="2"/>
        <v>0.11020000000000001</v>
      </c>
      <c r="J27" s="1071">
        <f t="shared" si="2"/>
        <v>0.50429999999999997</v>
      </c>
      <c r="K27" s="1072">
        <f>H27*I27*J27</f>
        <v>0</v>
      </c>
    </row>
    <row r="28" spans="1:11">
      <c r="A28" s="213">
        <v>13</v>
      </c>
      <c r="B28" s="259" t="s">
        <v>95</v>
      </c>
      <c r="C28" s="299">
        <f>SUM(C24:C27)</f>
        <v>10824191.311803257</v>
      </c>
      <c r="D28" s="213"/>
      <c r="E28" s="213"/>
      <c r="F28" s="299">
        <f>SUM(F24:F27)</f>
        <v>10824191.311803257</v>
      </c>
      <c r="G28" s="76"/>
      <c r="H28" s="299">
        <f>SUM(H24:H27)</f>
        <v>6673958.5978780994</v>
      </c>
      <c r="I28" s="78"/>
      <c r="J28" s="213"/>
      <c r="K28" s="299">
        <f>SUM(K24:K27)</f>
        <v>6673958.5978780994</v>
      </c>
    </row>
    <row r="29" spans="1:11">
      <c r="A29" s="213">
        <v>14</v>
      </c>
      <c r="B29" s="259"/>
      <c r="C29" s="99"/>
      <c r="D29" s="215"/>
      <c r="E29" s="215"/>
      <c r="F29" s="76"/>
      <c r="G29" s="76"/>
      <c r="H29" s="79"/>
      <c r="I29" s="79"/>
      <c r="J29" s="214"/>
      <c r="K29" s="57"/>
    </row>
    <row r="30" spans="1:11">
      <c r="A30" s="213">
        <v>15</v>
      </c>
      <c r="B30" s="60" t="s">
        <v>517</v>
      </c>
      <c r="C30" s="79"/>
      <c r="D30" s="213"/>
      <c r="E30" s="213"/>
      <c r="F30" s="76"/>
      <c r="G30" s="76"/>
      <c r="H30" s="79"/>
      <c r="I30" s="79"/>
      <c r="J30" s="213"/>
      <c r="K30" s="76"/>
    </row>
    <row r="31" spans="1:11">
      <c r="A31" s="213">
        <v>16</v>
      </c>
      <c r="B31" s="285" t="s">
        <v>1152</v>
      </c>
      <c r="C31" s="299">
        <f>'WP B.4.1B'!O44</f>
        <v>0</v>
      </c>
      <c r="D31" s="1068">
        <f>D17</f>
        <v>1</v>
      </c>
      <c r="E31" s="1068">
        <f>E17</f>
        <v>1</v>
      </c>
      <c r="F31" s="1067">
        <f>C31*D31*E31</f>
        <v>0</v>
      </c>
      <c r="G31" s="76"/>
      <c r="H31" s="299">
        <f>'WP B.4.1B'!P44</f>
        <v>0</v>
      </c>
      <c r="I31" s="1068">
        <f>I17</f>
        <v>1</v>
      </c>
      <c r="J31" s="1068">
        <f>J17</f>
        <v>1</v>
      </c>
      <c r="K31" s="1067">
        <f>H31*I31*J31</f>
        <v>0</v>
      </c>
    </row>
    <row r="32" spans="1:11">
      <c r="A32" s="213">
        <v>17</v>
      </c>
      <c r="B32" s="285" t="s">
        <v>1153</v>
      </c>
      <c r="C32" s="305">
        <f>'WP B.4.1B'!O46</f>
        <v>0</v>
      </c>
      <c r="D32" s="1068">
        <f t="shared" ref="D32:E34" si="3">D18</f>
        <v>1</v>
      </c>
      <c r="E32" s="1071">
        <f t="shared" si="3"/>
        <v>0.50419999999999998</v>
      </c>
      <c r="F32" s="1070">
        <f>C32*D32*E32</f>
        <v>0</v>
      </c>
      <c r="G32" s="76"/>
      <c r="H32" s="305">
        <f>'WP B.4.1B'!P46</f>
        <v>0</v>
      </c>
      <c r="I32" s="1068">
        <f t="shared" ref="I32:J34" si="4">I18</f>
        <v>1</v>
      </c>
      <c r="J32" s="1071">
        <f t="shared" si="4"/>
        <v>0.50419999999999998</v>
      </c>
      <c r="K32" s="1070">
        <f>H32*I32*J32</f>
        <v>0</v>
      </c>
    </row>
    <row r="33" spans="1:11">
      <c r="A33" s="213">
        <v>18</v>
      </c>
      <c r="B33" s="285" t="s">
        <v>1154</v>
      </c>
      <c r="C33" s="305">
        <f>'WP B.4.1B'!O48</f>
        <v>0</v>
      </c>
      <c r="D33" s="1071">
        <f t="shared" si="3"/>
        <v>9.8599999999999993E-2</v>
      </c>
      <c r="E33" s="1071">
        <f t="shared" si="3"/>
        <v>0.50419999999999998</v>
      </c>
      <c r="F33" s="1070">
        <f>C33*D33*E33</f>
        <v>0</v>
      </c>
      <c r="G33" s="76"/>
      <c r="H33" s="305">
        <f>'WP B.4.1B'!P48</f>
        <v>0</v>
      </c>
      <c r="I33" s="1071">
        <f t="shared" si="4"/>
        <v>9.8599999999999993E-2</v>
      </c>
      <c r="J33" s="1071">
        <f t="shared" si="4"/>
        <v>0.50419999999999998</v>
      </c>
      <c r="K33" s="1070">
        <f>H33*I33*J33</f>
        <v>0</v>
      </c>
    </row>
    <row r="34" spans="1:11">
      <c r="A34" s="213">
        <v>19</v>
      </c>
      <c r="B34" s="285" t="s">
        <v>1155</v>
      </c>
      <c r="C34" s="306">
        <f>'WP B.4.1B'!O50</f>
        <v>0</v>
      </c>
      <c r="D34" s="1071">
        <f t="shared" si="3"/>
        <v>0.11020000000000001</v>
      </c>
      <c r="E34" s="1071">
        <f t="shared" si="3"/>
        <v>0.50429999999999997</v>
      </c>
      <c r="F34" s="1072">
        <f>C34*D34*E34</f>
        <v>0</v>
      </c>
      <c r="G34" s="76"/>
      <c r="H34" s="306">
        <f>'WP B.4.1B'!P50</f>
        <v>0</v>
      </c>
      <c r="I34" s="1071">
        <f t="shared" si="4"/>
        <v>0.11020000000000001</v>
      </c>
      <c r="J34" s="1071">
        <f t="shared" si="4"/>
        <v>0.50429999999999997</v>
      </c>
      <c r="K34" s="1072">
        <f>H34*I34*J34</f>
        <v>0</v>
      </c>
    </row>
    <row r="35" spans="1:11">
      <c r="A35" s="213">
        <v>20</v>
      </c>
      <c r="B35" s="259" t="s">
        <v>95</v>
      </c>
      <c r="C35" s="299">
        <f>SUM(C31:C34)</f>
        <v>0</v>
      </c>
      <c r="D35" s="213"/>
      <c r="E35" s="213"/>
      <c r="F35" s="299">
        <f>SUM(F31:F34)</f>
        <v>0</v>
      </c>
      <c r="G35" s="76"/>
      <c r="H35" s="299">
        <f>SUM(H31:H34)</f>
        <v>0</v>
      </c>
      <c r="I35" s="78"/>
      <c r="J35" s="213"/>
      <c r="K35" s="299">
        <f>SUM(K31:K34)</f>
        <v>0</v>
      </c>
    </row>
    <row r="36" spans="1:11">
      <c r="A36" s="213">
        <v>21</v>
      </c>
      <c r="B36" s="259"/>
      <c r="D36" s="216"/>
      <c r="E36" s="216"/>
      <c r="F36" s="57"/>
      <c r="G36" s="76"/>
      <c r="H36" s="57"/>
      <c r="I36" s="57"/>
      <c r="K36" s="57"/>
    </row>
    <row r="37" spans="1:11" ht="15.75" thickBot="1">
      <c r="A37" s="213">
        <v>22</v>
      </c>
      <c r="B37" s="60" t="s">
        <v>485</v>
      </c>
      <c r="C37" s="1075">
        <f>C35+C28+C21</f>
        <v>12115000.23013659</v>
      </c>
      <c r="F37" s="1075">
        <f>F35+F28+F21</f>
        <v>11208559.943770591</v>
      </c>
      <c r="G37" s="76"/>
      <c r="H37" s="1075">
        <f>H35+H28+H21</f>
        <v>7982670.2317242529</v>
      </c>
      <c r="I37" s="76"/>
      <c r="K37" s="1075">
        <f>K35+K28+K21</f>
        <v>7069959.3091374841</v>
      </c>
    </row>
    <row r="38" spans="1:11" ht="15.75" thickTop="1">
      <c r="D38" s="216"/>
      <c r="E38" s="216"/>
      <c r="F38" s="57"/>
      <c r="G38" s="76"/>
      <c r="H38" s="57"/>
      <c r="I38" s="57"/>
    </row>
    <row r="39" spans="1:11">
      <c r="A39" s="213"/>
      <c r="F39" s="57"/>
      <c r="G39" s="76"/>
      <c r="H39" s="57"/>
      <c r="I39" s="57"/>
    </row>
    <row r="40" spans="1:11">
      <c r="D40" s="216"/>
      <c r="E40" s="216"/>
      <c r="F40" s="57"/>
      <c r="G40" s="76"/>
    </row>
    <row r="41" spans="1:11">
      <c r="C41" s="57"/>
      <c r="F41" s="57"/>
      <c r="G41" s="76"/>
    </row>
    <row r="42" spans="1:11">
      <c r="D42" s="216"/>
      <c r="E42" s="216"/>
      <c r="F42" s="57"/>
      <c r="G42" s="76"/>
    </row>
    <row r="43" spans="1:11">
      <c r="F43" s="57"/>
      <c r="G43" s="76"/>
    </row>
    <row r="44" spans="1:11">
      <c r="D44" s="216"/>
      <c r="E44" s="216"/>
      <c r="F44" s="57"/>
      <c r="G44" s="76"/>
    </row>
    <row r="45" spans="1:11">
      <c r="F45" s="57"/>
      <c r="G45" s="76"/>
    </row>
    <row r="46" spans="1:11">
      <c r="D46" s="216"/>
      <c r="E46" s="216"/>
      <c r="F46" s="57"/>
      <c r="G46" s="76"/>
    </row>
    <row r="47" spans="1:11">
      <c r="F47" s="57"/>
      <c r="G47" s="76"/>
    </row>
  </sheetData>
  <mergeCells count="6">
    <mergeCell ref="C10:F10"/>
    <mergeCell ref="H10:K10"/>
    <mergeCell ref="A1:K1"/>
    <mergeCell ref="A2:K2"/>
    <mergeCell ref="A3:K3"/>
    <mergeCell ref="A4:K4"/>
  </mergeCells>
  <phoneticPr fontId="21" type="noConversion"/>
  <pageMargins left="0.56999999999999995" right="0.5" top="0.75" bottom="0.5" header="0.5" footer="0.5"/>
  <pageSetup scale="70" orientation="landscape" verticalDpi="300" r:id="rId1"/>
  <headerFooter alignWithMargins="0">
    <oddFooter>&amp;RSchedule &amp;A
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7">
    <pageSetUpPr fitToPage="1"/>
  </sheetPr>
  <dimension ref="A1:K47"/>
  <sheetViews>
    <sheetView view="pageBreakPreview" zoomScale="80" zoomScaleNormal="100" zoomScaleSheetLayoutView="80" workbookViewId="0">
      <selection sqref="A1:K1"/>
    </sheetView>
  </sheetViews>
  <sheetFormatPr defaultColWidth="8.44140625" defaultRowHeight="15"/>
  <cols>
    <col min="1" max="1" width="5" style="56" customWidth="1"/>
    <col min="2" max="2" width="42.77734375" style="56" customWidth="1"/>
    <col min="3" max="3" width="13.88671875" style="56" customWidth="1"/>
    <col min="4" max="4" width="13.6640625" style="56" customWidth="1"/>
    <col min="5" max="5" width="11.6640625" style="56" customWidth="1"/>
    <col min="6" max="6" width="13.5546875" style="56" customWidth="1"/>
    <col min="7" max="7" width="2.88671875" style="86" customWidth="1"/>
    <col min="8" max="8" width="13.33203125" style="56" bestFit="1" customWidth="1"/>
    <col min="9" max="9" width="13.109375" style="56" bestFit="1" customWidth="1"/>
    <col min="10" max="10" width="10.44140625" style="56" customWidth="1"/>
    <col min="11" max="11" width="13.33203125" style="56" customWidth="1"/>
    <col min="12" max="16384" width="8.44140625" style="56"/>
  </cols>
  <sheetData>
    <row r="1" spans="1:11">
      <c r="A1" s="1269" t="str">
        <f>Allocation!A1</f>
        <v>Atmos Energy Corporation, Kentucky/Mid-States Division</v>
      </c>
      <c r="B1" s="1269"/>
      <c r="C1" s="1269"/>
      <c r="D1" s="1269"/>
      <c r="E1" s="1269"/>
      <c r="F1" s="1269"/>
      <c r="G1" s="1269"/>
      <c r="H1" s="1269"/>
      <c r="I1" s="1269"/>
      <c r="J1" s="1269"/>
      <c r="K1" s="1269"/>
    </row>
    <row r="2" spans="1:11">
      <c r="A2" s="1269" t="str">
        <f>Allocation!A2</f>
        <v>Kentucky Jurisdiction Case No. 2021-00214</v>
      </c>
      <c r="B2" s="1269"/>
      <c r="C2" s="1269"/>
      <c r="D2" s="1269"/>
      <c r="E2" s="1269"/>
      <c r="F2" s="1269"/>
      <c r="G2" s="1269"/>
      <c r="H2" s="1269"/>
      <c r="I2" s="1269"/>
      <c r="J2" s="1269"/>
      <c r="K2" s="1269"/>
    </row>
    <row r="3" spans="1:11">
      <c r="A3" s="1269" t="s">
        <v>962</v>
      </c>
      <c r="B3" s="1269"/>
      <c r="C3" s="1269"/>
      <c r="D3" s="1269"/>
      <c r="E3" s="1269"/>
      <c r="F3" s="1269"/>
      <c r="G3" s="1269"/>
      <c r="H3" s="1269"/>
      <c r="I3" s="1269"/>
      <c r="J3" s="1269"/>
      <c r="K3" s="1269"/>
    </row>
    <row r="4" spans="1:11">
      <c r="A4" s="1269" t="str">
        <f>'B.1 F '!A4</f>
        <v>Forecasted Test Period: Twelve Months Ended December 31, 2022</v>
      </c>
      <c r="B4" s="1269"/>
      <c r="C4" s="1269"/>
      <c r="D4" s="1269"/>
      <c r="E4" s="1269"/>
      <c r="F4" s="1269"/>
      <c r="G4" s="1269"/>
      <c r="H4" s="1269"/>
      <c r="I4" s="1269"/>
      <c r="J4" s="1269"/>
      <c r="K4" s="1269"/>
    </row>
    <row r="7" spans="1:11">
      <c r="A7" s="60" t="str">
        <f>'B.1 F '!A6</f>
        <v>Data:______Base Period__X___Forecasted Period</v>
      </c>
      <c r="K7" s="418" t="s">
        <v>1365</v>
      </c>
    </row>
    <row r="8" spans="1:11">
      <c r="A8" s="60" t="str">
        <f>'B.1 F '!A7</f>
        <v>Type of Filing:___X____Original________Updated ________Revised</v>
      </c>
      <c r="B8" s="4"/>
      <c r="K8" s="562" t="s">
        <v>699</v>
      </c>
    </row>
    <row r="9" spans="1:11">
      <c r="A9" s="396" t="str">
        <f>'B.1 F '!A8</f>
        <v>Workpaper Reference No(s).</v>
      </c>
      <c r="B9" s="86"/>
      <c r="C9" s="86"/>
      <c r="D9" s="86"/>
      <c r="E9" s="86"/>
      <c r="F9" s="86"/>
      <c r="H9" s="86"/>
      <c r="I9" s="86"/>
      <c r="K9" s="563" t="str">
        <f>'B.4.1 B'!K9</f>
        <v>Witness: Christian</v>
      </c>
    </row>
    <row r="10" spans="1:11">
      <c r="A10" s="300"/>
      <c r="B10" s="301"/>
      <c r="C10" s="1263" t="s">
        <v>159</v>
      </c>
      <c r="D10" s="1264"/>
      <c r="E10" s="1264"/>
      <c r="F10" s="1265"/>
      <c r="H10" s="1266" t="s">
        <v>508</v>
      </c>
      <c r="I10" s="1267"/>
      <c r="J10" s="1267"/>
      <c r="K10" s="1268"/>
    </row>
    <row r="11" spans="1:11">
      <c r="A11" s="397"/>
      <c r="B11" s="398"/>
      <c r="C11" s="300"/>
      <c r="D11" s="297" t="s">
        <v>13</v>
      </c>
      <c r="E11" s="298" t="s">
        <v>11</v>
      </c>
      <c r="F11" s="301"/>
      <c r="H11" s="300"/>
      <c r="I11" s="297" t="s">
        <v>13</v>
      </c>
      <c r="J11" s="298" t="s">
        <v>11</v>
      </c>
      <c r="K11" s="301"/>
    </row>
    <row r="12" spans="1:11">
      <c r="A12" s="399" t="s">
        <v>92</v>
      </c>
      <c r="B12" s="398"/>
      <c r="C12" s="1066">
        <f>'B.2 F'!D10</f>
        <v>44926</v>
      </c>
      <c r="D12" s="30" t="s">
        <v>14</v>
      </c>
      <c r="E12" s="67" t="s">
        <v>589</v>
      </c>
      <c r="F12" s="302" t="s">
        <v>12</v>
      </c>
      <c r="G12" s="214"/>
      <c r="H12" s="1066">
        <f>C12</f>
        <v>44926</v>
      </c>
      <c r="I12" s="30" t="s">
        <v>14</v>
      </c>
      <c r="J12" s="67" t="s">
        <v>589</v>
      </c>
      <c r="K12" s="302" t="s">
        <v>12</v>
      </c>
    </row>
    <row r="13" spans="1:11">
      <c r="A13" s="400" t="s">
        <v>98</v>
      </c>
      <c r="B13" s="401" t="s">
        <v>972</v>
      </c>
      <c r="C13" s="292" t="s">
        <v>315</v>
      </c>
      <c r="D13" s="163" t="s">
        <v>622</v>
      </c>
      <c r="E13" s="163" t="s">
        <v>622</v>
      </c>
      <c r="F13" s="303" t="s">
        <v>103</v>
      </c>
      <c r="G13" s="214"/>
      <c r="H13" s="292" t="s">
        <v>378</v>
      </c>
      <c r="I13" s="163" t="s">
        <v>622</v>
      </c>
      <c r="J13" s="163" t="s">
        <v>622</v>
      </c>
      <c r="K13" s="303" t="s">
        <v>103</v>
      </c>
    </row>
    <row r="14" spans="1:11">
      <c r="C14" s="213"/>
      <c r="F14" s="213"/>
      <c r="G14" s="214"/>
      <c r="H14" s="213"/>
      <c r="I14" s="213"/>
      <c r="K14" s="213"/>
    </row>
    <row r="16" spans="1:11">
      <c r="A16" s="213">
        <v>1</v>
      </c>
      <c r="B16" s="60" t="s">
        <v>515</v>
      </c>
      <c r="C16" s="78"/>
      <c r="D16" s="213"/>
      <c r="E16" s="213"/>
      <c r="F16" s="57"/>
      <c r="G16" s="76"/>
      <c r="H16" s="78"/>
      <c r="I16" s="78"/>
      <c r="J16" s="213"/>
      <c r="K16" s="57"/>
    </row>
    <row r="17" spans="1:11">
      <c r="A17" s="213">
        <v>2</v>
      </c>
      <c r="B17" s="285" t="s">
        <v>1152</v>
      </c>
      <c r="C17" s="299">
        <f>'WP B.4.1F'!O15</f>
        <v>-537428.85166666668</v>
      </c>
      <c r="D17" s="309">
        <v>1</v>
      </c>
      <c r="E17" s="309">
        <v>1</v>
      </c>
      <c r="F17" s="1067">
        <f>C17*D17*E17</f>
        <v>-537428.85166666668</v>
      </c>
      <c r="G17" s="76"/>
      <c r="H17" s="299">
        <f>'WP B.4.1F'!P15</f>
        <v>-537428.85166666668</v>
      </c>
      <c r="I17" s="1068">
        <f t="shared" ref="I17:J20" si="0">D17</f>
        <v>1</v>
      </c>
      <c r="J17" s="1068">
        <f t="shared" si="0"/>
        <v>1</v>
      </c>
      <c r="K17" s="1067">
        <f>H17*I17*J17</f>
        <v>-537428.85166666668</v>
      </c>
    </row>
    <row r="18" spans="1:11">
      <c r="A18" s="213">
        <v>3</v>
      </c>
      <c r="B18" s="285" t="s">
        <v>1153</v>
      </c>
      <c r="C18" s="305">
        <f>'WP B.4.1F'!O20</f>
        <v>1492888.9366666668</v>
      </c>
      <c r="D18" s="309">
        <v>1</v>
      </c>
      <c r="E18" s="1069">
        <f>Allocation!D17</f>
        <v>0.50419999999999998</v>
      </c>
      <c r="F18" s="1070">
        <f>C18*D18*E18</f>
        <v>752714.6018673334</v>
      </c>
      <c r="G18" s="76"/>
      <c r="H18" s="305">
        <f>'WP B.4.1F'!P20</f>
        <v>1492888.9366666672</v>
      </c>
      <c r="I18" s="1068">
        <f t="shared" si="0"/>
        <v>1</v>
      </c>
      <c r="J18" s="1071">
        <f t="shared" si="0"/>
        <v>0.50419999999999998</v>
      </c>
      <c r="K18" s="1070">
        <f>H18*I18*J18</f>
        <v>752714.60186733364</v>
      </c>
    </row>
    <row r="19" spans="1:11">
      <c r="A19" s="213">
        <v>4</v>
      </c>
      <c r="B19" s="285" t="s">
        <v>1154</v>
      </c>
      <c r="C19" s="305">
        <f>'WP B.4.1F'!O25</f>
        <v>0</v>
      </c>
      <c r="D19" s="1069">
        <f>Allocation!C14</f>
        <v>9.8599999999999993E-2</v>
      </c>
      <c r="E19" s="1069">
        <f>Allocation!D14</f>
        <v>0.50419999999999998</v>
      </c>
      <c r="F19" s="1070">
        <f>C19*D19*E19</f>
        <v>0</v>
      </c>
      <c r="G19" s="76"/>
      <c r="H19" s="305">
        <f>'WP B.4.1F'!P25</f>
        <v>0</v>
      </c>
      <c r="I19" s="1071">
        <f t="shared" si="0"/>
        <v>9.8599999999999993E-2</v>
      </c>
      <c r="J19" s="1071">
        <f t="shared" si="0"/>
        <v>0.50419999999999998</v>
      </c>
      <c r="K19" s="1070">
        <f>H19*I19*J19</f>
        <v>0</v>
      </c>
    </row>
    <row r="20" spans="1:11">
      <c r="A20" s="213">
        <v>5</v>
      </c>
      <c r="B20" s="285" t="s">
        <v>1155</v>
      </c>
      <c r="C20" s="306">
        <f>'WP B.4.1F'!O30</f>
        <v>0</v>
      </c>
      <c r="D20" s="1069">
        <f>Allocation!C15</f>
        <v>0.11020000000000001</v>
      </c>
      <c r="E20" s="1069">
        <f>Allocation!D15</f>
        <v>0.50429999999999997</v>
      </c>
      <c r="F20" s="1072">
        <f>C20*D20*E20</f>
        <v>0</v>
      </c>
      <c r="G20" s="76"/>
      <c r="H20" s="306">
        <f>'WP B.4.1F'!T30</f>
        <v>0</v>
      </c>
      <c r="I20" s="1071">
        <f t="shared" si="0"/>
        <v>0.11020000000000001</v>
      </c>
      <c r="J20" s="1071">
        <f t="shared" si="0"/>
        <v>0.50429999999999997</v>
      </c>
      <c r="K20" s="1072">
        <f>H20*I20*J20</f>
        <v>0</v>
      </c>
    </row>
    <row r="21" spans="1:11">
      <c r="A21" s="213">
        <v>6</v>
      </c>
      <c r="B21" s="259" t="s">
        <v>95</v>
      </c>
      <c r="C21" s="299">
        <f>SUM(C17:C20)</f>
        <v>955460.08500000008</v>
      </c>
      <c r="D21" s="160"/>
      <c r="E21" s="213"/>
      <c r="F21" s="299">
        <f>SUM(F17:F20)</f>
        <v>215285.75020066672</v>
      </c>
      <c r="G21" s="76"/>
      <c r="H21" s="299">
        <f>SUM(H17:H20)</f>
        <v>955460.08500000054</v>
      </c>
      <c r="I21" s="78"/>
      <c r="J21" s="213"/>
      <c r="K21" s="299">
        <f>SUM(K17:K20)</f>
        <v>215285.75020066695</v>
      </c>
    </row>
    <row r="22" spans="1:11">
      <c r="A22" s="213">
        <v>7</v>
      </c>
      <c r="C22" s="88"/>
      <c r="F22" s="57"/>
      <c r="G22" s="76"/>
      <c r="H22" s="88"/>
      <c r="I22" s="78"/>
      <c r="K22" s="57"/>
    </row>
    <row r="23" spans="1:11">
      <c r="A23" s="213">
        <v>8</v>
      </c>
      <c r="B23" s="60" t="s">
        <v>516</v>
      </c>
      <c r="C23" s="78"/>
      <c r="D23" s="213"/>
      <c r="E23" s="213"/>
      <c r="F23" s="57"/>
      <c r="G23" s="76"/>
      <c r="H23" s="78"/>
      <c r="I23" s="78"/>
      <c r="J23" s="213"/>
      <c r="K23" s="57"/>
    </row>
    <row r="24" spans="1:11">
      <c r="A24" s="213">
        <v>9</v>
      </c>
      <c r="B24" s="285" t="s">
        <v>1152</v>
      </c>
      <c r="C24" s="299">
        <f>'WP B.4.1F'!O34</f>
        <v>16854216.450720225</v>
      </c>
      <c r="D24" s="1068">
        <f t="shared" ref="D24:E27" si="1">D17</f>
        <v>1</v>
      </c>
      <c r="E24" s="1068">
        <f t="shared" si="1"/>
        <v>1</v>
      </c>
      <c r="F24" s="1067">
        <f>C24*D24*E24</f>
        <v>16854216.450720225</v>
      </c>
      <c r="G24" s="76"/>
      <c r="H24" s="299">
        <f>'WP B.4.1F'!P34</f>
        <v>8401855.403916873</v>
      </c>
      <c r="I24" s="1068">
        <f t="shared" ref="I24:J27" si="2">I17</f>
        <v>1</v>
      </c>
      <c r="J24" s="1068">
        <f t="shared" si="2"/>
        <v>1</v>
      </c>
      <c r="K24" s="1067">
        <f>H24*I24*J24</f>
        <v>8401855.403916873</v>
      </c>
    </row>
    <row r="25" spans="1:11">
      <c r="A25" s="213">
        <v>10</v>
      </c>
      <c r="B25" s="285" t="s">
        <v>1153</v>
      </c>
      <c r="C25" s="1073">
        <f>'WP B.4.1F'!O36</f>
        <v>0</v>
      </c>
      <c r="D25" s="1068">
        <f t="shared" si="1"/>
        <v>1</v>
      </c>
      <c r="E25" s="1071">
        <f t="shared" si="1"/>
        <v>0.50419999999999998</v>
      </c>
      <c r="F25" s="1070">
        <f>C25*D25*E25</f>
        <v>0</v>
      </c>
      <c r="G25" s="76"/>
      <c r="H25" s="1073">
        <f>'WP B.4.1F'!P36</f>
        <v>0</v>
      </c>
      <c r="I25" s="1068">
        <f t="shared" si="2"/>
        <v>1</v>
      </c>
      <c r="J25" s="1071">
        <f t="shared" si="2"/>
        <v>0.50419999999999998</v>
      </c>
      <c r="K25" s="1070">
        <f>H25*I25*J25</f>
        <v>0</v>
      </c>
    </row>
    <row r="26" spans="1:11">
      <c r="A26" s="213">
        <v>11</v>
      </c>
      <c r="B26" s="285" t="s">
        <v>1154</v>
      </c>
      <c r="C26" s="1073">
        <f>'WP B.4.1F'!O38</f>
        <v>0</v>
      </c>
      <c r="D26" s="1071">
        <f t="shared" si="1"/>
        <v>9.8599999999999993E-2</v>
      </c>
      <c r="E26" s="1071">
        <f t="shared" si="1"/>
        <v>0.50419999999999998</v>
      </c>
      <c r="F26" s="1070">
        <f>C26*D26*E26</f>
        <v>0</v>
      </c>
      <c r="G26" s="76"/>
      <c r="H26" s="1073">
        <f>'WP B.4.1F'!P38</f>
        <v>0</v>
      </c>
      <c r="I26" s="1071">
        <f t="shared" si="2"/>
        <v>9.8599999999999993E-2</v>
      </c>
      <c r="J26" s="1071">
        <f t="shared" si="2"/>
        <v>0.50419999999999998</v>
      </c>
      <c r="K26" s="1070">
        <f>H26*I26*J26</f>
        <v>0</v>
      </c>
    </row>
    <row r="27" spans="1:11">
      <c r="A27" s="213">
        <v>12</v>
      </c>
      <c r="B27" s="285" t="s">
        <v>1155</v>
      </c>
      <c r="C27" s="1074">
        <f>'WP B.4.1F'!O40</f>
        <v>0</v>
      </c>
      <c r="D27" s="1071">
        <f t="shared" si="1"/>
        <v>0.11020000000000001</v>
      </c>
      <c r="E27" s="1071">
        <f t="shared" si="1"/>
        <v>0.50429999999999997</v>
      </c>
      <c r="F27" s="1072">
        <f>C27*D27*E27</f>
        <v>0</v>
      </c>
      <c r="G27" s="76"/>
      <c r="H27" s="1074">
        <f>'WP B.4.1F'!P40</f>
        <v>0</v>
      </c>
      <c r="I27" s="1071">
        <f t="shared" si="2"/>
        <v>0.11020000000000001</v>
      </c>
      <c r="J27" s="1071">
        <f t="shared" si="2"/>
        <v>0.50429999999999997</v>
      </c>
      <c r="K27" s="1072">
        <f>H27*I27*J27</f>
        <v>0</v>
      </c>
    </row>
    <row r="28" spans="1:11">
      <c r="A28" s="213">
        <v>13</v>
      </c>
      <c r="B28" s="259" t="s">
        <v>95</v>
      </c>
      <c r="C28" s="299">
        <f>SUM(C24:C27)</f>
        <v>16854216.450720225</v>
      </c>
      <c r="D28" s="213"/>
      <c r="E28" s="213"/>
      <c r="F28" s="299">
        <f>SUM(F24:F27)</f>
        <v>16854216.450720225</v>
      </c>
      <c r="G28" s="76"/>
      <c r="H28" s="299">
        <f>SUM(H24:H27)</f>
        <v>8401855.403916873</v>
      </c>
      <c r="I28" s="78"/>
      <c r="J28" s="213"/>
      <c r="K28" s="299">
        <f>SUM(K24:K27)</f>
        <v>8401855.403916873</v>
      </c>
    </row>
    <row r="29" spans="1:11">
      <c r="A29" s="213">
        <v>14</v>
      </c>
      <c r="B29" s="259"/>
      <c r="C29" s="99"/>
      <c r="D29" s="215"/>
      <c r="E29" s="215"/>
      <c r="F29" s="76"/>
      <c r="G29" s="76"/>
      <c r="H29" s="99"/>
      <c r="I29" s="79"/>
      <c r="J29" s="214"/>
      <c r="K29" s="57"/>
    </row>
    <row r="30" spans="1:11">
      <c r="A30" s="213">
        <v>15</v>
      </c>
      <c r="B30" s="60" t="s">
        <v>517</v>
      </c>
      <c r="C30" s="79"/>
      <c r="D30" s="213"/>
      <c r="E30" s="213"/>
      <c r="F30" s="76"/>
      <c r="G30" s="76"/>
      <c r="H30" s="79"/>
      <c r="I30" s="79"/>
      <c r="J30" s="213"/>
      <c r="K30" s="76"/>
    </row>
    <row r="31" spans="1:11">
      <c r="A31" s="213">
        <v>16</v>
      </c>
      <c r="B31" s="285" t="s">
        <v>1152</v>
      </c>
      <c r="C31" s="299">
        <f>'WP B.4.1F'!O44</f>
        <v>0</v>
      </c>
      <c r="D31" s="1068">
        <f t="shared" ref="D31:E34" si="3">D17</f>
        <v>1</v>
      </c>
      <c r="E31" s="1068">
        <f t="shared" si="3"/>
        <v>1</v>
      </c>
      <c r="F31" s="1067">
        <f>C31*D31*E31</f>
        <v>0</v>
      </c>
      <c r="G31" s="76"/>
      <c r="H31" s="299">
        <f>'WP B.4.1F'!P44</f>
        <v>0</v>
      </c>
      <c r="I31" s="1068">
        <f t="shared" ref="I31:J34" si="4">I17</f>
        <v>1</v>
      </c>
      <c r="J31" s="1068">
        <f t="shared" si="4"/>
        <v>1</v>
      </c>
      <c r="K31" s="1067">
        <f>H31*I31*J31</f>
        <v>0</v>
      </c>
    </row>
    <row r="32" spans="1:11">
      <c r="A32" s="213">
        <v>17</v>
      </c>
      <c r="B32" s="285" t="s">
        <v>1153</v>
      </c>
      <c r="C32" s="305">
        <f>'WP B.4.1F'!O46</f>
        <v>0</v>
      </c>
      <c r="D32" s="1068">
        <f t="shared" si="3"/>
        <v>1</v>
      </c>
      <c r="E32" s="1071">
        <f t="shared" si="3"/>
        <v>0.50419999999999998</v>
      </c>
      <c r="F32" s="1070">
        <f>C32*D32*E32</f>
        <v>0</v>
      </c>
      <c r="G32" s="76"/>
      <c r="H32" s="305">
        <f>'WP B.4.1F'!P46</f>
        <v>0</v>
      </c>
      <c r="I32" s="1068">
        <f t="shared" si="4"/>
        <v>1</v>
      </c>
      <c r="J32" s="1071">
        <f t="shared" si="4"/>
        <v>0.50419999999999998</v>
      </c>
      <c r="K32" s="1070">
        <f>H32*I32*J32</f>
        <v>0</v>
      </c>
    </row>
    <row r="33" spans="1:11">
      <c r="A33" s="213">
        <v>18</v>
      </c>
      <c r="B33" s="285" t="s">
        <v>1154</v>
      </c>
      <c r="C33" s="305">
        <f>'WP B.4.1F'!O48</f>
        <v>0</v>
      </c>
      <c r="D33" s="1071">
        <f t="shared" si="3"/>
        <v>9.8599999999999993E-2</v>
      </c>
      <c r="E33" s="1071">
        <f t="shared" si="3"/>
        <v>0.50419999999999998</v>
      </c>
      <c r="F33" s="1070">
        <f>C33*D33*E33</f>
        <v>0</v>
      </c>
      <c r="G33" s="76"/>
      <c r="H33" s="305">
        <f>'WP B.4.1F'!P48</f>
        <v>0</v>
      </c>
      <c r="I33" s="1071">
        <f t="shared" si="4"/>
        <v>9.8599999999999993E-2</v>
      </c>
      <c r="J33" s="1071">
        <f t="shared" si="4"/>
        <v>0.50419999999999998</v>
      </c>
      <c r="K33" s="1070">
        <f>H33*I33*J33</f>
        <v>0</v>
      </c>
    </row>
    <row r="34" spans="1:11">
      <c r="A34" s="213">
        <v>19</v>
      </c>
      <c r="B34" s="285" t="s">
        <v>1155</v>
      </c>
      <c r="C34" s="306">
        <f>'WP B.4.1F'!O50</f>
        <v>0</v>
      </c>
      <c r="D34" s="1071">
        <f t="shared" si="3"/>
        <v>0.11020000000000001</v>
      </c>
      <c r="E34" s="1071">
        <f t="shared" si="3"/>
        <v>0.50429999999999997</v>
      </c>
      <c r="F34" s="1072">
        <f>C34*D34*E34</f>
        <v>0</v>
      </c>
      <c r="G34" s="76"/>
      <c r="H34" s="306">
        <f>'WP B.4.1F'!P50</f>
        <v>0</v>
      </c>
      <c r="I34" s="1071">
        <f t="shared" si="4"/>
        <v>0.11020000000000001</v>
      </c>
      <c r="J34" s="1071">
        <f t="shared" si="4"/>
        <v>0.50429999999999997</v>
      </c>
      <c r="K34" s="1072">
        <f>H34*I34*J34</f>
        <v>0</v>
      </c>
    </row>
    <row r="35" spans="1:11">
      <c r="A35" s="213">
        <v>20</v>
      </c>
      <c r="B35" s="259" t="s">
        <v>95</v>
      </c>
      <c r="C35" s="299">
        <f>SUM(C31:C34)</f>
        <v>0</v>
      </c>
      <c r="D35" s="213"/>
      <c r="E35" s="213"/>
      <c r="F35" s="299">
        <f>SUM(F31:F34)</f>
        <v>0</v>
      </c>
      <c r="G35" s="76"/>
      <c r="H35" s="299">
        <f>SUM(H31:H34)</f>
        <v>0</v>
      </c>
      <c r="I35" s="78"/>
      <c r="J35" s="213"/>
      <c r="K35" s="299">
        <f>SUM(K31:K34)</f>
        <v>0</v>
      </c>
    </row>
    <row r="36" spans="1:11">
      <c r="A36" s="213">
        <v>21</v>
      </c>
      <c r="B36" s="259"/>
      <c r="D36" s="216"/>
      <c r="E36" s="216"/>
      <c r="F36" s="57"/>
      <c r="G36" s="76"/>
      <c r="H36" s="57"/>
      <c r="I36" s="57"/>
      <c r="K36" s="57"/>
    </row>
    <row r="37" spans="1:11" ht="15.75" thickBot="1">
      <c r="A37" s="213">
        <v>22</v>
      </c>
      <c r="B37" s="60" t="s">
        <v>485</v>
      </c>
      <c r="C37" s="1075">
        <f>C35+C28+C21</f>
        <v>17809676.535720225</v>
      </c>
      <c r="F37" s="1075">
        <f>F35+F28+F21</f>
        <v>17069502.200920891</v>
      </c>
      <c r="G37" s="76"/>
      <c r="H37" s="1075">
        <f>H35+H28+H21</f>
        <v>9357315.4889168739</v>
      </c>
      <c r="I37" s="76"/>
      <c r="K37" s="1075">
        <f>K21+K28+K35</f>
        <v>8617141.1541175395</v>
      </c>
    </row>
    <row r="38" spans="1:11" ht="15.75" thickTop="1">
      <c r="D38" s="216"/>
      <c r="E38" s="216"/>
      <c r="F38" s="57"/>
      <c r="G38" s="76"/>
      <c r="H38" s="57"/>
      <c r="I38" s="57"/>
    </row>
    <row r="39" spans="1:11">
      <c r="A39" s="213"/>
      <c r="F39" s="57"/>
      <c r="G39" s="76"/>
      <c r="H39" s="57"/>
      <c r="I39" s="57"/>
    </row>
    <row r="40" spans="1:11">
      <c r="D40" s="216"/>
      <c r="E40" s="216"/>
      <c r="F40" s="57"/>
      <c r="G40" s="76"/>
    </row>
    <row r="41" spans="1:11">
      <c r="C41" s="57"/>
      <c r="F41" s="57"/>
      <c r="G41" s="76"/>
    </row>
    <row r="42" spans="1:11">
      <c r="D42" s="216"/>
      <c r="E42" s="216"/>
      <c r="F42" s="57"/>
      <c r="G42" s="76"/>
    </row>
    <row r="43" spans="1:11">
      <c r="F43" s="57"/>
      <c r="G43" s="76"/>
    </row>
    <row r="44" spans="1:11">
      <c r="D44" s="216"/>
      <c r="E44" s="216"/>
      <c r="F44" s="57"/>
      <c r="G44" s="76"/>
    </row>
    <row r="45" spans="1:11">
      <c r="F45" s="57"/>
      <c r="G45" s="76"/>
    </row>
    <row r="46" spans="1:11">
      <c r="D46" s="216"/>
      <c r="E46" s="216"/>
      <c r="F46" s="57"/>
      <c r="G46" s="76"/>
    </row>
    <row r="47" spans="1:11">
      <c r="F47" s="57"/>
      <c r="G47" s="76"/>
    </row>
  </sheetData>
  <mergeCells count="6">
    <mergeCell ref="C10:F10"/>
    <mergeCell ref="H10:K10"/>
    <mergeCell ref="A1:K1"/>
    <mergeCell ref="A2:K2"/>
    <mergeCell ref="A3:K3"/>
    <mergeCell ref="A4:K4"/>
  </mergeCells>
  <phoneticPr fontId="21" type="noConversion"/>
  <pageMargins left="0.56999999999999995" right="0.59" top="0.85" bottom="0.5" header="0.5" footer="0.5"/>
  <pageSetup scale="68" orientation="landscape" verticalDpi="300" r:id="rId1"/>
  <headerFooter alignWithMargins="0">
    <oddFooter>&amp;RSchedule &amp;A
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4">
    <pageSetUpPr fitToPage="1"/>
  </sheetPr>
  <dimension ref="A1:K41"/>
  <sheetViews>
    <sheetView view="pageBreakPreview" zoomScale="80" zoomScaleNormal="100" zoomScaleSheetLayoutView="80" workbookViewId="0">
      <selection sqref="A1:H1"/>
    </sheetView>
  </sheetViews>
  <sheetFormatPr defaultColWidth="8.44140625" defaultRowHeight="15"/>
  <cols>
    <col min="1" max="1" width="6.6640625" style="36" customWidth="1"/>
    <col min="2" max="2" width="34.109375" style="36" customWidth="1"/>
    <col min="3" max="3" width="3.88671875" style="36" customWidth="1"/>
    <col min="4" max="4" width="13.109375" style="36" customWidth="1"/>
    <col min="5" max="5" width="4.33203125" style="36" customWidth="1"/>
    <col min="6" max="6" width="14.44140625" style="36" customWidth="1"/>
    <col min="7" max="7" width="3.88671875" style="36" customWidth="1"/>
    <col min="8" max="8" width="13.109375" style="36" customWidth="1"/>
    <col min="9" max="9" width="6.6640625" style="36" customWidth="1"/>
    <col min="10" max="10" width="7.5546875" style="36" customWidth="1"/>
    <col min="11" max="11" width="3.33203125" style="36" customWidth="1"/>
    <col min="12" max="12" width="11.88671875" style="36" customWidth="1"/>
    <col min="13" max="13" width="3.33203125" style="36" customWidth="1"/>
    <col min="14" max="14" width="14.44140625" style="36" customWidth="1"/>
    <col min="15" max="16384" width="8.44140625" style="36"/>
  </cols>
  <sheetData>
    <row r="1" spans="1:11" s="1" customFormat="1">
      <c r="A1" s="1270" t="str">
        <f>'Table of Contents'!A1:C1</f>
        <v>Atmos Energy Corporation, Kentucky/Mid-States Division</v>
      </c>
      <c r="B1" s="1270"/>
      <c r="C1" s="1270"/>
      <c r="D1" s="1270"/>
      <c r="E1" s="1270"/>
      <c r="F1" s="1270"/>
      <c r="G1" s="1270"/>
      <c r="H1" s="1270"/>
    </row>
    <row r="2" spans="1:11" s="1" customFormat="1">
      <c r="A2" s="1270" t="str">
        <f>'Table of Contents'!A2:C2</f>
        <v>Kentucky Jurisdiction Case No. 2021-00214</v>
      </c>
      <c r="B2" s="1270"/>
      <c r="C2" s="1270"/>
      <c r="D2" s="1270"/>
      <c r="E2" s="1270"/>
      <c r="F2" s="1270"/>
      <c r="G2" s="1270"/>
      <c r="H2" s="1270"/>
    </row>
    <row r="3" spans="1:11" s="1" customFormat="1">
      <c r="A3" s="1271" t="s">
        <v>1146</v>
      </c>
      <c r="B3" s="1271"/>
      <c r="C3" s="1271"/>
      <c r="D3" s="1271"/>
      <c r="E3" s="1271"/>
      <c r="F3" s="1271"/>
      <c r="G3" s="1271"/>
      <c r="H3" s="1271"/>
    </row>
    <row r="4" spans="1:11">
      <c r="A4" s="1270" t="str">
        <f>'B.1 B'!A4</f>
        <v>Base Period: Twelve Months Ended September 30, 2021</v>
      </c>
      <c r="B4" s="1270"/>
      <c r="C4" s="1270"/>
      <c r="D4" s="1270"/>
      <c r="E4" s="1270"/>
      <c r="F4" s="1270"/>
      <c r="G4" s="1270"/>
      <c r="H4" s="1270"/>
    </row>
    <row r="7" spans="1:11">
      <c r="A7" s="82" t="str">
        <f>'B.1 B'!A6</f>
        <v>Data:__X___Base Period______Forecasted Period</v>
      </c>
      <c r="H7" s="429" t="s">
        <v>1366</v>
      </c>
    </row>
    <row r="8" spans="1:11">
      <c r="A8" s="82" t="str">
        <f>'B.1 B'!A7</f>
        <v>Type of Filing:___X____Original________Updated ________Revised</v>
      </c>
      <c r="B8" s="4"/>
      <c r="H8" s="549" t="s">
        <v>700</v>
      </c>
    </row>
    <row r="9" spans="1:11">
      <c r="A9" s="1064" t="str">
        <f>'B.1 B'!A8</f>
        <v>Workpaper Reference No(s).</v>
      </c>
      <c r="B9" s="168"/>
      <c r="C9" s="168"/>
      <c r="D9" s="168"/>
      <c r="E9" s="168"/>
      <c r="F9" s="168"/>
      <c r="G9" s="168"/>
      <c r="H9" s="1058" t="str">
        <f>'B.4 B'!E8</f>
        <v>Witness: Christian</v>
      </c>
      <c r="I9" s="169"/>
    </row>
    <row r="10" spans="1:11">
      <c r="A10" s="166" t="s">
        <v>92</v>
      </c>
      <c r="D10" s="166" t="s">
        <v>484</v>
      </c>
      <c r="F10" s="166" t="s">
        <v>32</v>
      </c>
      <c r="H10" s="166" t="s">
        <v>96</v>
      </c>
      <c r="I10" s="169"/>
    </row>
    <row r="11" spans="1:11">
      <c r="A11" s="200" t="s">
        <v>98</v>
      </c>
      <c r="B11" s="200" t="s">
        <v>972</v>
      </c>
      <c r="C11" s="168"/>
      <c r="D11" s="200" t="s">
        <v>101</v>
      </c>
      <c r="E11" s="168"/>
      <c r="F11" s="200" t="s">
        <v>102</v>
      </c>
      <c r="G11" s="168"/>
      <c r="H11" s="200" t="s">
        <v>103</v>
      </c>
      <c r="I11" s="169"/>
    </row>
    <row r="12" spans="1:11">
      <c r="D12" s="166" t="s">
        <v>1076</v>
      </c>
      <c r="F12" s="166" t="s">
        <v>1077</v>
      </c>
      <c r="H12" s="166" t="s">
        <v>1078</v>
      </c>
      <c r="I12" s="169"/>
    </row>
    <row r="14" spans="1:11">
      <c r="A14" s="70">
        <v>1</v>
      </c>
      <c r="B14" s="159" t="s">
        <v>777</v>
      </c>
      <c r="D14" s="165"/>
      <c r="F14" s="270"/>
      <c r="H14" s="165"/>
      <c r="K14" s="165"/>
    </row>
    <row r="15" spans="1:11">
      <c r="A15" s="70"/>
      <c r="E15" s="165"/>
      <c r="F15" s="199"/>
      <c r="G15" s="165"/>
      <c r="H15" s="165"/>
      <c r="I15" s="165"/>
      <c r="K15" s="165"/>
    </row>
    <row r="16" spans="1:11">
      <c r="A16" s="91">
        <f>1+A14</f>
        <v>2</v>
      </c>
      <c r="B16" s="1076" t="str">
        <f>+'C.2'!C18</f>
        <v>Production O&amp;M Expense</v>
      </c>
      <c r="D16" s="1077">
        <f>+'C.2'!D18</f>
        <v>0</v>
      </c>
      <c r="F16" s="166" t="s">
        <v>1080</v>
      </c>
      <c r="H16" s="1077">
        <f>(D16*0.125)</f>
        <v>0</v>
      </c>
      <c r="K16" s="165"/>
    </row>
    <row r="17" spans="1:11">
      <c r="A17" s="70"/>
      <c r="B17" s="218"/>
      <c r="K17" s="165"/>
    </row>
    <row r="18" spans="1:11">
      <c r="A18" s="91">
        <f>1+A16</f>
        <v>3</v>
      </c>
      <c r="B18" s="1076" t="str">
        <f>+'C.2'!C19</f>
        <v>Storage O&amp;M Expense</v>
      </c>
      <c r="D18" s="98">
        <f>+'C.2'!D19</f>
        <v>742884.54297584889</v>
      </c>
      <c r="E18" s="165"/>
      <c r="F18" s="166" t="s">
        <v>1080</v>
      </c>
      <c r="G18" s="165"/>
      <c r="H18" s="98">
        <f>(D18*0.125)</f>
        <v>92860.567871981111</v>
      </c>
      <c r="I18" s="165"/>
      <c r="K18" s="165"/>
    </row>
    <row r="19" spans="1:11">
      <c r="A19" s="70"/>
      <c r="B19" s="218"/>
      <c r="E19" s="165"/>
      <c r="H19" s="165"/>
      <c r="I19" s="165"/>
      <c r="K19" s="165"/>
    </row>
    <row r="20" spans="1:11">
      <c r="A20" s="91">
        <f>1+A18</f>
        <v>4</v>
      </c>
      <c r="B20" s="1076" t="str">
        <f>+'C.2'!C20</f>
        <v>Transmission O&amp;M Expense</v>
      </c>
      <c r="D20" s="98">
        <f>+'C.2'!D20</f>
        <v>201245.43671156355</v>
      </c>
      <c r="E20" s="165"/>
      <c r="F20" s="166" t="s">
        <v>1080</v>
      </c>
      <c r="G20" s="165"/>
      <c r="H20" s="98">
        <f>(D20*0.125)</f>
        <v>25155.679588945444</v>
      </c>
      <c r="K20" s="165"/>
    </row>
    <row r="21" spans="1:11">
      <c r="A21" s="70"/>
      <c r="B21" s="218"/>
      <c r="E21" s="165"/>
      <c r="F21" s="199"/>
      <c r="G21" s="165"/>
      <c r="H21" s="165"/>
      <c r="I21" s="165"/>
      <c r="K21" s="165"/>
    </row>
    <row r="22" spans="1:11">
      <c r="A22" s="91">
        <f>1+A20</f>
        <v>5</v>
      </c>
      <c r="B22" s="1076" t="str">
        <f>+'C.2'!C21</f>
        <v>Distribution O&amp;M Expense</v>
      </c>
      <c r="D22" s="98">
        <f>+'C.2'!D21</f>
        <v>9060381.4914577212</v>
      </c>
      <c r="E22" s="165"/>
      <c r="F22" s="166" t="s">
        <v>1080</v>
      </c>
      <c r="G22" s="165"/>
      <c r="H22" s="98">
        <f>(D22*0.125)</f>
        <v>1132547.6864322152</v>
      </c>
      <c r="I22" s="165"/>
      <c r="K22" s="165"/>
    </row>
    <row r="23" spans="1:11">
      <c r="A23" s="70"/>
      <c r="B23" s="218"/>
      <c r="E23" s="165"/>
      <c r="F23" s="199"/>
      <c r="G23" s="165"/>
      <c r="H23" s="165"/>
      <c r="I23" s="165"/>
      <c r="K23" s="165"/>
    </row>
    <row r="24" spans="1:11">
      <c r="A24" s="91">
        <f>1+A22</f>
        <v>6</v>
      </c>
      <c r="B24" s="1078" t="str">
        <f>+'C.2'!C22</f>
        <v>Customer Accting. &amp; Collection</v>
      </c>
      <c r="D24" s="84">
        <f>+'C.2'!D22</f>
        <v>2888691.1579940091</v>
      </c>
      <c r="E24" s="165"/>
      <c r="F24" s="166" t="s">
        <v>1080</v>
      </c>
      <c r="G24" s="165"/>
      <c r="H24" s="98">
        <f>(D24*0.125)</f>
        <v>361086.39474925114</v>
      </c>
      <c r="I24" s="165"/>
      <c r="K24" s="165"/>
    </row>
    <row r="25" spans="1:11">
      <c r="A25" s="70"/>
      <c r="B25" s="218"/>
      <c r="E25" s="165"/>
      <c r="F25" s="199"/>
      <c r="G25" s="165"/>
      <c r="H25" s="165"/>
      <c r="I25" s="165"/>
      <c r="K25" s="165"/>
    </row>
    <row r="26" spans="1:11">
      <c r="A26" s="91">
        <f>1+A24</f>
        <v>7</v>
      </c>
      <c r="B26" s="1076" t="str">
        <f>+'C.2'!C23</f>
        <v>Customer Service &amp; Information</v>
      </c>
      <c r="D26" s="98">
        <f>+'C.2'!D23</f>
        <v>170525.99226331359</v>
      </c>
      <c r="E26" s="165"/>
      <c r="F26" s="166" t="s">
        <v>1080</v>
      </c>
      <c r="G26" s="165"/>
      <c r="H26" s="98">
        <f>(D26*0.125)</f>
        <v>21315.749032914198</v>
      </c>
      <c r="I26" s="165"/>
      <c r="K26" s="165"/>
    </row>
    <row r="27" spans="1:11">
      <c r="A27" s="70"/>
      <c r="B27" s="218"/>
      <c r="D27" s="165"/>
      <c r="E27" s="165"/>
      <c r="F27" s="199"/>
      <c r="G27" s="165"/>
      <c r="H27" s="165"/>
      <c r="I27" s="165"/>
      <c r="K27" s="165"/>
    </row>
    <row r="28" spans="1:11">
      <c r="A28" s="91">
        <f>1+A26</f>
        <v>8</v>
      </c>
      <c r="B28" s="1076" t="str">
        <f>+'C.2'!C24</f>
        <v>Sales Expense</v>
      </c>
      <c r="D28" s="98">
        <f>+'C.2'!D24</f>
        <v>323515.5802244044</v>
      </c>
      <c r="E28" s="165"/>
      <c r="F28" s="166" t="s">
        <v>1080</v>
      </c>
      <c r="G28" s="165"/>
      <c r="H28" s="98">
        <f>(D28*0.125)</f>
        <v>40439.44752805055</v>
      </c>
      <c r="I28" s="165"/>
      <c r="K28" s="165"/>
    </row>
    <row r="29" spans="1:11">
      <c r="A29" s="70"/>
      <c r="B29" s="218"/>
      <c r="D29" s="165"/>
      <c r="E29" s="165"/>
      <c r="F29" s="199"/>
      <c r="G29" s="165"/>
      <c r="H29" s="165"/>
      <c r="I29" s="165"/>
      <c r="K29" s="165"/>
    </row>
    <row r="30" spans="1:11">
      <c r="A30" s="91">
        <f>1+A28</f>
        <v>9</v>
      </c>
      <c r="B30" s="1076" t="str">
        <f>+'C.2'!C25</f>
        <v>Admin. &amp; General Expense</v>
      </c>
      <c r="D30" s="1079">
        <f>+'C.2'!D25</f>
        <v>17924415.234955449</v>
      </c>
      <c r="E30" s="165"/>
      <c r="F30" s="166" t="s">
        <v>1080</v>
      </c>
      <c r="G30" s="165"/>
      <c r="H30" s="1079">
        <f>(D30*0.125)</f>
        <v>2240551.9043694311</v>
      </c>
      <c r="I30" s="165"/>
      <c r="K30" s="165"/>
    </row>
    <row r="31" spans="1:11">
      <c r="A31" s="70"/>
      <c r="D31" s="165"/>
      <c r="E31" s="165"/>
      <c r="F31" s="199"/>
      <c r="G31" s="165"/>
      <c r="H31" s="165"/>
      <c r="I31" s="165"/>
      <c r="K31" s="165"/>
    </row>
    <row r="32" spans="1:11" ht="15.75" thickBot="1">
      <c r="A32" s="91">
        <f>1+A30</f>
        <v>10</v>
      </c>
      <c r="B32" s="159" t="s">
        <v>133</v>
      </c>
      <c r="C32" s="172"/>
      <c r="D32" s="1057">
        <f>SUM(D16:D30)</f>
        <v>31311659.436582312</v>
      </c>
      <c r="E32" s="165"/>
      <c r="G32" s="172"/>
      <c r="H32" s="1057">
        <f>+D32*0.125</f>
        <v>3913957.429572789</v>
      </c>
      <c r="I32" s="165"/>
      <c r="J32" s="84">
        <f>SUM(H16:H30)-H32</f>
        <v>0</v>
      </c>
      <c r="K32" s="165"/>
    </row>
    <row r="33" spans="2:11" ht="15.75" thickTop="1">
      <c r="E33" s="165"/>
      <c r="F33" s="199"/>
      <c r="G33" s="165"/>
      <c r="H33" s="165"/>
      <c r="I33" s="165"/>
      <c r="K33" s="165"/>
    </row>
    <row r="34" spans="2:11">
      <c r="E34" s="165"/>
      <c r="G34" s="165"/>
      <c r="H34" s="165"/>
      <c r="I34" s="165"/>
    </row>
    <row r="35" spans="2:11">
      <c r="B35" s="159"/>
      <c r="G35" s="165"/>
      <c r="H35" s="165"/>
      <c r="I35" s="165"/>
    </row>
    <row r="36" spans="2:11">
      <c r="B36" s="159"/>
      <c r="G36" s="165"/>
      <c r="H36" s="165"/>
      <c r="I36" s="165"/>
    </row>
    <row r="37" spans="2:11">
      <c r="B37" s="159"/>
      <c r="G37" s="165"/>
      <c r="H37" s="165"/>
      <c r="I37" s="165"/>
    </row>
    <row r="38" spans="2:11">
      <c r="G38" s="165"/>
      <c r="H38" s="165"/>
      <c r="I38" s="165"/>
    </row>
    <row r="39" spans="2:11">
      <c r="G39" s="165"/>
      <c r="H39" s="165"/>
      <c r="I39" s="165"/>
    </row>
    <row r="40" spans="2:11">
      <c r="G40" s="165"/>
      <c r="H40" s="165"/>
      <c r="I40" s="165"/>
    </row>
    <row r="41" spans="2:11">
      <c r="G41" s="165"/>
      <c r="H41" s="165"/>
      <c r="I41" s="165"/>
    </row>
  </sheetData>
  <mergeCells count="4">
    <mergeCell ref="A1:H1"/>
    <mergeCell ref="A2:H2"/>
    <mergeCell ref="A3:H3"/>
    <mergeCell ref="A4:H4"/>
  </mergeCells>
  <phoneticPr fontId="21" type="noConversion"/>
  <printOptions horizontalCentered="1"/>
  <pageMargins left="0.75" right="0.75" top="0.83" bottom="1.02" header="0.5" footer="0.5"/>
  <pageSetup scale="94" orientation="landscape" verticalDpi="300" r:id="rId1"/>
  <headerFooter alignWithMargins="0">
    <oddFooter>&amp;RSchedule &amp;A
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92">
    <pageSetUpPr fitToPage="1"/>
  </sheetPr>
  <dimension ref="A1:K46"/>
  <sheetViews>
    <sheetView view="pageBreakPreview" zoomScale="80" zoomScaleNormal="100" zoomScaleSheetLayoutView="80" workbookViewId="0">
      <selection sqref="A1:H1"/>
    </sheetView>
  </sheetViews>
  <sheetFormatPr defaultColWidth="8.44140625" defaultRowHeight="15"/>
  <cols>
    <col min="1" max="1" width="6.6640625" style="1" customWidth="1"/>
    <col min="2" max="2" width="34.109375" style="1" customWidth="1"/>
    <col min="3" max="3" width="4.44140625" style="1" customWidth="1"/>
    <col min="4" max="4" width="12.6640625" style="1" customWidth="1"/>
    <col min="5" max="5" width="4.6640625" style="1" customWidth="1"/>
    <col min="6" max="6" width="13.5546875" style="1" customWidth="1"/>
    <col min="7" max="7" width="3.21875" style="1" customWidth="1"/>
    <col min="8" max="8" width="14.44140625" style="1" customWidth="1"/>
    <col min="9" max="9" width="6.6640625" style="1" customWidth="1"/>
    <col min="10" max="10" width="7.5546875" style="1" customWidth="1"/>
    <col min="11" max="11" width="3.33203125" style="1" customWidth="1"/>
    <col min="12" max="12" width="11.88671875" style="1" customWidth="1"/>
    <col min="13" max="13" width="3.33203125" style="1" customWidth="1"/>
    <col min="14" max="14" width="14.44140625" style="1" customWidth="1"/>
    <col min="15" max="16384" width="8.44140625" style="1"/>
  </cols>
  <sheetData>
    <row r="1" spans="1:11">
      <c r="A1" s="1270" t="str">
        <f>'Table of Contents'!A1:C1</f>
        <v>Atmos Energy Corporation, Kentucky/Mid-States Division</v>
      </c>
      <c r="B1" s="1270"/>
      <c r="C1" s="1270"/>
      <c r="D1" s="1270"/>
      <c r="E1" s="1270"/>
      <c r="F1" s="1270"/>
      <c r="G1" s="1270"/>
      <c r="H1" s="1270"/>
    </row>
    <row r="2" spans="1:11">
      <c r="A2" s="1270" t="str">
        <f>'Table of Contents'!A2:C2</f>
        <v>Kentucky Jurisdiction Case No. 2021-00214</v>
      </c>
      <c r="B2" s="1270"/>
      <c r="C2" s="1270"/>
      <c r="D2" s="1270"/>
      <c r="E2" s="1270"/>
      <c r="F2" s="1270"/>
      <c r="G2" s="1270"/>
      <c r="H2" s="1270"/>
    </row>
    <row r="3" spans="1:11">
      <c r="A3" s="1271" t="s">
        <v>1146</v>
      </c>
      <c r="B3" s="1271"/>
      <c r="C3" s="1271"/>
      <c r="D3" s="1271"/>
      <c r="E3" s="1271"/>
      <c r="F3" s="1271"/>
      <c r="G3" s="1271"/>
      <c r="H3" s="1271"/>
    </row>
    <row r="4" spans="1:11">
      <c r="A4" s="1270" t="str">
        <f>'B.1 F '!A4</f>
        <v>Forecasted Test Period: Twelve Months Ended December 31, 2022</v>
      </c>
      <c r="B4" s="1270"/>
      <c r="C4" s="1270"/>
      <c r="D4" s="1270"/>
      <c r="E4" s="1270"/>
      <c r="F4" s="1270"/>
      <c r="G4" s="1270"/>
      <c r="H4" s="1270"/>
    </row>
    <row r="5" spans="1:11">
      <c r="A5" s="149"/>
      <c r="B5" s="149"/>
      <c r="C5" s="149"/>
      <c r="D5" s="149"/>
      <c r="E5" s="149"/>
      <c r="F5" s="149"/>
      <c r="G5" s="149"/>
      <c r="H5" s="149"/>
    </row>
    <row r="7" spans="1:11">
      <c r="A7" s="82" t="str">
        <f>'B.1 F '!A6</f>
        <v>Data:______Base Period__X___Forecasted Period</v>
      </c>
      <c r="H7" s="322" t="s">
        <v>1366</v>
      </c>
    </row>
    <row r="8" spans="1:11">
      <c r="A8" s="82" t="str">
        <f>'B.1 F '!A7</f>
        <v>Type of Filing:___X____Original________Updated ________Revised</v>
      </c>
      <c r="B8" s="4"/>
      <c r="H8" s="413" t="s">
        <v>701</v>
      </c>
    </row>
    <row r="9" spans="1:11">
      <c r="A9" s="1064" t="str">
        <f>'B.1 F '!A8</f>
        <v>Workpaper Reference No(s).</v>
      </c>
      <c r="B9" s="6"/>
      <c r="C9" s="6"/>
      <c r="D9" s="6"/>
      <c r="E9" s="6"/>
      <c r="F9" s="6"/>
      <c r="G9" s="6"/>
      <c r="H9" s="1058" t="str">
        <f>'B.4.2 B'!H9</f>
        <v>Witness: Christian</v>
      </c>
      <c r="I9" s="31"/>
    </row>
    <row r="10" spans="1:11">
      <c r="A10" s="2" t="s">
        <v>92</v>
      </c>
      <c r="D10" s="2" t="s">
        <v>484</v>
      </c>
      <c r="F10" s="2" t="s">
        <v>32</v>
      </c>
      <c r="H10" s="2" t="s">
        <v>96</v>
      </c>
      <c r="I10" s="31"/>
    </row>
    <row r="11" spans="1:11">
      <c r="A11" s="28" t="s">
        <v>98</v>
      </c>
      <c r="B11" s="28" t="s">
        <v>972</v>
      </c>
      <c r="C11" s="29"/>
      <c r="D11" s="28" t="s">
        <v>101</v>
      </c>
      <c r="E11" s="29"/>
      <c r="F11" s="28" t="s">
        <v>102</v>
      </c>
      <c r="G11" s="29"/>
      <c r="H11" s="28" t="s">
        <v>103</v>
      </c>
      <c r="I11" s="31"/>
    </row>
    <row r="12" spans="1:11">
      <c r="A12" s="30"/>
      <c r="B12" s="30"/>
      <c r="C12" s="31"/>
      <c r="D12" s="30" t="s">
        <v>1076</v>
      </c>
      <c r="E12" s="31"/>
      <c r="F12" s="30" t="s">
        <v>1077</v>
      </c>
      <c r="G12" s="31"/>
      <c r="H12" s="30" t="s">
        <v>1078</v>
      </c>
      <c r="I12" s="31"/>
    </row>
    <row r="13" spans="1:11">
      <c r="I13" s="31"/>
    </row>
    <row r="14" spans="1:11">
      <c r="A14" s="48">
        <v>1</v>
      </c>
      <c r="B14" s="4" t="s">
        <v>777</v>
      </c>
      <c r="D14" s="10"/>
      <c r="H14" s="10"/>
      <c r="I14" s="31"/>
      <c r="K14" s="10"/>
    </row>
    <row r="15" spans="1:11">
      <c r="A15" s="48"/>
      <c r="E15" s="10"/>
      <c r="F15" s="11"/>
      <c r="G15" s="10"/>
      <c r="H15" s="10"/>
      <c r="I15" s="38"/>
      <c r="K15" s="10"/>
    </row>
    <row r="16" spans="1:11">
      <c r="A16" s="91">
        <f>1+A14</f>
        <v>2</v>
      </c>
      <c r="B16" s="1076" t="str">
        <f>+'C.2'!C18</f>
        <v>Production O&amp;M Expense</v>
      </c>
      <c r="D16" s="1077">
        <f>+'C.2'!O18</f>
        <v>0</v>
      </c>
      <c r="F16" s="2" t="s">
        <v>1080</v>
      </c>
      <c r="H16" s="1077">
        <f>(D16*0.125)</f>
        <v>0</v>
      </c>
    </row>
    <row r="17" spans="1:11">
      <c r="A17" s="48"/>
      <c r="B17" s="139"/>
    </row>
    <row r="18" spans="1:11">
      <c r="A18" s="91">
        <f>1+A16</f>
        <v>3</v>
      </c>
      <c r="B18" s="1076" t="str">
        <f>+'C.2'!C19</f>
        <v>Storage O&amp;M Expense</v>
      </c>
      <c r="D18" s="98">
        <f>+'C.2'!O19</f>
        <v>755657.54861435352</v>
      </c>
      <c r="E18" s="10"/>
      <c r="F18" s="2" t="s">
        <v>1080</v>
      </c>
      <c r="G18" s="10"/>
      <c r="H18" s="98">
        <f>(D18*0.125)</f>
        <v>94457.19357679419</v>
      </c>
      <c r="I18" s="10"/>
      <c r="K18" s="10"/>
    </row>
    <row r="19" spans="1:11">
      <c r="A19" s="48"/>
      <c r="B19" s="139"/>
      <c r="E19" s="10"/>
      <c r="H19" s="10"/>
      <c r="I19" s="10"/>
      <c r="K19" s="10"/>
    </row>
    <row r="20" spans="1:11">
      <c r="A20" s="91">
        <f>1+A18</f>
        <v>4</v>
      </c>
      <c r="B20" s="1076" t="str">
        <f>+'C.2'!C20</f>
        <v>Transmission O&amp;M Expense</v>
      </c>
      <c r="D20" s="98">
        <f>+'C.2'!O20</f>
        <v>206350.34876901674</v>
      </c>
      <c r="E20" s="10"/>
      <c r="F20" s="2" t="s">
        <v>1080</v>
      </c>
      <c r="G20" s="10"/>
      <c r="H20" s="98">
        <f>(D20*0.125)</f>
        <v>25793.793596127092</v>
      </c>
      <c r="K20" s="10"/>
    </row>
    <row r="21" spans="1:11">
      <c r="A21" s="48"/>
      <c r="B21" s="139"/>
      <c r="E21" s="10"/>
      <c r="F21" s="11"/>
      <c r="G21" s="10"/>
      <c r="H21" s="10"/>
      <c r="I21" s="10"/>
      <c r="K21" s="10"/>
    </row>
    <row r="22" spans="1:11">
      <c r="A22" s="91">
        <f>1+A20</f>
        <v>5</v>
      </c>
      <c r="B22" s="1076" t="str">
        <f>+'C.2'!C21</f>
        <v>Distribution O&amp;M Expense</v>
      </c>
      <c r="D22" s="98">
        <f>+'C.2'!O21</f>
        <v>9199699.3907355051</v>
      </c>
      <c r="E22" s="10"/>
      <c r="F22" s="2" t="s">
        <v>1080</v>
      </c>
      <c r="G22" s="10"/>
      <c r="H22" s="98">
        <f>(D22*0.125)</f>
        <v>1149962.4238419381</v>
      </c>
      <c r="I22" s="10"/>
      <c r="K22" s="10"/>
    </row>
    <row r="23" spans="1:11">
      <c r="A23" s="48"/>
      <c r="B23" s="139"/>
      <c r="E23" s="10"/>
      <c r="F23" s="11"/>
      <c r="G23" s="10"/>
      <c r="H23" s="10"/>
      <c r="I23" s="10"/>
      <c r="K23" s="10"/>
    </row>
    <row r="24" spans="1:11">
      <c r="A24" s="91">
        <f>1+A22</f>
        <v>6</v>
      </c>
      <c r="B24" s="1078" t="str">
        <f>+'C.2'!C22</f>
        <v>Customer Accting. &amp; Collection</v>
      </c>
      <c r="D24" s="84">
        <f>+'C.2'!O22</f>
        <v>2399512.7759451522</v>
      </c>
      <c r="E24" s="10"/>
      <c r="F24" s="2" t="s">
        <v>1080</v>
      </c>
      <c r="G24" s="10"/>
      <c r="H24" s="98">
        <f>(D24*0.125)</f>
        <v>299939.09699314402</v>
      </c>
      <c r="I24" s="10"/>
      <c r="K24" s="10"/>
    </row>
    <row r="25" spans="1:11">
      <c r="A25" s="48"/>
      <c r="B25" s="139"/>
      <c r="E25" s="10"/>
      <c r="F25" s="11"/>
      <c r="G25" s="10"/>
      <c r="H25" s="10"/>
      <c r="I25" s="10"/>
      <c r="K25" s="10"/>
    </row>
    <row r="26" spans="1:11">
      <c r="A26" s="91">
        <f>1+A24</f>
        <v>7</v>
      </c>
      <c r="B26" s="1076" t="str">
        <f>+'C.2'!C23</f>
        <v>Customer Service &amp; Information</v>
      </c>
      <c r="D26" s="98">
        <f>+'C.2'!O23</f>
        <v>175131.3105771456</v>
      </c>
      <c r="E26" s="10"/>
      <c r="F26" s="2" t="s">
        <v>1080</v>
      </c>
      <c r="G26" s="10"/>
      <c r="H26" s="98">
        <f>(D26*0.125)</f>
        <v>21891.4138221432</v>
      </c>
      <c r="I26" s="10"/>
      <c r="K26" s="10"/>
    </row>
    <row r="27" spans="1:11">
      <c r="A27" s="48"/>
      <c r="B27" s="139"/>
      <c r="D27" s="10"/>
      <c r="E27" s="10"/>
      <c r="F27" s="11"/>
      <c r="G27" s="10"/>
      <c r="H27" s="10"/>
      <c r="I27" s="10"/>
      <c r="K27" s="10"/>
    </row>
    <row r="28" spans="1:11">
      <c r="A28" s="91">
        <f>1+A26</f>
        <v>8</v>
      </c>
      <c r="B28" s="1076" t="str">
        <f>+'C.2'!C24</f>
        <v>Sales Expense</v>
      </c>
      <c r="D28" s="98">
        <f>+'C.2'!O24</f>
        <v>155124.60857839306</v>
      </c>
      <c r="E28" s="10"/>
      <c r="F28" s="2" t="s">
        <v>1080</v>
      </c>
      <c r="G28" s="10"/>
      <c r="H28" s="98">
        <f>(D28*0.125)</f>
        <v>19390.576072299133</v>
      </c>
      <c r="I28" s="10"/>
      <c r="K28" s="10"/>
    </row>
    <row r="29" spans="1:11">
      <c r="A29" s="48"/>
      <c r="B29" s="139"/>
      <c r="D29" s="10"/>
      <c r="E29" s="10"/>
      <c r="F29" s="11"/>
      <c r="G29" s="10"/>
      <c r="H29" s="10"/>
      <c r="I29" s="10"/>
      <c r="K29" s="10"/>
    </row>
    <row r="30" spans="1:11">
      <c r="A30" s="91">
        <f>1+A28</f>
        <v>9</v>
      </c>
      <c r="B30" s="1076" t="str">
        <f>+'C.2'!C25</f>
        <v>Admin. &amp; General Expense</v>
      </c>
      <c r="D30" s="1079">
        <f>+'C.2'!O25</f>
        <v>16155959.42628119</v>
      </c>
      <c r="E30" s="10"/>
      <c r="F30" s="2" t="s">
        <v>1080</v>
      </c>
      <c r="G30" s="10"/>
      <c r="H30" s="1079">
        <f>(D30*0.125)</f>
        <v>2019494.9282851487</v>
      </c>
      <c r="I30" s="10"/>
      <c r="K30" s="10"/>
    </row>
    <row r="31" spans="1:11">
      <c r="A31" s="48"/>
      <c r="D31" s="10"/>
      <c r="E31" s="10"/>
      <c r="F31" s="11"/>
      <c r="G31" s="10"/>
      <c r="H31" s="10"/>
      <c r="I31" s="10"/>
      <c r="K31" s="10"/>
    </row>
    <row r="32" spans="1:11" ht="15.75" thickBot="1">
      <c r="A32" s="91">
        <f>1+A30</f>
        <v>10</v>
      </c>
      <c r="B32" s="4" t="s">
        <v>133</v>
      </c>
      <c r="C32" s="73"/>
      <c r="D32" s="1057">
        <f>SUM(D16:D30)</f>
        <v>29047435.409500755</v>
      </c>
      <c r="E32" s="10"/>
      <c r="G32" s="73"/>
      <c r="H32" s="1057">
        <f>+D32*0.125</f>
        <v>3630929.4261875944</v>
      </c>
      <c r="I32" s="10"/>
      <c r="K32" s="10"/>
    </row>
    <row r="33" spans="1:11" ht="15.75" thickTop="1">
      <c r="E33" s="10"/>
      <c r="F33" s="11"/>
      <c r="G33" s="10"/>
      <c r="H33" s="10"/>
      <c r="I33" s="10"/>
      <c r="K33" s="10"/>
    </row>
    <row r="34" spans="1:11">
      <c r="E34" s="10"/>
      <c r="G34" s="10"/>
      <c r="H34" s="65"/>
      <c r="I34" s="10"/>
      <c r="K34" s="10"/>
    </row>
    <row r="35" spans="1:11">
      <c r="E35" s="10"/>
      <c r="F35" s="11"/>
      <c r="G35" s="10"/>
      <c r="H35" s="10"/>
      <c r="I35" s="10"/>
      <c r="K35" s="10"/>
    </row>
    <row r="36" spans="1:11">
      <c r="E36" s="10"/>
      <c r="G36" s="10"/>
      <c r="H36" s="10"/>
      <c r="I36" s="10"/>
    </row>
    <row r="37" spans="1:11">
      <c r="E37" s="10"/>
      <c r="G37" s="10"/>
      <c r="H37" s="10"/>
      <c r="I37" s="10"/>
      <c r="K37" s="10"/>
    </row>
    <row r="38" spans="1:11">
      <c r="E38" s="10"/>
      <c r="G38" s="10"/>
      <c r="H38" s="36"/>
      <c r="I38" s="10"/>
    </row>
    <row r="39" spans="1:11">
      <c r="A39" s="4"/>
      <c r="B39" s="4"/>
      <c r="G39" s="10"/>
      <c r="H39" s="10"/>
      <c r="I39" s="10"/>
    </row>
    <row r="40" spans="1:11">
      <c r="B40" s="4"/>
      <c r="G40" s="10"/>
      <c r="H40" s="10"/>
      <c r="I40" s="10"/>
    </row>
    <row r="41" spans="1:11">
      <c r="B41" s="4"/>
      <c r="G41" s="10"/>
      <c r="H41" s="10"/>
      <c r="I41" s="10"/>
    </row>
    <row r="42" spans="1:11">
      <c r="B42" s="4"/>
      <c r="G42" s="10"/>
      <c r="H42" s="10"/>
      <c r="I42" s="10"/>
    </row>
    <row r="43" spans="1:11">
      <c r="G43" s="10"/>
      <c r="H43" s="10"/>
      <c r="I43" s="10"/>
    </row>
    <row r="44" spans="1:11">
      <c r="G44" s="10"/>
      <c r="H44" s="10"/>
      <c r="I44" s="10"/>
    </row>
    <row r="45" spans="1:11">
      <c r="G45" s="10"/>
      <c r="H45" s="10"/>
      <c r="I45" s="10"/>
    </row>
    <row r="46" spans="1:11">
      <c r="G46" s="10"/>
      <c r="H46" s="10"/>
      <c r="I46" s="10"/>
    </row>
  </sheetData>
  <mergeCells count="4">
    <mergeCell ref="A1:H1"/>
    <mergeCell ref="A2:H2"/>
    <mergeCell ref="A3:H3"/>
    <mergeCell ref="A4:H4"/>
  </mergeCells>
  <phoneticPr fontId="21" type="noConversion"/>
  <printOptions horizontalCentered="1"/>
  <pageMargins left="0.75" right="0.75" top="0.86" bottom="1.18" header="0.5" footer="0.45"/>
  <pageSetup scale="94" orientation="landscape" verticalDpi="300" r:id="rId1"/>
  <headerFooter alignWithMargins="0">
    <oddFooter>&amp;RSchedule &amp;A
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58">
    <pageSetUpPr fitToPage="1"/>
  </sheetPr>
  <dimension ref="A1:Q70"/>
  <sheetViews>
    <sheetView view="pageBreakPreview" zoomScale="80" zoomScaleNormal="100" zoomScaleSheetLayoutView="80" workbookViewId="0">
      <selection sqref="A1:L1"/>
    </sheetView>
  </sheetViews>
  <sheetFormatPr defaultColWidth="8.44140625" defaultRowHeight="15"/>
  <cols>
    <col min="1" max="1" width="5.77734375" style="1" customWidth="1"/>
    <col min="2" max="2" width="4.21875" style="1" customWidth="1"/>
    <col min="3" max="3" width="49.33203125" style="1" customWidth="1"/>
    <col min="4" max="4" width="14.77734375" style="1" bestFit="1" customWidth="1"/>
    <col min="5" max="5" width="11.77734375" style="48" bestFit="1" customWidth="1"/>
    <col min="6" max="6" width="11.77734375" style="48" customWidth="1"/>
    <col min="7" max="7" width="14" style="1" customWidth="1"/>
    <col min="8" max="8" width="4.33203125" style="66" customWidth="1"/>
    <col min="9" max="9" width="13.109375" style="1" customWidth="1"/>
    <col min="10" max="11" width="11.88671875" style="48" customWidth="1"/>
    <col min="12" max="12" width="18.33203125" style="1" customWidth="1"/>
    <col min="13" max="16384" width="8.44140625" style="1"/>
  </cols>
  <sheetData>
    <row r="1" spans="1:12">
      <c r="A1" s="1260" t="str">
        <f>Allocation!A1</f>
        <v>Atmos Energy Corporation, Kentucky/Mid-States Division</v>
      </c>
      <c r="B1" s="1260"/>
      <c r="C1" s="1260"/>
      <c r="D1" s="1260"/>
      <c r="E1" s="1260"/>
      <c r="F1" s="1260"/>
      <c r="G1" s="1260"/>
      <c r="H1" s="1260"/>
      <c r="I1" s="1260"/>
      <c r="J1" s="1260"/>
      <c r="K1" s="1260"/>
      <c r="L1" s="1260"/>
    </row>
    <row r="2" spans="1:12">
      <c r="A2" s="1260" t="str">
        <f>Allocation!A2</f>
        <v>Kentucky Jurisdiction Case No. 2021-00214</v>
      </c>
      <c r="B2" s="1260"/>
      <c r="C2" s="1260"/>
      <c r="D2" s="1260"/>
      <c r="E2" s="1260"/>
      <c r="F2" s="1260"/>
      <c r="G2" s="1260"/>
      <c r="H2" s="1260"/>
      <c r="I2" s="1260"/>
      <c r="J2" s="1260"/>
      <c r="K2" s="1260"/>
      <c r="L2" s="1260"/>
    </row>
    <row r="3" spans="1:12">
      <c r="A3" s="1261" t="s">
        <v>506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</row>
    <row r="4" spans="1:12">
      <c r="A4" s="1260" t="str">
        <f>'B.1 B'!A4</f>
        <v>Base Period: Twelve Months Ended September 30, 2021</v>
      </c>
      <c r="B4" s="1260"/>
      <c r="C4" s="1260"/>
      <c r="D4" s="1260"/>
      <c r="E4" s="1260"/>
      <c r="F4" s="1260"/>
      <c r="G4" s="1260"/>
      <c r="H4" s="1260"/>
      <c r="I4" s="1260"/>
      <c r="J4" s="1260"/>
      <c r="K4" s="1260"/>
      <c r="L4" s="1260"/>
    </row>
    <row r="5" spans="1:12">
      <c r="A5" s="27"/>
      <c r="B5" s="26"/>
      <c r="C5" s="26"/>
      <c r="D5" s="26"/>
      <c r="G5" s="26"/>
      <c r="H5" s="317"/>
      <c r="I5" s="26"/>
    </row>
    <row r="6" spans="1:12" ht="15.75">
      <c r="A6" s="42" t="s">
        <v>781</v>
      </c>
      <c r="B6" s="42"/>
      <c r="C6" s="31"/>
      <c r="D6" s="478"/>
      <c r="L6" s="322" t="s">
        <v>1367</v>
      </c>
    </row>
    <row r="7" spans="1:12">
      <c r="A7" s="42" t="s">
        <v>1103</v>
      </c>
      <c r="B7" s="31"/>
      <c r="C7" s="42"/>
      <c r="L7" s="322" t="s">
        <v>702</v>
      </c>
    </row>
    <row r="8" spans="1:12">
      <c r="A8" s="42" t="s">
        <v>423</v>
      </c>
      <c r="B8" s="31"/>
      <c r="C8" s="31"/>
      <c r="D8" s="31"/>
      <c r="E8" s="193"/>
      <c r="F8" s="193"/>
      <c r="G8" s="31"/>
      <c r="I8" s="31"/>
      <c r="J8" s="193"/>
      <c r="K8" s="193"/>
      <c r="L8" s="452" t="s">
        <v>1620</v>
      </c>
    </row>
    <row r="9" spans="1:12">
      <c r="A9" s="219"/>
      <c r="B9" s="53"/>
      <c r="C9" s="53"/>
      <c r="D9" s="407"/>
      <c r="E9" s="297" t="s">
        <v>13</v>
      </c>
      <c r="F9" s="298" t="s">
        <v>11</v>
      </c>
      <c r="G9" s="408" t="s">
        <v>96</v>
      </c>
      <c r="H9" s="67"/>
      <c r="I9" s="410"/>
      <c r="J9" s="297" t="s">
        <v>13</v>
      </c>
      <c r="K9" s="298" t="s">
        <v>11</v>
      </c>
      <c r="L9" s="333"/>
    </row>
    <row r="10" spans="1:12">
      <c r="A10" s="294" t="s">
        <v>92</v>
      </c>
      <c r="B10" s="30"/>
      <c r="C10" s="31"/>
      <c r="D10" s="295"/>
      <c r="E10" s="30" t="s">
        <v>14</v>
      </c>
      <c r="F10" s="67" t="s">
        <v>589</v>
      </c>
      <c r="G10" s="291" t="s">
        <v>1147</v>
      </c>
      <c r="H10" s="67"/>
      <c r="I10" s="294" t="s">
        <v>91</v>
      </c>
      <c r="J10" s="30" t="s">
        <v>14</v>
      </c>
      <c r="K10" s="67" t="s">
        <v>589</v>
      </c>
      <c r="L10" s="411" t="s">
        <v>12</v>
      </c>
    </row>
    <row r="11" spans="1:12">
      <c r="A11" s="292" t="s">
        <v>98</v>
      </c>
      <c r="B11" s="28"/>
      <c r="C11" s="50" t="s">
        <v>336</v>
      </c>
      <c r="D11" s="409" t="s">
        <v>1040</v>
      </c>
      <c r="E11" s="163" t="s">
        <v>622</v>
      </c>
      <c r="F11" s="163" t="s">
        <v>622</v>
      </c>
      <c r="G11" s="293" t="s">
        <v>104</v>
      </c>
      <c r="H11" s="67"/>
      <c r="I11" s="292" t="s">
        <v>97</v>
      </c>
      <c r="J11" s="163" t="s">
        <v>622</v>
      </c>
      <c r="K11" s="163" t="s">
        <v>622</v>
      </c>
      <c r="L11" s="412" t="s">
        <v>103</v>
      </c>
    </row>
    <row r="12" spans="1:12" ht="15.75">
      <c r="B12" s="12" t="s">
        <v>212</v>
      </c>
      <c r="G12" s="73"/>
    </row>
    <row r="13" spans="1:12">
      <c r="A13" s="2">
        <v>1</v>
      </c>
      <c r="C13" s="16" t="s">
        <v>766</v>
      </c>
      <c r="D13" s="275">
        <f>'WP B.5 B'!P13</f>
        <v>16554815.215349402</v>
      </c>
      <c r="E13" s="403">
        <v>1</v>
      </c>
      <c r="F13" s="403">
        <v>1</v>
      </c>
      <c r="G13" s="275">
        <f>D13*E13*F13</f>
        <v>16554815.215349402</v>
      </c>
      <c r="H13" s="69"/>
      <c r="I13" s="275">
        <f>'WP B.5 B'!Q13</f>
        <v>14656074.688554559</v>
      </c>
      <c r="J13" s="403">
        <v>1</v>
      </c>
      <c r="K13" s="403">
        <v>1</v>
      </c>
      <c r="L13" s="275">
        <f>I13*J13*K13</f>
        <v>14656074.688554559</v>
      </c>
    </row>
    <row r="14" spans="1:12" ht="14.25" customHeight="1">
      <c r="A14" s="2">
        <v>2</v>
      </c>
      <c r="B14" s="320"/>
      <c r="C14" s="4"/>
      <c r="D14" s="69"/>
      <c r="E14" s="403"/>
      <c r="F14" s="403"/>
      <c r="G14" s="69"/>
      <c r="H14" s="69"/>
      <c r="I14" s="69"/>
      <c r="J14" s="405"/>
      <c r="K14" s="405"/>
      <c r="L14" s="69"/>
    </row>
    <row r="15" spans="1:12">
      <c r="A15" s="2">
        <v>3</v>
      </c>
      <c r="C15" s="16" t="s">
        <v>669</v>
      </c>
      <c r="D15" s="100">
        <f>'WP B.5 B'!P15</f>
        <v>-109048871.95728961</v>
      </c>
      <c r="E15" s="1080">
        <f>$E$13</f>
        <v>1</v>
      </c>
      <c r="F15" s="1080">
        <f>$E$13</f>
        <v>1</v>
      </c>
      <c r="G15" s="100">
        <f>D15*E15*F15</f>
        <v>-109048871.95728961</v>
      </c>
      <c r="H15" s="69"/>
      <c r="I15" s="100">
        <f>'WP B.5 B'!Q15</f>
        <v>-105519941.39061175</v>
      </c>
      <c r="J15" s="1080">
        <f>$E$13</f>
        <v>1</v>
      </c>
      <c r="K15" s="1080">
        <f>$E$13</f>
        <v>1</v>
      </c>
      <c r="L15" s="100">
        <f>I15*J15*K15</f>
        <v>-105519941.39061175</v>
      </c>
    </row>
    <row r="16" spans="1:12" ht="14.25" customHeight="1">
      <c r="A16" s="2">
        <v>4</v>
      </c>
      <c r="B16" s="320"/>
      <c r="C16" s="4"/>
      <c r="D16" s="69"/>
      <c r="E16" s="403"/>
      <c r="F16" s="403"/>
      <c r="G16" s="69"/>
      <c r="H16" s="69"/>
      <c r="I16" s="69"/>
      <c r="J16" s="405"/>
      <c r="K16" s="405"/>
      <c r="L16" s="69"/>
    </row>
    <row r="17" spans="1:17">
      <c r="A17" s="2">
        <v>5</v>
      </c>
      <c r="C17" s="16" t="s">
        <v>670</v>
      </c>
      <c r="D17" s="100">
        <f>'WP B.5 B'!P17</f>
        <v>-407942</v>
      </c>
      <c r="E17" s="1080">
        <f>$E$13</f>
        <v>1</v>
      </c>
      <c r="F17" s="1080">
        <f>$E$13</f>
        <v>1</v>
      </c>
      <c r="G17" s="100">
        <f>D17*E17*F17</f>
        <v>-407942</v>
      </c>
      <c r="H17" s="69"/>
      <c r="I17" s="100">
        <f>'WP B.5 B'!Q17</f>
        <v>-351789.84615384613</v>
      </c>
      <c r="J17" s="1080">
        <f>$E$13</f>
        <v>1</v>
      </c>
      <c r="K17" s="1080">
        <f>$E$13</f>
        <v>1</v>
      </c>
      <c r="L17" s="100">
        <f>I17*J17*K17</f>
        <v>-351789.84615384613</v>
      </c>
    </row>
    <row r="18" spans="1:17" ht="14.25" customHeight="1">
      <c r="A18" s="2">
        <v>6</v>
      </c>
      <c r="B18" s="320"/>
      <c r="C18" s="4"/>
      <c r="D18" s="69"/>
      <c r="E18" s="19"/>
      <c r="F18" s="19"/>
      <c r="G18" s="69"/>
      <c r="H18" s="69"/>
      <c r="I18" s="69"/>
      <c r="J18" s="68"/>
      <c r="K18" s="68"/>
      <c r="L18" s="69"/>
    </row>
    <row r="19" spans="1:17">
      <c r="A19" s="2">
        <v>7</v>
      </c>
      <c r="C19" s="20" t="s">
        <v>31</v>
      </c>
      <c r="D19" s="1081">
        <f>SUM(D13:D17)</f>
        <v>-92901998.7419402</v>
      </c>
      <c r="E19" s="19"/>
      <c r="F19" s="19"/>
      <c r="G19" s="1081">
        <f>SUM(G13:G17)</f>
        <v>-92901998.7419402</v>
      </c>
      <c r="I19" s="1081">
        <f>SUM(I13:I17)</f>
        <v>-91215656.548211038</v>
      </c>
      <c r="J19" s="193"/>
      <c r="K19" s="193"/>
      <c r="L19" s="1081">
        <f>SUM(L13:L17)</f>
        <v>-91215656.548211038</v>
      </c>
    </row>
    <row r="20" spans="1:17" ht="14.25" customHeight="1">
      <c r="A20" s="2">
        <v>8</v>
      </c>
      <c r="B20" s="320"/>
      <c r="C20" s="4"/>
      <c r="D20" s="69"/>
      <c r="E20" s="19"/>
      <c r="F20" s="19"/>
      <c r="G20" s="69"/>
      <c r="H20" s="69"/>
      <c r="I20" s="69"/>
      <c r="J20" s="68"/>
      <c r="K20" s="68"/>
      <c r="L20" s="69"/>
    </row>
    <row r="21" spans="1:17" ht="15.75">
      <c r="A21" s="2">
        <v>9</v>
      </c>
      <c r="B21" s="12" t="s">
        <v>213</v>
      </c>
    </row>
    <row r="22" spans="1:17">
      <c r="A22" s="2">
        <v>10</v>
      </c>
      <c r="C22" s="16" t="s">
        <v>668</v>
      </c>
      <c r="D22" s="275">
        <f>'WP B.5 B'!P22</f>
        <v>1003364749</v>
      </c>
      <c r="E22" s="340">
        <f>Allocation!G14</f>
        <v>9.8599999999999993E-2</v>
      </c>
      <c r="F22" s="340">
        <f>Allocation!H14</f>
        <v>0.50419999999999998</v>
      </c>
      <c r="G22" s="275">
        <f>D22*E22*F22</f>
        <v>49881395.535555877</v>
      </c>
      <c r="H22" s="69"/>
      <c r="I22" s="275">
        <f>'WP B.5 B'!Q22</f>
        <v>829026883.92307687</v>
      </c>
      <c r="J22" s="357">
        <f>E22</f>
        <v>9.8599999999999993E-2</v>
      </c>
      <c r="K22" s="357">
        <f>F22</f>
        <v>0.50419999999999998</v>
      </c>
      <c r="L22" s="275">
        <f>I22*J22*K22</f>
        <v>41214341.990577906</v>
      </c>
      <c r="P22" s="898">
        <f>E22*F22</f>
        <v>4.9714119999999994E-2</v>
      </c>
      <c r="Q22" s="898">
        <f>J22*K22</f>
        <v>4.9714119999999994E-2</v>
      </c>
    </row>
    <row r="23" spans="1:17" ht="14.25" customHeight="1">
      <c r="A23" s="2">
        <v>11</v>
      </c>
      <c r="B23" s="320"/>
      <c r="C23" s="4"/>
      <c r="D23" s="69"/>
      <c r="E23" s="19"/>
      <c r="F23" s="19"/>
      <c r="G23" s="69"/>
      <c r="H23" s="69"/>
      <c r="I23" s="69"/>
      <c r="J23" s="68"/>
      <c r="K23" s="68"/>
      <c r="L23" s="69"/>
      <c r="P23" s="660"/>
      <c r="Q23" s="661"/>
    </row>
    <row r="24" spans="1:17">
      <c r="A24" s="2">
        <v>12</v>
      </c>
      <c r="C24" s="16" t="s">
        <v>669</v>
      </c>
      <c r="D24" s="100">
        <f>'WP B.5 B'!P24</f>
        <v>-18468801.078901343</v>
      </c>
      <c r="E24" s="340">
        <f>$E$22</f>
        <v>9.8599999999999993E-2</v>
      </c>
      <c r="F24" s="340">
        <f>$F$22</f>
        <v>0.50419999999999998</v>
      </c>
      <c r="G24" s="100">
        <f>D24*E24*F24</f>
        <v>-918160.19309263071</v>
      </c>
      <c r="H24" s="69"/>
      <c r="I24" s="100">
        <f>'WP B.5 B'!Q24</f>
        <v>-18179358.643316999</v>
      </c>
      <c r="J24" s="357">
        <f>E24</f>
        <v>9.8599999999999993E-2</v>
      </c>
      <c r="K24" s="357">
        <f>F24</f>
        <v>0.50419999999999998</v>
      </c>
      <c r="L24" s="100">
        <f>I24*J24*K24</f>
        <v>-903770.81711689837</v>
      </c>
      <c r="P24" s="898">
        <f>E24*F24</f>
        <v>4.9714119999999994E-2</v>
      </c>
      <c r="Q24" s="898">
        <f>J24*K24</f>
        <v>4.9714119999999994E-2</v>
      </c>
    </row>
    <row r="25" spans="1:17" ht="14.25" customHeight="1">
      <c r="A25" s="2">
        <v>13</v>
      </c>
      <c r="B25" s="320"/>
      <c r="C25" s="4"/>
      <c r="D25" s="69"/>
      <c r="E25" s="19"/>
      <c r="F25" s="19"/>
      <c r="G25" s="69"/>
      <c r="H25" s="69"/>
      <c r="I25" s="69"/>
      <c r="J25" s="68"/>
      <c r="K25" s="68"/>
      <c r="L25" s="69"/>
      <c r="P25" s="660"/>
      <c r="Q25" s="661"/>
    </row>
    <row r="26" spans="1:17">
      <c r="A26" s="2">
        <v>14</v>
      </c>
      <c r="C26" s="16" t="s">
        <v>670</v>
      </c>
      <c r="D26" s="100">
        <f>'WP B.5 B'!P26</f>
        <v>30739755.205077421</v>
      </c>
      <c r="E26" s="340">
        <f>$E$22</f>
        <v>9.8599999999999993E-2</v>
      </c>
      <c r="F26" s="340">
        <f>$F$22</f>
        <v>0.50419999999999998</v>
      </c>
      <c r="G26" s="100">
        <f>D26*E26*F26</f>
        <v>1528199.8790358433</v>
      </c>
      <c r="H26" s="69"/>
      <c r="I26" s="100">
        <f>'WP B.5 B'!Q26</f>
        <v>30826656.518393755</v>
      </c>
      <c r="J26" s="357">
        <f>E26</f>
        <v>9.8599999999999993E-2</v>
      </c>
      <c r="K26" s="357">
        <f>F26</f>
        <v>0.50419999999999998</v>
      </c>
      <c r="L26" s="100">
        <f>I26*J26*K26</f>
        <v>1532520.1013542092</v>
      </c>
      <c r="P26" s="898">
        <f>E26*F26</f>
        <v>4.9714119999999994E-2</v>
      </c>
      <c r="Q26" s="898">
        <f>J26*K26</f>
        <v>4.9714119999999994E-2</v>
      </c>
    </row>
    <row r="27" spans="1:17" ht="14.25" customHeight="1">
      <c r="A27" s="2">
        <v>15</v>
      </c>
      <c r="D27" s="65"/>
      <c r="E27" s="19"/>
      <c r="F27" s="19"/>
      <c r="G27" s="65"/>
      <c r="H27" s="69"/>
      <c r="I27" s="65"/>
      <c r="J27" s="406"/>
      <c r="K27" s="406"/>
      <c r="L27" s="65"/>
      <c r="P27" s="661"/>
      <c r="Q27" s="661"/>
    </row>
    <row r="28" spans="1:17">
      <c r="A28" s="2">
        <v>16</v>
      </c>
      <c r="C28" s="20" t="s">
        <v>67</v>
      </c>
      <c r="D28" s="1081">
        <f>SUM(D22:D26)</f>
        <v>1015635703.1261761</v>
      </c>
      <c r="E28" s="19"/>
      <c r="F28" s="19"/>
      <c r="G28" s="1081">
        <f>SUM(G22:G26)</f>
        <v>50491435.221499093</v>
      </c>
      <c r="I28" s="1081">
        <f>SUM(I22:I26)</f>
        <v>841674181.79815364</v>
      </c>
      <c r="J28" s="68"/>
      <c r="K28" s="68"/>
      <c r="L28" s="1081">
        <f>SUM(L22:L26)</f>
        <v>41843091.274815217</v>
      </c>
      <c r="P28" s="661"/>
      <c r="Q28" s="661"/>
    </row>
    <row r="29" spans="1:17" ht="15.75">
      <c r="A29" s="2">
        <v>17</v>
      </c>
      <c r="B29" s="12" t="s">
        <v>1098</v>
      </c>
      <c r="P29" s="661"/>
      <c r="Q29" s="661"/>
    </row>
    <row r="30" spans="1:17">
      <c r="A30" s="2">
        <v>18</v>
      </c>
      <c r="C30" s="16" t="s">
        <v>668</v>
      </c>
      <c r="D30" s="275">
        <f>'WP B.5 B'!P30</f>
        <v>-469726</v>
      </c>
      <c r="E30" s="340">
        <f>Allocation!G15</f>
        <v>0.11020000000000001</v>
      </c>
      <c r="F30" s="340">
        <f>Allocation!H15</f>
        <v>0.50429999999999997</v>
      </c>
      <c r="G30" s="275">
        <f>D30*E30*F30</f>
        <v>-26104.486962359999</v>
      </c>
      <c r="H30" s="69"/>
      <c r="I30" s="275">
        <f>'WP B.5 B'!Q30</f>
        <v>-418501.46153846156</v>
      </c>
      <c r="J30" s="357">
        <f>E30</f>
        <v>0.11020000000000001</v>
      </c>
      <c r="K30" s="357">
        <f>F30</f>
        <v>0.50429999999999997</v>
      </c>
      <c r="L30" s="275">
        <f>I30*J30*K30</f>
        <v>-23257.741633333848</v>
      </c>
      <c r="P30" s="898">
        <f>E30*F30</f>
        <v>5.5573860000000003E-2</v>
      </c>
      <c r="Q30" s="898">
        <f>J30*K30</f>
        <v>5.5573860000000003E-2</v>
      </c>
    </row>
    <row r="31" spans="1:17">
      <c r="A31" s="2">
        <v>19</v>
      </c>
      <c r="D31" s="65"/>
      <c r="E31" s="19"/>
      <c r="F31" s="19"/>
      <c r="G31" s="65"/>
      <c r="H31" s="69"/>
      <c r="I31" s="65"/>
      <c r="J31" s="406"/>
      <c r="K31" s="406"/>
      <c r="L31" s="65"/>
      <c r="P31" s="660"/>
      <c r="Q31" s="661"/>
    </row>
    <row r="32" spans="1:17">
      <c r="A32" s="2">
        <v>20</v>
      </c>
      <c r="C32" s="16" t="s">
        <v>669</v>
      </c>
      <c r="D32" s="100">
        <f>'WP B.5 B'!P32</f>
        <v>-12438012.428108975</v>
      </c>
      <c r="E32" s="340">
        <f>$E$30</f>
        <v>0.11020000000000001</v>
      </c>
      <c r="F32" s="340">
        <f>$F$30</f>
        <v>0.50429999999999997</v>
      </c>
      <c r="G32" s="100">
        <f>D32*E32*F32</f>
        <v>-691228.36135798821</v>
      </c>
      <c r="H32" s="69"/>
      <c r="I32" s="100">
        <f>'WP B.5 B'!Q32</f>
        <v>-13345438.756788662</v>
      </c>
      <c r="J32" s="357">
        <f>E32</f>
        <v>0.11020000000000001</v>
      </c>
      <c r="K32" s="357">
        <f>F32</f>
        <v>0.50429999999999997</v>
      </c>
      <c r="L32" s="100">
        <f>I32*J32*K32</f>
        <v>-741657.54510834708</v>
      </c>
      <c r="P32" s="898">
        <f>E32*F32</f>
        <v>5.5573860000000003E-2</v>
      </c>
      <c r="Q32" s="898">
        <f>J32*K32</f>
        <v>5.5573860000000003E-2</v>
      </c>
    </row>
    <row r="33" spans="1:17">
      <c r="A33" s="2">
        <v>21</v>
      </c>
      <c r="B33" s="320"/>
      <c r="C33" s="4"/>
      <c r="D33" s="69"/>
      <c r="E33" s="19"/>
      <c r="F33" s="19"/>
      <c r="G33" s="69"/>
      <c r="H33" s="69"/>
      <c r="I33" s="69"/>
      <c r="J33" s="68"/>
      <c r="K33" s="68"/>
      <c r="L33" s="69"/>
      <c r="P33" s="660"/>
      <c r="Q33" s="661"/>
    </row>
    <row r="34" spans="1:17">
      <c r="A34" s="2">
        <v>22</v>
      </c>
      <c r="C34" s="16" t="s">
        <v>670</v>
      </c>
      <c r="D34" s="100">
        <f>'WP B.5 B'!P34</f>
        <v>195</v>
      </c>
      <c r="E34" s="340">
        <f>$E$30</f>
        <v>0.11020000000000001</v>
      </c>
      <c r="F34" s="340">
        <f>$F$30</f>
        <v>0.50429999999999997</v>
      </c>
      <c r="G34" s="100">
        <f>D34*E34*F34</f>
        <v>10.8369027</v>
      </c>
      <c r="H34" s="69"/>
      <c r="I34" s="100">
        <f>'WP B.5 B'!Q34</f>
        <v>-39.46153846153846</v>
      </c>
      <c r="J34" s="357">
        <f>E34</f>
        <v>0.11020000000000001</v>
      </c>
      <c r="K34" s="357">
        <f>F34</f>
        <v>0.50429999999999997</v>
      </c>
      <c r="L34" s="100">
        <f>I34*J34*K34</f>
        <v>-2.1930300138461538</v>
      </c>
      <c r="P34" s="898">
        <f>E34*F34</f>
        <v>5.5573860000000003E-2</v>
      </c>
      <c r="Q34" s="898">
        <f>J34*K34</f>
        <v>5.5573860000000003E-2</v>
      </c>
    </row>
    <row r="35" spans="1:17">
      <c r="A35" s="2">
        <v>23</v>
      </c>
      <c r="D35" s="65"/>
      <c r="E35" s="19"/>
      <c r="F35" s="19"/>
      <c r="G35" s="65"/>
      <c r="H35" s="69"/>
      <c r="I35" s="65"/>
      <c r="J35" s="406"/>
      <c r="K35" s="406"/>
      <c r="L35" s="65"/>
      <c r="P35" s="661"/>
      <c r="Q35" s="661"/>
    </row>
    <row r="36" spans="1:17">
      <c r="A36" s="2">
        <v>24</v>
      </c>
      <c r="C36" s="20" t="s">
        <v>713</v>
      </c>
      <c r="D36" s="1081">
        <f>SUM(D30:D34)</f>
        <v>-12907543.428108975</v>
      </c>
      <c r="E36" s="19"/>
      <c r="F36" s="19"/>
      <c r="G36" s="1081">
        <f>SUM(G30:G34)</f>
        <v>-717322.01141764817</v>
      </c>
      <c r="I36" s="1081">
        <f>SUM(I30:I34)</f>
        <v>-13763979.679865586</v>
      </c>
      <c r="J36" s="68"/>
      <c r="K36" s="68"/>
      <c r="L36" s="1081">
        <f>SUM(L30:L34)</f>
        <v>-764917.47977169475</v>
      </c>
      <c r="P36" s="661"/>
      <c r="Q36" s="661"/>
    </row>
    <row r="37" spans="1:17" ht="15.75">
      <c r="A37" s="2">
        <v>25</v>
      </c>
      <c r="B37" s="12" t="s">
        <v>671</v>
      </c>
      <c r="P37" s="661"/>
      <c r="Q37" s="661"/>
    </row>
    <row r="38" spans="1:17" ht="15.75">
      <c r="A38" s="2">
        <v>26</v>
      </c>
      <c r="B38" s="12"/>
      <c r="P38" s="661"/>
      <c r="Q38" s="661"/>
    </row>
    <row r="39" spans="1:17">
      <c r="A39" s="2">
        <v>27</v>
      </c>
      <c r="C39" s="16" t="s">
        <v>668</v>
      </c>
      <c r="D39" s="275">
        <f>'WP B.5 B'!P39</f>
        <v>-2447669</v>
      </c>
      <c r="E39" s="404">
        <v>1</v>
      </c>
      <c r="F39" s="340">
        <f>Allocation!H17</f>
        <v>0.50419999999999998</v>
      </c>
      <c r="G39" s="275">
        <f>D39*$E$39*F39</f>
        <v>-1234114.7098000001</v>
      </c>
      <c r="H39" s="69"/>
      <c r="I39" s="275">
        <f>'WP B.5 B'!Q39</f>
        <v>-2359059.153846154</v>
      </c>
      <c r="J39" s="404">
        <f>E39</f>
        <v>1</v>
      </c>
      <c r="K39" s="340">
        <f>F39</f>
        <v>0.50419999999999998</v>
      </c>
      <c r="L39" s="275">
        <f>I39*$E$39*K39</f>
        <v>-1189437.6253692308</v>
      </c>
      <c r="P39" s="898">
        <f>E39*F39</f>
        <v>0.50419999999999998</v>
      </c>
      <c r="Q39" s="898">
        <f>J39*K39</f>
        <v>0.50419999999999998</v>
      </c>
    </row>
    <row r="40" spans="1:17">
      <c r="A40" s="2">
        <v>28</v>
      </c>
      <c r="D40" s="65"/>
      <c r="E40" s="19"/>
      <c r="F40" s="19"/>
      <c r="G40" s="65"/>
      <c r="H40" s="69"/>
      <c r="I40" s="65"/>
      <c r="J40" s="406"/>
      <c r="K40" s="406"/>
      <c r="L40" s="65"/>
      <c r="P40" s="660"/>
      <c r="Q40" s="661"/>
    </row>
    <row r="41" spans="1:17">
      <c r="A41" s="2">
        <v>29</v>
      </c>
      <c r="C41" s="16" t="s">
        <v>435</v>
      </c>
      <c r="D41" s="100">
        <f>'WP B.5 B'!P45</f>
        <v>0</v>
      </c>
      <c r="E41" s="404">
        <f>$E$39</f>
        <v>1</v>
      </c>
      <c r="F41" s="340">
        <f>$F$39</f>
        <v>0.50419999999999998</v>
      </c>
      <c r="G41" s="100">
        <f>D41*E41*F41</f>
        <v>0</v>
      </c>
      <c r="H41" s="69"/>
      <c r="I41" s="100">
        <f>'WP B.5 B'!Q45</f>
        <v>0</v>
      </c>
      <c r="J41" s="404">
        <f>E41</f>
        <v>1</v>
      </c>
      <c r="K41" s="340">
        <f>F41</f>
        <v>0.50419999999999998</v>
      </c>
      <c r="L41" s="100">
        <f>I41*J41*K41</f>
        <v>0</v>
      </c>
      <c r="P41" s="898">
        <f>E41*F41</f>
        <v>0.50419999999999998</v>
      </c>
      <c r="Q41" s="898">
        <f>J41*K41</f>
        <v>0.50419999999999998</v>
      </c>
    </row>
    <row r="42" spans="1:17">
      <c r="A42" s="2">
        <v>30</v>
      </c>
      <c r="D42" s="65"/>
      <c r="E42" s="19"/>
      <c r="F42" s="19"/>
      <c r="G42" s="65"/>
      <c r="H42" s="69"/>
      <c r="I42" s="65"/>
      <c r="J42" s="406"/>
      <c r="K42" s="406"/>
      <c r="L42" s="65"/>
      <c r="P42" s="660"/>
      <c r="Q42" s="661"/>
    </row>
    <row r="43" spans="1:17">
      <c r="A43" s="2">
        <v>31</v>
      </c>
      <c r="C43" s="16" t="s">
        <v>669</v>
      </c>
      <c r="D43" s="100">
        <f>'WP B.5 B'!P41</f>
        <v>-828426.56400924164</v>
      </c>
      <c r="E43" s="404">
        <f>$E$39</f>
        <v>1</v>
      </c>
      <c r="F43" s="340">
        <f>$F$39</f>
        <v>0.50419999999999998</v>
      </c>
      <c r="G43" s="100">
        <f>D43*$E$39*F43</f>
        <v>-417692.67357345961</v>
      </c>
      <c r="H43" s="69"/>
      <c r="I43" s="100">
        <f>'WP B.5 B'!Q41</f>
        <v>-794968.13022854307</v>
      </c>
      <c r="J43" s="404">
        <f>E43</f>
        <v>1</v>
      </c>
      <c r="K43" s="340">
        <f>F43</f>
        <v>0.50419999999999998</v>
      </c>
      <c r="L43" s="100">
        <f>I43*$E$39*K43</f>
        <v>-400822.93126123142</v>
      </c>
      <c r="P43" s="898">
        <f>E43*F43</f>
        <v>0.50419999999999998</v>
      </c>
      <c r="Q43" s="898">
        <f>J43*K43</f>
        <v>0.50419999999999998</v>
      </c>
    </row>
    <row r="44" spans="1:17">
      <c r="A44" s="2">
        <v>32</v>
      </c>
      <c r="D44" s="65"/>
      <c r="E44" s="19"/>
      <c r="F44" s="19"/>
      <c r="G44" s="65"/>
      <c r="H44" s="69"/>
      <c r="I44" s="65"/>
      <c r="J44" s="406"/>
      <c r="K44" s="406"/>
      <c r="L44" s="65"/>
      <c r="P44" s="661"/>
      <c r="Q44" s="661"/>
    </row>
    <row r="45" spans="1:17">
      <c r="A45" s="2">
        <v>33</v>
      </c>
      <c r="C45" s="16" t="s">
        <v>670</v>
      </c>
      <c r="D45" s="100">
        <f>'WP B.5 B'!P43</f>
        <v>-1307420</v>
      </c>
      <c r="E45" s="404">
        <f>$E$39</f>
        <v>1</v>
      </c>
      <c r="F45" s="340">
        <f>$F$39</f>
        <v>0.50419999999999998</v>
      </c>
      <c r="G45" s="100">
        <f>D45*$E$39*F45</f>
        <v>-659201.16399999999</v>
      </c>
      <c r="H45" s="69"/>
      <c r="I45" s="100">
        <f>'WP B.5 B'!Q43</f>
        <v>-1291111.7692307692</v>
      </c>
      <c r="J45" s="404">
        <f>E45</f>
        <v>1</v>
      </c>
      <c r="K45" s="340">
        <f>F45</f>
        <v>0.50419999999999998</v>
      </c>
      <c r="L45" s="100">
        <f>I45*$E$39*K45</f>
        <v>-650978.55404615379</v>
      </c>
      <c r="P45" s="898">
        <f>E45*F45</f>
        <v>0.50419999999999998</v>
      </c>
      <c r="Q45" s="898">
        <f>J45*K45</f>
        <v>0.50419999999999998</v>
      </c>
    </row>
    <row r="46" spans="1:17">
      <c r="A46" s="2">
        <v>34</v>
      </c>
      <c r="D46" s="65"/>
      <c r="E46" s="19"/>
      <c r="F46" s="19"/>
      <c r="G46" s="65"/>
      <c r="H46" s="69"/>
      <c r="I46" s="65"/>
      <c r="J46" s="406"/>
      <c r="K46" s="406"/>
      <c r="L46" s="65"/>
    </row>
    <row r="47" spans="1:17">
      <c r="A47" s="2">
        <v>35</v>
      </c>
      <c r="C47" s="20" t="s">
        <v>434</v>
      </c>
      <c r="D47" s="1081">
        <f>SUM(D39:D45)</f>
        <v>-4583515.5640092418</v>
      </c>
      <c r="E47" s="19"/>
      <c r="F47" s="19"/>
      <c r="G47" s="1081">
        <f>SUM(G39:G45)</f>
        <v>-2311008.5473734597</v>
      </c>
      <c r="I47" s="1081">
        <f>SUM(I39:I45)</f>
        <v>-4445139.0533054667</v>
      </c>
      <c r="J47" s="68"/>
      <c r="K47" s="68"/>
      <c r="L47" s="1081">
        <f>SUM(L39:L45)</f>
        <v>-2241239.110676616</v>
      </c>
    </row>
    <row r="48" spans="1:17">
      <c r="A48" s="2">
        <v>36</v>
      </c>
    </row>
    <row r="49" spans="1:12" ht="16.5" thickBot="1">
      <c r="A49" s="2">
        <v>37</v>
      </c>
      <c r="B49" s="31"/>
      <c r="C49" s="432" t="s">
        <v>715</v>
      </c>
      <c r="D49" s="1082">
        <f>D47+D36+D28+D19</f>
        <v>905242645.39211774</v>
      </c>
      <c r="G49" s="1082">
        <f>G47+G36+G28+G19</f>
        <v>-45438894.079232216</v>
      </c>
      <c r="I49" s="1082">
        <f>I47+I36+I28+I19</f>
        <v>732249406.51677155</v>
      </c>
      <c r="L49" s="1082">
        <f>L47+L36+L28+L19</f>
        <v>-52378721.863844134</v>
      </c>
    </row>
    <row r="50" spans="1:12" ht="15.75" thickTop="1">
      <c r="A50" s="31"/>
      <c r="B50" s="31"/>
    </row>
    <row r="51" spans="1:12">
      <c r="A51" s="31"/>
      <c r="B51" s="31"/>
    </row>
    <row r="52" spans="1:12">
      <c r="A52" s="31"/>
      <c r="B52" s="31"/>
    </row>
    <row r="53" spans="1:12">
      <c r="A53" s="31"/>
      <c r="B53" s="31"/>
    </row>
    <row r="54" spans="1:12">
      <c r="A54" s="31"/>
      <c r="B54" s="31"/>
      <c r="E54" s="322"/>
    </row>
    <row r="55" spans="1:12">
      <c r="A55" s="31"/>
      <c r="B55" s="31"/>
    </row>
    <row r="56" spans="1:12">
      <c r="A56" s="31"/>
    </row>
    <row r="57" spans="1:12">
      <c r="A57" s="31"/>
      <c r="B57" s="31"/>
    </row>
    <row r="58" spans="1:12">
      <c r="A58" s="31"/>
      <c r="B58" s="31"/>
    </row>
    <row r="59" spans="1:12">
      <c r="A59" s="31"/>
      <c r="B59" s="31"/>
    </row>
    <row r="60" spans="1:12">
      <c r="A60" s="31"/>
      <c r="B60" s="31"/>
    </row>
    <row r="61" spans="1:12">
      <c r="A61" s="31"/>
      <c r="B61" s="31"/>
    </row>
    <row r="62" spans="1:12">
      <c r="A62" s="31"/>
      <c r="B62" s="31"/>
    </row>
    <row r="63" spans="1:12">
      <c r="A63" s="31"/>
      <c r="B63" s="31"/>
    </row>
    <row r="64" spans="1:12">
      <c r="A64" s="31"/>
      <c r="B64" s="31"/>
    </row>
    <row r="65" spans="1:2">
      <c r="A65" s="31"/>
      <c r="B65" s="31"/>
    </row>
    <row r="66" spans="1:2">
      <c r="A66" s="31"/>
      <c r="B66" s="31"/>
    </row>
    <row r="67" spans="1:2">
      <c r="A67" s="31"/>
      <c r="B67" s="31"/>
    </row>
    <row r="68" spans="1:2">
      <c r="A68" s="31"/>
      <c r="B68" s="31"/>
    </row>
    <row r="69" spans="1:2">
      <c r="A69" s="31"/>
      <c r="B69" s="31"/>
    </row>
    <row r="70" spans="1:2">
      <c r="A70" s="31"/>
      <c r="B70" s="31"/>
    </row>
  </sheetData>
  <mergeCells count="4">
    <mergeCell ref="A1:L1"/>
    <mergeCell ref="A2:L2"/>
    <mergeCell ref="A3:L3"/>
    <mergeCell ref="A4:L4"/>
  </mergeCells>
  <phoneticPr fontId="21" type="noConversion"/>
  <printOptions horizontalCentered="1"/>
  <pageMargins left="0.75" right="0.5" top="0.75" bottom="0.3" header="0.5" footer="0.17"/>
  <pageSetup scale="60" fitToHeight="2" orientation="landscape" verticalDpi="300" r:id="rId1"/>
  <headerFooter alignWithMargins="0">
    <oddFooter>&amp;RSchedule 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K31"/>
  <sheetViews>
    <sheetView view="pageBreakPreview" zoomScale="80" zoomScaleNormal="100" zoomScaleSheetLayoutView="80" workbookViewId="0">
      <selection sqref="A1:I1"/>
    </sheetView>
  </sheetViews>
  <sheetFormatPr defaultRowHeight="15"/>
  <cols>
    <col min="1" max="1" width="7.44140625" bestFit="1" customWidth="1"/>
    <col min="2" max="2" width="34.44140625" customWidth="1"/>
    <col min="3" max="3" width="10.33203125" customWidth="1"/>
    <col min="4" max="5" width="10.44140625" customWidth="1"/>
    <col min="6" max="6" width="7" bestFit="1" customWidth="1"/>
    <col min="7" max="7" width="10" customWidth="1"/>
    <col min="8" max="8" width="10.21875" customWidth="1"/>
    <col min="9" max="9" width="10.109375" customWidth="1"/>
    <col min="13" max="13" width="10.44140625" bestFit="1" customWidth="1"/>
    <col min="15" max="15" width="6.77734375" customWidth="1"/>
    <col min="16" max="17" width="10.44140625" bestFit="1" customWidth="1"/>
  </cols>
  <sheetData>
    <row r="1" spans="1:10">
      <c r="A1" s="1255" t="str">
        <f>'Table of Contents'!A1:C1</f>
        <v>Atmos Energy Corporation, Kentucky/Mid-States Division</v>
      </c>
      <c r="B1" s="1255"/>
      <c r="C1" s="1255"/>
      <c r="D1" s="1255"/>
      <c r="E1" s="1255"/>
      <c r="F1" s="1255"/>
      <c r="G1" s="1255"/>
      <c r="H1" s="1255"/>
      <c r="I1" s="1255"/>
    </row>
    <row r="2" spans="1:10">
      <c r="A2" s="1255" t="str">
        <f>'Table of Contents'!A2:C2</f>
        <v>Kentucky Jurisdiction Case No. 2021-00214</v>
      </c>
      <c r="B2" s="1255"/>
      <c r="C2" s="1255"/>
      <c r="D2" s="1255"/>
      <c r="E2" s="1255"/>
      <c r="F2" s="1255"/>
      <c r="G2" s="1255"/>
      <c r="H2" s="1255"/>
      <c r="I2" s="1255"/>
    </row>
    <row r="3" spans="1:10">
      <c r="A3" s="1255" t="str">
        <f>'Table of Contents'!A3:C3</f>
        <v>Base Period: Twelve Months Ended September 30, 2021</v>
      </c>
      <c r="B3" s="1255"/>
      <c r="C3" s="1255"/>
      <c r="D3" s="1255"/>
      <c r="E3" s="1255"/>
      <c r="F3" s="1255"/>
      <c r="G3" s="1255"/>
      <c r="H3" s="1255"/>
      <c r="I3" s="1255"/>
    </row>
    <row r="4" spans="1:10">
      <c r="A4" s="1255" t="str">
        <f>'Table of Contents'!A4:C4</f>
        <v>Forecasted Test Period: Twelve Months Ended December 31, 2022</v>
      </c>
      <c r="B4" s="1255"/>
      <c r="C4" s="1255"/>
      <c r="D4" s="1255"/>
      <c r="E4" s="1255"/>
      <c r="F4" s="1255"/>
      <c r="G4" s="1255"/>
      <c r="H4" s="1255"/>
      <c r="I4" s="1255"/>
    </row>
    <row r="6" spans="1:10" ht="15.75">
      <c r="A6" s="1256" t="s">
        <v>1196</v>
      </c>
      <c r="B6" s="1256"/>
      <c r="C6" s="1256"/>
      <c r="D6" s="1256"/>
      <c r="E6" s="1256"/>
      <c r="F6" s="1256"/>
      <c r="G6" s="1256"/>
      <c r="H6" s="1256"/>
      <c r="I6" s="1256"/>
    </row>
    <row r="7" spans="1:10" ht="15.75">
      <c r="A7" s="487"/>
      <c r="B7" s="487"/>
      <c r="C7" s="487"/>
      <c r="D7" s="487"/>
      <c r="E7" s="487"/>
      <c r="F7" s="487"/>
      <c r="G7" s="487"/>
      <c r="H7" s="487"/>
      <c r="I7" s="487"/>
    </row>
    <row r="8" spans="1:10">
      <c r="C8" s="46"/>
      <c r="D8" s="488" t="s">
        <v>1197</v>
      </c>
      <c r="E8" s="46"/>
      <c r="G8" s="87"/>
      <c r="H8" s="488" t="s">
        <v>322</v>
      </c>
      <c r="I8" s="87"/>
    </row>
    <row r="9" spans="1:10">
      <c r="C9" s="283" t="s">
        <v>1198</v>
      </c>
      <c r="D9" s="283" t="s">
        <v>195</v>
      </c>
      <c r="E9" s="47" t="s">
        <v>11</v>
      </c>
      <c r="F9" s="486"/>
      <c r="G9" s="283" t="s">
        <v>1198</v>
      </c>
      <c r="H9" s="283" t="s">
        <v>195</v>
      </c>
      <c r="I9" s="486" t="s">
        <v>11</v>
      </c>
    </row>
    <row r="10" spans="1:10">
      <c r="A10" s="46" t="s">
        <v>203</v>
      </c>
      <c r="B10" s="52" t="s">
        <v>972</v>
      </c>
      <c r="C10" s="282" t="s">
        <v>154</v>
      </c>
      <c r="D10" s="52" t="s">
        <v>589</v>
      </c>
      <c r="E10" s="52" t="s">
        <v>1125</v>
      </c>
      <c r="F10" s="58"/>
      <c r="G10" s="282" t="s">
        <v>154</v>
      </c>
      <c r="H10" s="52" t="s">
        <v>589</v>
      </c>
      <c r="I10" s="52" t="s">
        <v>1125</v>
      </c>
    </row>
    <row r="11" spans="1:10">
      <c r="A11" s="51"/>
      <c r="B11" s="51"/>
      <c r="C11" s="283"/>
      <c r="D11" s="283"/>
    </row>
    <row r="12" spans="1:10" ht="15.75">
      <c r="A12" s="51"/>
      <c r="B12" s="330" t="s">
        <v>1123</v>
      </c>
      <c r="C12" s="283"/>
      <c r="D12" s="283"/>
    </row>
    <row r="13" spans="1:10" ht="15.75">
      <c r="A13" s="47">
        <v>1</v>
      </c>
      <c r="B13" s="142" t="s">
        <v>198</v>
      </c>
      <c r="I13" s="289"/>
    </row>
    <row r="14" spans="1:10">
      <c r="A14" s="91">
        <f>A13+1</f>
        <v>2</v>
      </c>
      <c r="B14" s="329" t="s">
        <v>200</v>
      </c>
      <c r="C14" s="395">
        <f>'[1]3-Factor Composite'!$I$19</f>
        <v>9.8599999999999993E-2</v>
      </c>
      <c r="D14" s="395">
        <f>'[1]Mid States FY21'!$M$10/100</f>
        <v>0.50419999999999998</v>
      </c>
      <c r="E14" s="395">
        <f>C14*D14</f>
        <v>4.9714119999999994E-2</v>
      </c>
      <c r="F14" s="288"/>
      <c r="G14" s="395">
        <f>'[1]3-Factor Composite'!$I$19</f>
        <v>9.8599999999999993E-2</v>
      </c>
      <c r="H14" s="395">
        <f>'[1]Mid States FY21'!$M$10/100</f>
        <v>0.50419999999999998</v>
      </c>
      <c r="I14" s="1053">
        <f>G14*H14</f>
        <v>4.9714119999999994E-2</v>
      </c>
      <c r="J14" s="477"/>
    </row>
    <row r="15" spans="1:10">
      <c r="A15" s="91">
        <f t="shared" ref="A15:A31" si="0">A14+1</f>
        <v>3</v>
      </c>
      <c r="B15" s="329" t="s">
        <v>201</v>
      </c>
      <c r="C15" s="395">
        <f>'[1]3-Factor Composite'!$I$16</f>
        <v>0.11020000000000001</v>
      </c>
      <c r="D15" s="395">
        <f>'[1]Mid States FY21'!$L$10/100</f>
        <v>0.50429999999999997</v>
      </c>
      <c r="E15" s="395">
        <f>C15*D15</f>
        <v>5.5573860000000003E-2</v>
      </c>
      <c r="F15" s="288"/>
      <c r="G15" s="395">
        <f>'[1]3-Factor Composite'!$I$16</f>
        <v>0.11020000000000001</v>
      </c>
      <c r="H15" s="395">
        <f>'[1]Mid States FY21'!$L$10/100</f>
        <v>0.50429999999999997</v>
      </c>
      <c r="I15" s="1053">
        <f>G15*H15</f>
        <v>5.5573860000000003E-2</v>
      </c>
      <c r="J15" s="477"/>
    </row>
    <row r="16" spans="1:10" ht="15.75">
      <c r="A16" s="91">
        <f t="shared" si="0"/>
        <v>4</v>
      </c>
      <c r="B16" s="142" t="s">
        <v>199</v>
      </c>
      <c r="C16" s="951"/>
      <c r="D16" s="951"/>
      <c r="E16" s="288"/>
      <c r="F16" s="288"/>
      <c r="G16" s="951"/>
      <c r="H16" s="951"/>
      <c r="I16" s="289"/>
    </row>
    <row r="17" spans="1:11">
      <c r="A17" s="91">
        <f t="shared" si="0"/>
        <v>5</v>
      </c>
      <c r="B17" s="329" t="s">
        <v>202</v>
      </c>
      <c r="C17" s="296">
        <v>1</v>
      </c>
      <c r="D17" s="395">
        <f>'[1]Mid States FY21'!$M$10/100</f>
        <v>0.50419999999999998</v>
      </c>
      <c r="E17" s="395">
        <f>C17*D17</f>
        <v>0.50419999999999998</v>
      </c>
      <c r="F17" s="288"/>
      <c r="G17" s="296">
        <v>1</v>
      </c>
      <c r="H17" s="395">
        <f>'[1]Mid States FY21'!$M$10/100</f>
        <v>0.50419999999999998</v>
      </c>
      <c r="I17" s="1053">
        <f>G17*H17</f>
        <v>0.50419999999999998</v>
      </c>
      <c r="J17" s="477"/>
    </row>
    <row r="18" spans="1:11">
      <c r="A18" s="91">
        <f t="shared" si="0"/>
        <v>6</v>
      </c>
      <c r="C18" s="951"/>
      <c r="D18" s="951"/>
      <c r="E18" s="951"/>
      <c r="F18" s="951"/>
      <c r="G18" s="951"/>
      <c r="H18" s="951"/>
      <c r="I18" s="486"/>
    </row>
    <row r="19" spans="1:11">
      <c r="A19" s="91">
        <f t="shared" si="0"/>
        <v>7</v>
      </c>
      <c r="B19" s="329"/>
      <c r="C19" s="951"/>
      <c r="D19" s="951"/>
      <c r="E19" s="951"/>
      <c r="F19" s="951"/>
      <c r="G19" s="951"/>
      <c r="H19" s="951"/>
      <c r="I19" s="486"/>
    </row>
    <row r="20" spans="1:11" ht="15.75">
      <c r="A20" s="91">
        <f t="shared" si="0"/>
        <v>8</v>
      </c>
      <c r="B20" s="489" t="s">
        <v>1200</v>
      </c>
      <c r="C20" s="951"/>
      <c r="D20" s="951"/>
      <c r="E20" s="395">
        <f>[2]Greenville!$J$24</f>
        <v>1.559576E-2</v>
      </c>
      <c r="F20" s="951"/>
      <c r="G20" s="951"/>
      <c r="H20" s="951"/>
      <c r="I20" s="1053">
        <f>E20</f>
        <v>1.559576E-2</v>
      </c>
    </row>
    <row r="21" spans="1:11" ht="15.75">
      <c r="A21" s="91">
        <f t="shared" si="0"/>
        <v>9</v>
      </c>
      <c r="B21" s="489" t="s">
        <v>1199</v>
      </c>
      <c r="C21" s="951"/>
      <c r="D21" s="951"/>
      <c r="E21" s="395">
        <f>'[2]CKV Center'!$L$20</f>
        <v>2.4788790000000002E-2</v>
      </c>
      <c r="F21" s="951"/>
      <c r="G21" s="951"/>
      <c r="H21" s="951"/>
      <c r="I21" s="1053">
        <f>E21</f>
        <v>2.4788790000000002E-2</v>
      </c>
    </row>
    <row r="22" spans="1:11" s="639" customFormat="1" ht="15.75">
      <c r="A22" s="91">
        <f t="shared" si="0"/>
        <v>10</v>
      </c>
      <c r="B22" s="679" t="s">
        <v>1506</v>
      </c>
      <c r="C22" s="951"/>
      <c r="D22" s="951"/>
      <c r="E22" s="395">
        <f>'[1]Div 002 Rates (Excl APT)'!$J$38</f>
        <v>6.106367E-2</v>
      </c>
      <c r="F22" s="951"/>
      <c r="G22" s="951"/>
      <c r="H22" s="951"/>
      <c r="I22" s="1053">
        <f>E22</f>
        <v>6.106367E-2</v>
      </c>
    </row>
    <row r="23" spans="1:11" s="639" customFormat="1" ht="15.75">
      <c r="A23" s="91">
        <f t="shared" si="0"/>
        <v>11</v>
      </c>
      <c r="B23" s="679" t="s">
        <v>1507</v>
      </c>
      <c r="C23" s="951"/>
      <c r="D23" s="951"/>
      <c r="E23" s="395">
        <f>'[3] Aligne Blending Rates All'!$E$21</f>
        <v>4.6370689999999999E-2</v>
      </c>
      <c r="F23" s="951"/>
      <c r="G23" s="951"/>
      <c r="H23" s="951"/>
      <c r="I23" s="289"/>
    </row>
    <row r="24" spans="1:11">
      <c r="A24" s="91">
        <f t="shared" si="0"/>
        <v>12</v>
      </c>
      <c r="B24" s="329"/>
      <c r="C24" s="951"/>
      <c r="D24" s="951"/>
      <c r="E24" s="951"/>
      <c r="F24" s="951"/>
      <c r="G24" s="951"/>
      <c r="H24" s="951"/>
      <c r="I24" s="486"/>
    </row>
    <row r="25" spans="1:11" ht="15.75">
      <c r="A25" s="91">
        <f t="shared" si="0"/>
        <v>13</v>
      </c>
      <c r="B25" s="338" t="s">
        <v>1113</v>
      </c>
      <c r="C25" s="951"/>
      <c r="D25" s="951"/>
      <c r="E25" s="395">
        <f>ROUND(0.05+0.21*(1-0.05),5)</f>
        <v>0.2495</v>
      </c>
      <c r="F25" s="951"/>
      <c r="G25" s="951"/>
      <c r="H25" s="951"/>
      <c r="I25" s="486"/>
      <c r="J25" s="477"/>
      <c r="K25" s="993"/>
    </row>
    <row r="26" spans="1:11">
      <c r="A26" s="91">
        <f t="shared" si="0"/>
        <v>14</v>
      </c>
      <c r="B26" s="190"/>
      <c r="C26" s="951"/>
      <c r="D26" s="951"/>
      <c r="E26" s="288"/>
      <c r="F26" s="951"/>
      <c r="G26" s="951"/>
      <c r="H26" s="951"/>
      <c r="I26" s="486"/>
    </row>
    <row r="27" spans="1:11" ht="15.75">
      <c r="A27" s="91">
        <f t="shared" si="0"/>
        <v>15</v>
      </c>
      <c r="B27" s="338" t="s">
        <v>1307</v>
      </c>
      <c r="C27" s="951"/>
      <c r="D27" s="951"/>
      <c r="E27" s="288">
        <v>0.10349999999999999</v>
      </c>
      <c r="F27" s="952"/>
      <c r="G27" s="951"/>
      <c r="H27" s="951"/>
      <c r="I27" s="486"/>
    </row>
    <row r="28" spans="1:11">
      <c r="A28" s="91">
        <f t="shared" si="0"/>
        <v>16</v>
      </c>
      <c r="B28" s="190"/>
      <c r="C28" s="951"/>
      <c r="D28" s="951"/>
      <c r="E28" s="951"/>
      <c r="F28" s="951"/>
      <c r="G28" s="951"/>
      <c r="H28" s="951"/>
      <c r="I28" s="486"/>
    </row>
    <row r="29" spans="1:11" ht="15.75">
      <c r="A29" s="91">
        <f t="shared" si="0"/>
        <v>17</v>
      </c>
      <c r="B29" s="338" t="s">
        <v>333</v>
      </c>
      <c r="C29" s="951"/>
      <c r="D29" s="951"/>
      <c r="E29" s="395">
        <f>ROUND(+'J-2 F'!L20,4)</f>
        <v>0.25169999999999998</v>
      </c>
      <c r="F29" s="951"/>
      <c r="G29" s="951"/>
      <c r="H29" s="951"/>
      <c r="I29" s="486"/>
    </row>
    <row r="30" spans="1:11">
      <c r="A30" s="91">
        <f t="shared" si="0"/>
        <v>18</v>
      </c>
      <c r="B30" s="190"/>
      <c r="C30" s="951"/>
      <c r="D30" s="951"/>
      <c r="E30" s="951"/>
      <c r="F30" s="951"/>
      <c r="G30" s="951"/>
      <c r="H30" s="951"/>
      <c r="I30" s="486"/>
    </row>
    <row r="31" spans="1:11" ht="15.75">
      <c r="A31" s="91">
        <f t="shared" si="0"/>
        <v>19</v>
      </c>
      <c r="B31" s="338" t="s">
        <v>334</v>
      </c>
      <c r="C31" s="47"/>
      <c r="D31" s="47"/>
      <c r="E31" s="1053">
        <f>ROUND('J-3 F'!K37,4)</f>
        <v>0.04</v>
      </c>
      <c r="F31" s="289"/>
      <c r="G31" s="289"/>
      <c r="H31" s="289"/>
      <c r="I31" s="289"/>
    </row>
  </sheetData>
  <mergeCells count="5">
    <mergeCell ref="A1:I1"/>
    <mergeCell ref="A2:I2"/>
    <mergeCell ref="A3:I3"/>
    <mergeCell ref="A4:I4"/>
    <mergeCell ref="A6:I6"/>
  </mergeCells>
  <phoneticPr fontId="21" type="noConversion"/>
  <pageMargins left="0.83" right="0.75" top="0.74" bottom="0.75" header="0.5" footer="0.19"/>
  <pageSetup scale="91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63"/>
  <dimension ref="A1:Q140"/>
  <sheetViews>
    <sheetView view="pageBreakPreview" zoomScale="80" zoomScaleNormal="100" zoomScaleSheetLayoutView="80" workbookViewId="0">
      <selection sqref="A1:L1"/>
    </sheetView>
  </sheetViews>
  <sheetFormatPr defaultColWidth="8.44140625" defaultRowHeight="15"/>
  <cols>
    <col min="1" max="1" width="5.77734375" style="1" customWidth="1"/>
    <col min="2" max="2" width="4" style="1" customWidth="1"/>
    <col min="3" max="3" width="49.33203125" style="1" customWidth="1"/>
    <col min="4" max="4" width="16" style="1" bestFit="1" customWidth="1"/>
    <col min="5" max="5" width="11.88671875" style="1" bestFit="1" customWidth="1"/>
    <col min="6" max="6" width="11.77734375" style="1" customWidth="1"/>
    <col min="7" max="7" width="14" style="1" bestFit="1" customWidth="1"/>
    <col min="8" max="8" width="4.33203125" style="66" customWidth="1"/>
    <col min="9" max="9" width="16" style="1" bestFit="1" customWidth="1"/>
    <col min="10" max="11" width="11.88671875" style="1" customWidth="1"/>
    <col min="12" max="12" width="18.33203125" style="1" customWidth="1"/>
    <col min="13" max="13" width="12.44140625" style="1" customWidth="1"/>
    <col min="14" max="14" width="7.21875" style="1" customWidth="1"/>
    <col min="15" max="15" width="7.5546875" style="1" customWidth="1"/>
    <col min="16" max="17" width="8.5546875" style="1" bestFit="1" customWidth="1"/>
    <col min="18" max="16384" width="8.44140625" style="1"/>
  </cols>
  <sheetData>
    <row r="1" spans="1:13">
      <c r="A1" s="1260" t="str">
        <f>Allocation!A1</f>
        <v>Atmos Energy Corporation, Kentucky/Mid-States Division</v>
      </c>
      <c r="B1" s="1260"/>
      <c r="C1" s="1260"/>
      <c r="D1" s="1260"/>
      <c r="E1" s="1260"/>
      <c r="F1" s="1260"/>
      <c r="G1" s="1260"/>
      <c r="H1" s="1260"/>
      <c r="I1" s="1260"/>
      <c r="J1" s="1260"/>
      <c r="K1" s="1260"/>
      <c r="L1" s="1260"/>
    </row>
    <row r="2" spans="1:13">
      <c r="A2" s="1260" t="str">
        <f>Allocation!A2</f>
        <v>Kentucky Jurisdiction Case No. 2021-00214</v>
      </c>
      <c r="B2" s="1260"/>
      <c r="C2" s="1260"/>
      <c r="D2" s="1260"/>
      <c r="E2" s="1260"/>
      <c r="F2" s="1260"/>
      <c r="G2" s="1260"/>
      <c r="H2" s="1260"/>
      <c r="I2" s="1260"/>
      <c r="J2" s="1260"/>
      <c r="K2" s="1260"/>
      <c r="L2" s="1260"/>
    </row>
    <row r="3" spans="1:13">
      <c r="A3" s="1261" t="s">
        <v>506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</row>
    <row r="4" spans="1:13">
      <c r="A4" s="1260" t="str">
        <f>'B.1 F '!A4</f>
        <v>Forecasted Test Period: Twelve Months Ended December 31, 2022</v>
      </c>
      <c r="B4" s="1260"/>
      <c r="C4" s="1260"/>
      <c r="D4" s="1260"/>
      <c r="E4" s="1260"/>
      <c r="F4" s="1260"/>
      <c r="G4" s="1260"/>
      <c r="H4" s="1260"/>
      <c r="I4" s="1260"/>
      <c r="J4" s="1260"/>
      <c r="K4" s="1260"/>
      <c r="L4" s="1260"/>
    </row>
    <row r="5" spans="1:13">
      <c r="A5" s="27"/>
      <c r="B5" s="26"/>
      <c r="C5" s="26"/>
      <c r="D5" s="26"/>
      <c r="E5" s="26"/>
      <c r="F5" s="26"/>
      <c r="G5" s="26"/>
      <c r="H5" s="317"/>
      <c r="I5" s="26"/>
      <c r="J5" s="26"/>
      <c r="K5" s="26"/>
    </row>
    <row r="6" spans="1:13" ht="15.75">
      <c r="A6" s="42" t="s">
        <v>1039</v>
      </c>
      <c r="B6" s="42"/>
      <c r="C6" s="31"/>
      <c r="D6" s="478"/>
      <c r="L6" s="322" t="s">
        <v>1367</v>
      </c>
    </row>
    <row r="7" spans="1:13">
      <c r="A7" s="42" t="s">
        <v>1103</v>
      </c>
      <c r="B7" s="31"/>
      <c r="C7" s="42"/>
      <c r="L7" s="322" t="s">
        <v>703</v>
      </c>
    </row>
    <row r="8" spans="1:13">
      <c r="A8" s="42" t="s">
        <v>423</v>
      </c>
      <c r="B8" s="31"/>
      <c r="C8" s="31"/>
      <c r="D8" s="29"/>
      <c r="E8" s="31"/>
      <c r="F8" s="31"/>
      <c r="G8" s="31"/>
      <c r="I8" s="31"/>
      <c r="J8" s="31"/>
      <c r="L8" s="1083" t="str">
        <f>'B.5 B'!L8</f>
        <v>Witness: Christian</v>
      </c>
    </row>
    <row r="9" spans="1:13">
      <c r="A9" s="219"/>
      <c r="B9" s="53"/>
      <c r="C9" s="53"/>
      <c r="D9" s="407"/>
      <c r="E9" s="297" t="s">
        <v>13</v>
      </c>
      <c r="F9" s="298" t="s">
        <v>11</v>
      </c>
      <c r="G9" s="408" t="s">
        <v>96</v>
      </c>
      <c r="H9" s="67"/>
      <c r="I9" s="410" t="s">
        <v>314</v>
      </c>
      <c r="J9" s="297" t="s">
        <v>13</v>
      </c>
      <c r="K9" s="298" t="s">
        <v>11</v>
      </c>
      <c r="L9" s="333"/>
    </row>
    <row r="10" spans="1:13">
      <c r="A10" s="294" t="s">
        <v>92</v>
      </c>
      <c r="B10" s="30"/>
      <c r="C10" s="31"/>
      <c r="D10" s="295"/>
      <c r="E10" s="30" t="s">
        <v>14</v>
      </c>
      <c r="F10" s="67" t="s">
        <v>589</v>
      </c>
      <c r="G10" s="291" t="s">
        <v>1147</v>
      </c>
      <c r="H10" s="67"/>
      <c r="I10" s="294" t="s">
        <v>1665</v>
      </c>
      <c r="J10" s="30" t="s">
        <v>14</v>
      </c>
      <c r="K10" s="67" t="s">
        <v>589</v>
      </c>
      <c r="L10" s="411" t="s">
        <v>12</v>
      </c>
    </row>
    <row r="11" spans="1:13">
      <c r="A11" s="292" t="s">
        <v>98</v>
      </c>
      <c r="B11" s="28"/>
      <c r="C11" s="50" t="s">
        <v>336</v>
      </c>
      <c r="D11" s="409" t="s">
        <v>1040</v>
      </c>
      <c r="E11" s="163" t="s">
        <v>622</v>
      </c>
      <c r="F11" s="163" t="s">
        <v>622</v>
      </c>
      <c r="G11" s="293" t="s">
        <v>104</v>
      </c>
      <c r="H11" s="67"/>
      <c r="I11" s="292" t="s">
        <v>315</v>
      </c>
      <c r="J11" s="163" t="s">
        <v>622</v>
      </c>
      <c r="K11" s="163" t="s">
        <v>622</v>
      </c>
      <c r="L11" s="412" t="s">
        <v>103</v>
      </c>
    </row>
    <row r="12" spans="1:13" ht="15.75">
      <c r="B12" s="12" t="s">
        <v>212</v>
      </c>
      <c r="E12" s="48"/>
      <c r="F12" s="48"/>
      <c r="G12" s="73"/>
      <c r="J12" s="48"/>
      <c r="K12" s="48"/>
    </row>
    <row r="13" spans="1:13">
      <c r="A13" s="2">
        <v>1</v>
      </c>
      <c r="C13" s="16" t="s">
        <v>668</v>
      </c>
      <c r="D13" s="275">
        <f>'WP B.5 F'!P13</f>
        <v>15237662.541222256</v>
      </c>
      <c r="E13" s="403">
        <v>1</v>
      </c>
      <c r="F13" s="403">
        <v>1</v>
      </c>
      <c r="G13" s="275">
        <f>D13*E13*F13</f>
        <v>15237662.541222256</v>
      </c>
      <c r="H13" s="69"/>
      <c r="I13" s="275">
        <f>'WP B.5 F'!Q13</f>
        <v>15237662.541222256</v>
      </c>
      <c r="J13" s="1084">
        <f>E13</f>
        <v>1</v>
      </c>
      <c r="K13" s="1084">
        <f>F13</f>
        <v>1</v>
      </c>
      <c r="L13" s="275">
        <f>I13*J13*K13</f>
        <v>15237662.541222256</v>
      </c>
      <c r="M13" s="277"/>
    </row>
    <row r="14" spans="1:13" ht="14.25" customHeight="1">
      <c r="A14" s="2">
        <v>2</v>
      </c>
      <c r="B14" s="320"/>
      <c r="C14" s="4"/>
      <c r="D14" s="69"/>
      <c r="E14" s="403"/>
      <c r="F14" s="403"/>
      <c r="G14" s="69"/>
      <c r="H14" s="69"/>
      <c r="I14" s="69"/>
      <c r="J14" s="68"/>
      <c r="K14" s="68"/>
      <c r="L14" s="69"/>
      <c r="M14" s="277"/>
    </row>
    <row r="15" spans="1:13">
      <c r="A15" s="2">
        <v>3</v>
      </c>
      <c r="C15" s="16" t="s">
        <v>669</v>
      </c>
      <c r="D15" s="100">
        <f>'WP B.5 F'!P15</f>
        <v>-114494631.01138197</v>
      </c>
      <c r="E15" s="1080">
        <f>$E$13</f>
        <v>1</v>
      </c>
      <c r="F15" s="1080">
        <f>$F$13</f>
        <v>1</v>
      </c>
      <c r="G15" s="100">
        <f>D15*E15*F15</f>
        <v>-114494631.01138197</v>
      </c>
      <c r="H15" s="69"/>
      <c r="I15" s="100">
        <f>'WP B.5 F'!Q15</f>
        <v>-114494631.01138197</v>
      </c>
      <c r="J15" s="1084">
        <f>E15</f>
        <v>1</v>
      </c>
      <c r="K15" s="1084">
        <f>F15</f>
        <v>1</v>
      </c>
      <c r="L15" s="100">
        <f>I15*J15*K15</f>
        <v>-114494631.01138197</v>
      </c>
      <c r="M15" s="277"/>
    </row>
    <row r="16" spans="1:13" ht="14.25" customHeight="1">
      <c r="A16" s="2">
        <v>4</v>
      </c>
      <c r="B16" s="320"/>
      <c r="C16" s="4"/>
      <c r="D16" s="69"/>
      <c r="E16" s="403"/>
      <c r="F16" s="403"/>
      <c r="G16" s="69"/>
      <c r="H16" s="69"/>
      <c r="I16" s="69"/>
      <c r="J16" s="68"/>
      <c r="K16" s="68"/>
      <c r="L16" s="69"/>
      <c r="M16" s="277"/>
    </row>
    <row r="17" spans="1:17">
      <c r="A17" s="2">
        <v>5</v>
      </c>
      <c r="C17" s="16" t="s">
        <v>670</v>
      </c>
      <c r="D17" s="100">
        <f>'WP B.5 F'!P17</f>
        <v>-407942</v>
      </c>
      <c r="E17" s="1080">
        <f>$E$13</f>
        <v>1</v>
      </c>
      <c r="F17" s="1080">
        <f>$F$13</f>
        <v>1</v>
      </c>
      <c r="G17" s="100">
        <f>D17*E17*F17</f>
        <v>-407942</v>
      </c>
      <c r="H17" s="69"/>
      <c r="I17" s="100">
        <f>'WP B.5 F'!Q17</f>
        <v>-407942</v>
      </c>
      <c r="J17" s="1084">
        <f>E17</f>
        <v>1</v>
      </c>
      <c r="K17" s="1084">
        <f>F17</f>
        <v>1</v>
      </c>
      <c r="L17" s="100">
        <f>I17*J17*K17</f>
        <v>-407942</v>
      </c>
      <c r="M17" s="277"/>
    </row>
    <row r="18" spans="1:17" ht="14.25" customHeight="1">
      <c r="A18" s="2">
        <v>6</v>
      </c>
      <c r="B18" s="320"/>
      <c r="C18" s="4"/>
      <c r="D18" s="69"/>
      <c r="E18" s="19"/>
      <c r="F18" s="19"/>
      <c r="G18" s="69"/>
      <c r="H18" s="69"/>
      <c r="I18" s="69"/>
      <c r="J18" s="68"/>
      <c r="K18" s="68"/>
      <c r="L18" s="69"/>
      <c r="M18" s="277"/>
    </row>
    <row r="19" spans="1:17">
      <c r="A19" s="2">
        <v>7</v>
      </c>
      <c r="C19" s="20" t="s">
        <v>31</v>
      </c>
      <c r="D19" s="1081">
        <f>SUM(D13:D17)</f>
        <v>-99664910.470159709</v>
      </c>
      <c r="E19" s="19"/>
      <c r="F19" s="19"/>
      <c r="G19" s="1081">
        <f>SUM(G13:G17)</f>
        <v>-99664910.470159709</v>
      </c>
      <c r="I19" s="1081">
        <f>SUM(I13:I17)</f>
        <v>-99664910.470159709</v>
      </c>
      <c r="J19" s="193"/>
      <c r="K19" s="193"/>
      <c r="L19" s="1081">
        <f>SUM(L13:L17)</f>
        <v>-99664910.470159709</v>
      </c>
      <c r="M19" s="277"/>
    </row>
    <row r="20" spans="1:17" ht="14.25" customHeight="1">
      <c r="A20" s="2">
        <v>8</v>
      </c>
      <c r="B20" s="320"/>
      <c r="C20" s="4"/>
      <c r="D20" s="69"/>
      <c r="E20" s="19"/>
      <c r="F20" s="19"/>
      <c r="G20" s="69"/>
      <c r="H20" s="69"/>
      <c r="I20" s="69"/>
      <c r="J20" s="68"/>
      <c r="K20" s="68"/>
      <c r="L20" s="69"/>
      <c r="M20" s="277"/>
    </row>
    <row r="21" spans="1:17" ht="15.75">
      <c r="A21" s="2">
        <v>9</v>
      </c>
      <c r="B21" s="12" t="s">
        <v>213</v>
      </c>
      <c r="E21" s="48"/>
      <c r="F21" s="48"/>
      <c r="J21" s="48"/>
      <c r="K21" s="48"/>
      <c r="M21" s="277"/>
    </row>
    <row r="22" spans="1:17">
      <c r="A22" s="2">
        <v>10</v>
      </c>
      <c r="C22" s="16" t="s">
        <v>668</v>
      </c>
      <c r="D22" s="275">
        <f>'WP B.5 F'!P22</f>
        <v>1003364749</v>
      </c>
      <c r="E22" s="340">
        <f>Allocation!C14</f>
        <v>9.8599999999999993E-2</v>
      </c>
      <c r="F22" s="340">
        <f>Allocation!D14</f>
        <v>0.50419999999999998</v>
      </c>
      <c r="G22" s="275">
        <f>D22*E22*F22</f>
        <v>49881395.535555877</v>
      </c>
      <c r="H22" s="69"/>
      <c r="I22" s="275">
        <f>'WP B.5 F'!Q22</f>
        <v>1003364749</v>
      </c>
      <c r="J22" s="357">
        <f>E22</f>
        <v>9.8599999999999993E-2</v>
      </c>
      <c r="K22" s="357">
        <f>F22</f>
        <v>0.50419999999999998</v>
      </c>
      <c r="L22" s="275">
        <f>I22*J22*K22</f>
        <v>49881395.535555877</v>
      </c>
      <c r="M22" s="277"/>
      <c r="P22" s="340">
        <f>E22*F22</f>
        <v>4.9714119999999994E-2</v>
      </c>
      <c r="Q22" s="340">
        <f>J22*K22</f>
        <v>4.9714119999999994E-2</v>
      </c>
    </row>
    <row r="23" spans="1:17">
      <c r="A23" s="2">
        <v>11</v>
      </c>
      <c r="D23" s="65"/>
      <c r="E23" s="19"/>
      <c r="F23" s="19"/>
      <c r="G23" s="65"/>
      <c r="H23" s="69"/>
      <c r="I23" s="65"/>
      <c r="J23" s="406"/>
      <c r="K23" s="406"/>
      <c r="L23" s="65"/>
      <c r="M23" s="277"/>
      <c r="P23" s="658"/>
      <c r="Q23" s="659"/>
    </row>
    <row r="24" spans="1:17">
      <c r="A24" s="2">
        <v>12</v>
      </c>
      <c r="C24" s="16" t="s">
        <v>669</v>
      </c>
      <c r="D24" s="100">
        <f>'WP B.5 F'!P24</f>
        <v>-19590408.37466174</v>
      </c>
      <c r="E24" s="340">
        <f>$E$22</f>
        <v>9.8599999999999993E-2</v>
      </c>
      <c r="F24" s="340">
        <f>$F$22</f>
        <v>0.50419999999999998</v>
      </c>
      <c r="G24" s="100">
        <f>D24*E24*F24</f>
        <v>-973919.9127869386</v>
      </c>
      <c r="H24" s="69"/>
      <c r="I24" s="100">
        <f>'WP B.5 F'!Q24</f>
        <v>-19590408.37466174</v>
      </c>
      <c r="J24" s="357">
        <f>E24</f>
        <v>9.8599999999999993E-2</v>
      </c>
      <c r="K24" s="357">
        <f>F24</f>
        <v>0.50419999999999998</v>
      </c>
      <c r="L24" s="100">
        <f>I24*J24*K24</f>
        <v>-973919.9127869386</v>
      </c>
      <c r="M24" s="277"/>
      <c r="P24" s="340">
        <f>E24*F24</f>
        <v>4.9714119999999994E-2</v>
      </c>
      <c r="Q24" s="340">
        <f>J24*K24</f>
        <v>4.9714119999999994E-2</v>
      </c>
    </row>
    <row r="25" spans="1:17" ht="14.25" customHeight="1">
      <c r="A25" s="2">
        <v>13</v>
      </c>
      <c r="B25" s="320"/>
      <c r="C25" s="4"/>
      <c r="D25" s="69"/>
      <c r="E25" s="19"/>
      <c r="F25" s="19"/>
      <c r="G25" s="69"/>
      <c r="H25" s="69"/>
      <c r="I25" s="69"/>
      <c r="J25" s="68"/>
      <c r="K25" s="68"/>
      <c r="L25" s="69"/>
      <c r="M25" s="277"/>
      <c r="P25" s="658"/>
      <c r="Q25" s="659"/>
    </row>
    <row r="26" spans="1:17">
      <c r="A26" s="2">
        <v>14</v>
      </c>
      <c r="C26" s="16" t="s">
        <v>670</v>
      </c>
      <c r="D26" s="100">
        <f>'WP B.5 F'!P26</f>
        <v>30739755.205077421</v>
      </c>
      <c r="E26" s="340">
        <f>$E$22</f>
        <v>9.8599999999999993E-2</v>
      </c>
      <c r="F26" s="340">
        <f>$F$22</f>
        <v>0.50419999999999998</v>
      </c>
      <c r="G26" s="100">
        <f>D26*E26*F26</f>
        <v>1528199.8790358433</v>
      </c>
      <c r="H26" s="69"/>
      <c r="I26" s="100">
        <f>'WP B.5 F'!Q26</f>
        <v>30739755.205077421</v>
      </c>
      <c r="J26" s="357">
        <f>E26</f>
        <v>9.8599999999999993E-2</v>
      </c>
      <c r="K26" s="357">
        <f>F26</f>
        <v>0.50419999999999998</v>
      </c>
      <c r="L26" s="100">
        <f>I26*J26*K26</f>
        <v>1528199.8790358433</v>
      </c>
      <c r="M26" s="277"/>
      <c r="P26" s="340">
        <f>E26*F26</f>
        <v>4.9714119999999994E-2</v>
      </c>
      <c r="Q26" s="340">
        <f>J26*K26</f>
        <v>4.9714119999999994E-2</v>
      </c>
    </row>
    <row r="27" spans="1:17" ht="14.25" customHeight="1">
      <c r="A27" s="2">
        <v>15</v>
      </c>
      <c r="D27" s="65"/>
      <c r="E27" s="19"/>
      <c r="F27" s="19"/>
      <c r="G27" s="65"/>
      <c r="H27" s="69"/>
      <c r="I27" s="65"/>
      <c r="J27" s="406"/>
      <c r="K27" s="406"/>
      <c r="L27" s="65"/>
      <c r="M27" s="277"/>
      <c r="P27" s="659"/>
      <c r="Q27" s="659"/>
    </row>
    <row r="28" spans="1:17">
      <c r="A28" s="2">
        <v>16</v>
      </c>
      <c r="C28" s="20" t="s">
        <v>67</v>
      </c>
      <c r="D28" s="1081">
        <f>SUM(D22:D26)</f>
        <v>1014514095.8304157</v>
      </c>
      <c r="E28" s="19"/>
      <c r="F28" s="19"/>
      <c r="G28" s="1081">
        <f>SUM(G22:G26)</f>
        <v>50435675.501804784</v>
      </c>
      <c r="I28" s="1081">
        <f>SUM(I22:I26)</f>
        <v>1014514095.8304157</v>
      </c>
      <c r="J28" s="68"/>
      <c r="K28" s="68"/>
      <c r="L28" s="1081">
        <f>SUM(L22:L26)</f>
        <v>50435675.501804784</v>
      </c>
      <c r="M28" s="277"/>
      <c r="P28" s="659"/>
      <c r="Q28" s="659"/>
    </row>
    <row r="29" spans="1:17" ht="15.75">
      <c r="A29" s="2">
        <v>17</v>
      </c>
      <c r="B29" s="12" t="s">
        <v>1098</v>
      </c>
      <c r="E29" s="48"/>
      <c r="F29" s="48"/>
      <c r="J29" s="48"/>
      <c r="K29" s="48"/>
      <c r="M29" s="277"/>
      <c r="P29" s="659"/>
      <c r="Q29" s="659"/>
    </row>
    <row r="30" spans="1:17">
      <c r="A30" s="2">
        <v>18</v>
      </c>
      <c r="C30" s="16" t="s">
        <v>668</v>
      </c>
      <c r="D30" s="275">
        <f>'WP B.5 F'!P30</f>
        <v>-469726</v>
      </c>
      <c r="E30" s="340">
        <f>Allocation!C15</f>
        <v>0.11020000000000001</v>
      </c>
      <c r="F30" s="340">
        <f>Allocation!D15</f>
        <v>0.50429999999999997</v>
      </c>
      <c r="G30" s="275">
        <f>D30*E30*F30</f>
        <v>-26104.486962359999</v>
      </c>
      <c r="H30" s="69"/>
      <c r="I30" s="275">
        <f>'WP B.5 F'!Q30</f>
        <v>-469726</v>
      </c>
      <c r="J30" s="357">
        <f>E30</f>
        <v>0.11020000000000001</v>
      </c>
      <c r="K30" s="357">
        <f>F30</f>
        <v>0.50429999999999997</v>
      </c>
      <c r="L30" s="275">
        <f>I30*J30*K30</f>
        <v>-26104.486962359999</v>
      </c>
      <c r="M30" s="277"/>
      <c r="P30" s="340">
        <f>E30*F30</f>
        <v>5.5573860000000003E-2</v>
      </c>
      <c r="Q30" s="340">
        <f>J30*K30</f>
        <v>5.5573860000000003E-2</v>
      </c>
    </row>
    <row r="31" spans="1:17">
      <c r="A31" s="2">
        <v>19</v>
      </c>
      <c r="B31" s="320"/>
      <c r="C31" s="4"/>
      <c r="D31" s="69"/>
      <c r="E31" s="19"/>
      <c r="F31" s="19"/>
      <c r="G31" s="69"/>
      <c r="H31" s="69"/>
      <c r="I31" s="69"/>
      <c r="J31" s="68"/>
      <c r="K31" s="68"/>
      <c r="L31" s="69"/>
      <c r="M31" s="277"/>
      <c r="P31" s="658"/>
      <c r="Q31" s="659"/>
    </row>
    <row r="32" spans="1:17">
      <c r="A32" s="2">
        <v>20</v>
      </c>
      <c r="C32" s="16" t="s">
        <v>669</v>
      </c>
      <c r="D32" s="100">
        <f>'WP B.5 F'!P32</f>
        <v>-10946260.540675491</v>
      </c>
      <c r="E32" s="340">
        <f>$E$30</f>
        <v>0.11020000000000001</v>
      </c>
      <c r="F32" s="340">
        <f>$F$30</f>
        <v>0.50429999999999997</v>
      </c>
      <c r="G32" s="100">
        <f>D32*E32*F32</f>
        <v>-608325.95081102406</v>
      </c>
      <c r="H32" s="69"/>
      <c r="I32" s="100">
        <f>'WP B.5 F'!Q32</f>
        <v>-10946260.540675491</v>
      </c>
      <c r="J32" s="357">
        <f>E32</f>
        <v>0.11020000000000001</v>
      </c>
      <c r="K32" s="357">
        <f>F32</f>
        <v>0.50429999999999997</v>
      </c>
      <c r="L32" s="100">
        <f>I32*J32*K32</f>
        <v>-608325.95081102406</v>
      </c>
      <c r="M32" s="277"/>
      <c r="P32" s="340">
        <f>E32*F32</f>
        <v>5.5573860000000003E-2</v>
      </c>
      <c r="Q32" s="340">
        <f>J32*K32</f>
        <v>5.5573860000000003E-2</v>
      </c>
    </row>
    <row r="33" spans="1:17">
      <c r="A33" s="2">
        <v>21</v>
      </c>
      <c r="B33" s="320"/>
      <c r="C33" s="4"/>
      <c r="D33" s="69"/>
      <c r="E33" s="19"/>
      <c r="F33" s="19"/>
      <c r="G33" s="69"/>
      <c r="H33" s="69"/>
      <c r="I33" s="69"/>
      <c r="J33" s="68"/>
      <c r="K33" s="68"/>
      <c r="L33" s="69"/>
      <c r="M33" s="277"/>
      <c r="P33" s="658"/>
      <c r="Q33" s="659"/>
    </row>
    <row r="34" spans="1:17">
      <c r="A34" s="2">
        <v>22</v>
      </c>
      <c r="C34" s="16" t="s">
        <v>670</v>
      </c>
      <c r="D34" s="100">
        <f>'WP B.5 F'!P34</f>
        <v>195</v>
      </c>
      <c r="E34" s="340">
        <f>$E$30</f>
        <v>0.11020000000000001</v>
      </c>
      <c r="F34" s="340">
        <f>$F$30</f>
        <v>0.50429999999999997</v>
      </c>
      <c r="G34" s="100">
        <f>D34*E34*F34</f>
        <v>10.8369027</v>
      </c>
      <c r="H34" s="69"/>
      <c r="I34" s="100">
        <f>'WP B.5 F'!Q34</f>
        <v>195</v>
      </c>
      <c r="J34" s="357">
        <f>E34</f>
        <v>0.11020000000000001</v>
      </c>
      <c r="K34" s="357">
        <f>F34</f>
        <v>0.50429999999999997</v>
      </c>
      <c r="L34" s="100">
        <f>I34*J34*K34</f>
        <v>10.8369027</v>
      </c>
      <c r="M34" s="277"/>
      <c r="P34" s="340">
        <f>E34*F34</f>
        <v>5.5573860000000003E-2</v>
      </c>
      <c r="Q34" s="340">
        <f>J34*K34</f>
        <v>5.5573860000000003E-2</v>
      </c>
    </row>
    <row r="35" spans="1:17">
      <c r="A35" s="2">
        <v>23</v>
      </c>
      <c r="D35" s="65"/>
      <c r="E35" s="19"/>
      <c r="F35" s="19"/>
      <c r="G35" s="65"/>
      <c r="H35" s="69"/>
      <c r="I35" s="65"/>
      <c r="J35" s="406"/>
      <c r="K35" s="406"/>
      <c r="L35" s="65"/>
      <c r="M35" s="277"/>
      <c r="P35" s="659"/>
      <c r="Q35" s="659"/>
    </row>
    <row r="36" spans="1:17">
      <c r="A36" s="2">
        <v>24</v>
      </c>
      <c r="C36" s="20" t="s">
        <v>713</v>
      </c>
      <c r="D36" s="1081">
        <f>SUM(D30:D34)</f>
        <v>-11415791.540675491</v>
      </c>
      <c r="E36" s="19"/>
      <c r="F36" s="19"/>
      <c r="G36" s="1081">
        <f>SUM(G30:G34)</f>
        <v>-634419.60087068402</v>
      </c>
      <c r="I36" s="1081">
        <f>SUM(I30:I34)</f>
        <v>-11415791.540675491</v>
      </c>
      <c r="J36" s="68"/>
      <c r="K36" s="68"/>
      <c r="L36" s="1081">
        <f>SUM(L30:L34)</f>
        <v>-634419.60087068402</v>
      </c>
      <c r="M36" s="277"/>
      <c r="P36" s="659"/>
      <c r="Q36" s="659"/>
    </row>
    <row r="37" spans="1:17" ht="15.75">
      <c r="A37" s="2">
        <v>25</v>
      </c>
      <c r="B37" s="12" t="s">
        <v>671</v>
      </c>
      <c r="E37" s="48"/>
      <c r="F37" s="48"/>
      <c r="J37" s="48"/>
      <c r="K37" s="48"/>
      <c r="M37" s="277"/>
      <c r="P37" s="659"/>
      <c r="Q37" s="659"/>
    </row>
    <row r="38" spans="1:17">
      <c r="A38" s="2">
        <v>26</v>
      </c>
      <c r="C38" s="16" t="s">
        <v>668</v>
      </c>
      <c r="D38" s="275">
        <f>'WP B.5 F'!P39</f>
        <v>-2447669</v>
      </c>
      <c r="E38" s="404">
        <v>1</v>
      </c>
      <c r="F38" s="340">
        <f>Allocation!D17</f>
        <v>0.50419999999999998</v>
      </c>
      <c r="G38" s="275">
        <f>D38*E38*F38</f>
        <v>-1234114.7098000001</v>
      </c>
      <c r="H38" s="69"/>
      <c r="I38" s="275">
        <f>'WP B.5 F'!Q39</f>
        <v>-2447669</v>
      </c>
      <c r="J38" s="404">
        <f>E38</f>
        <v>1</v>
      </c>
      <c r="K38" s="340">
        <f>F38</f>
        <v>0.50419999999999998</v>
      </c>
      <c r="L38" s="275">
        <f>I38*J38*K38</f>
        <v>-1234114.7098000001</v>
      </c>
      <c r="M38" s="277"/>
      <c r="P38" s="340">
        <f>E38*F38</f>
        <v>0.50419999999999998</v>
      </c>
      <c r="Q38" s="340">
        <f>J38*K38</f>
        <v>0.50419999999999998</v>
      </c>
    </row>
    <row r="39" spans="1:17">
      <c r="A39" s="2">
        <v>27</v>
      </c>
      <c r="D39" s="65"/>
      <c r="E39" s="19"/>
      <c r="F39" s="19"/>
      <c r="G39" s="65"/>
      <c r="H39" s="69"/>
      <c r="I39" s="65"/>
      <c r="J39" s="406"/>
      <c r="K39" s="406"/>
      <c r="L39" s="65"/>
      <c r="M39" s="277"/>
      <c r="P39" s="658"/>
      <c r="Q39" s="659"/>
    </row>
    <row r="40" spans="1:17">
      <c r="A40" s="2">
        <v>28</v>
      </c>
      <c r="C40" s="16" t="s">
        <v>435</v>
      </c>
      <c r="D40" s="100">
        <f>'WP B.5 F'!P45</f>
        <v>0</v>
      </c>
      <c r="E40" s="404">
        <f>$E$38</f>
        <v>1</v>
      </c>
      <c r="F40" s="340">
        <f>$F$38</f>
        <v>0.50419999999999998</v>
      </c>
      <c r="G40" s="100">
        <f>D40*E40*F40</f>
        <v>0</v>
      </c>
      <c r="H40" s="69"/>
      <c r="I40" s="100">
        <f>'WP B.5 F'!Q45</f>
        <v>0</v>
      </c>
      <c r="J40" s="404">
        <f>E40</f>
        <v>1</v>
      </c>
      <c r="K40" s="340">
        <f>F40</f>
        <v>0.50419999999999998</v>
      </c>
      <c r="L40" s="100">
        <f>I40*J40*K40</f>
        <v>0</v>
      </c>
      <c r="M40" s="277"/>
      <c r="P40" s="340">
        <f>E40*F40</f>
        <v>0.50419999999999998</v>
      </c>
      <c r="Q40" s="340">
        <f>J40*K40</f>
        <v>0.50419999999999998</v>
      </c>
    </row>
    <row r="41" spans="1:17">
      <c r="A41" s="2">
        <v>29</v>
      </c>
      <c r="D41" s="65"/>
      <c r="E41" s="19"/>
      <c r="F41" s="19"/>
      <c r="G41" s="65"/>
      <c r="H41" s="69"/>
      <c r="I41" s="65"/>
      <c r="J41" s="406"/>
      <c r="K41" s="406"/>
      <c r="L41" s="65"/>
      <c r="M41" s="277"/>
      <c r="P41" s="658"/>
      <c r="Q41" s="659"/>
    </row>
    <row r="42" spans="1:17">
      <c r="A42" s="2">
        <v>30</v>
      </c>
      <c r="C42" s="16" t="s">
        <v>669</v>
      </c>
      <c r="D42" s="100">
        <f>'WP B.5 F'!P41</f>
        <v>-875857.58701797551</v>
      </c>
      <c r="E42" s="404">
        <f>$E$38</f>
        <v>1</v>
      </c>
      <c r="F42" s="340">
        <f>$F$38</f>
        <v>0.50419999999999998</v>
      </c>
      <c r="G42" s="100">
        <f>D42*E42*F42</f>
        <v>-441607.39537446323</v>
      </c>
      <c r="H42" s="69"/>
      <c r="I42" s="100">
        <f>'WP B.5 F'!Q41</f>
        <v>-875857.58701797551</v>
      </c>
      <c r="J42" s="404">
        <f>E42</f>
        <v>1</v>
      </c>
      <c r="K42" s="340">
        <f>F42</f>
        <v>0.50419999999999998</v>
      </c>
      <c r="L42" s="100">
        <f>I42*J42*K42</f>
        <v>-441607.39537446323</v>
      </c>
      <c r="M42" s="277"/>
      <c r="P42" s="340">
        <f>E42*F42</f>
        <v>0.50419999999999998</v>
      </c>
      <c r="Q42" s="340">
        <f>J42*K42</f>
        <v>0.50419999999999998</v>
      </c>
    </row>
    <row r="43" spans="1:17">
      <c r="A43" s="2">
        <v>31</v>
      </c>
      <c r="D43" s="65"/>
      <c r="E43" s="19"/>
      <c r="F43" s="19"/>
      <c r="G43" s="65"/>
      <c r="H43" s="69"/>
      <c r="I43" s="65"/>
      <c r="J43" s="406"/>
      <c r="K43" s="406"/>
      <c r="L43" s="65"/>
      <c r="M43" s="277"/>
      <c r="P43" s="659"/>
      <c r="Q43" s="659"/>
    </row>
    <row r="44" spans="1:17">
      <c r="A44" s="2">
        <v>32</v>
      </c>
      <c r="C44" s="16" t="s">
        <v>670</v>
      </c>
      <c r="D44" s="100">
        <f>'WP B.5 F'!P43</f>
        <v>-1307420</v>
      </c>
      <c r="E44" s="404">
        <f>$E$38</f>
        <v>1</v>
      </c>
      <c r="F44" s="340">
        <f>$F$38</f>
        <v>0.50419999999999998</v>
      </c>
      <c r="G44" s="100">
        <f>D44*E44*F44</f>
        <v>-659201.16399999999</v>
      </c>
      <c r="H44" s="69"/>
      <c r="I44" s="100">
        <f>'WP B.5 F'!Q43</f>
        <v>-1307420</v>
      </c>
      <c r="J44" s="404">
        <f>E44</f>
        <v>1</v>
      </c>
      <c r="K44" s="340">
        <f>F44</f>
        <v>0.50419999999999998</v>
      </c>
      <c r="L44" s="100">
        <f>I44*J44*K44</f>
        <v>-659201.16399999999</v>
      </c>
      <c r="M44" s="277"/>
      <c r="P44" s="340">
        <f>E44*F44</f>
        <v>0.50419999999999998</v>
      </c>
      <c r="Q44" s="340">
        <f>J44*K44</f>
        <v>0.50419999999999998</v>
      </c>
    </row>
    <row r="45" spans="1:17">
      <c r="A45" s="2">
        <v>33</v>
      </c>
      <c r="D45" s="65"/>
      <c r="E45" s="19"/>
      <c r="F45" s="19"/>
      <c r="G45" s="65"/>
      <c r="H45" s="69"/>
      <c r="I45" s="65"/>
      <c r="J45" s="406"/>
      <c r="K45" s="406"/>
      <c r="L45" s="65"/>
      <c r="M45" s="277"/>
      <c r="P45" s="340"/>
      <c r="Q45" s="340"/>
    </row>
    <row r="46" spans="1:17">
      <c r="A46" s="2">
        <v>34</v>
      </c>
      <c r="C46" s="20" t="s">
        <v>434</v>
      </c>
      <c r="D46" s="1081">
        <f>SUM(D38:D44)</f>
        <v>-4630946.5870179757</v>
      </c>
      <c r="E46" s="19"/>
      <c r="F46" s="19"/>
      <c r="G46" s="1081">
        <f>SUM(G38:G44)</f>
        <v>-2334923.2691744631</v>
      </c>
      <c r="I46" s="1081">
        <f>SUM(I38:I44)</f>
        <v>-4630946.5870179757</v>
      </c>
      <c r="J46" s="68"/>
      <c r="K46" s="68"/>
      <c r="L46" s="1081">
        <f>SUM(L38:L44)</f>
        <v>-2334923.2691744631</v>
      </c>
      <c r="M46" s="277"/>
    </row>
    <row r="47" spans="1:17">
      <c r="A47" s="2">
        <v>35</v>
      </c>
      <c r="E47" s="48"/>
      <c r="F47" s="48"/>
      <c r="J47" s="48"/>
      <c r="K47" s="48"/>
      <c r="M47" s="277"/>
    </row>
    <row r="48" spans="1:17">
      <c r="A48" s="2">
        <v>36</v>
      </c>
      <c r="E48" s="48"/>
      <c r="F48" s="48"/>
      <c r="J48" s="48"/>
      <c r="K48" s="48"/>
      <c r="M48" s="277"/>
    </row>
    <row r="49" spans="1:12" ht="15.75">
      <c r="A49" s="2">
        <v>37</v>
      </c>
      <c r="B49" s="31"/>
      <c r="C49" s="432" t="s">
        <v>715</v>
      </c>
      <c r="D49" s="1085">
        <f>D46+D36+D28+D19</f>
        <v>898802447.23256254</v>
      </c>
      <c r="E49" s="48"/>
      <c r="F49" s="48"/>
      <c r="G49" s="1085">
        <f>G46+G36+G28+G19</f>
        <v>-52198577.838400073</v>
      </c>
      <c r="I49" s="1085">
        <f>I46+I36+I28+I19</f>
        <v>898802447.23256254</v>
      </c>
      <c r="J49" s="48"/>
      <c r="K49" s="48"/>
      <c r="L49" s="1085">
        <f>L46+L36+L28+L19</f>
        <v>-52198577.838400073</v>
      </c>
    </row>
    <row r="50" spans="1:12">
      <c r="A50" s="653">
        <v>38</v>
      </c>
      <c r="B50" s="31"/>
      <c r="C50" s="664" t="s">
        <v>1411</v>
      </c>
      <c r="E50" s="48"/>
      <c r="F50" s="48"/>
      <c r="J50" s="48"/>
      <c r="K50" s="48"/>
    </row>
    <row r="51" spans="1:12" ht="15.75">
      <c r="A51" s="653">
        <v>39</v>
      </c>
      <c r="B51" s="31"/>
      <c r="C51" s="94" t="s">
        <v>1405</v>
      </c>
      <c r="E51" s="48"/>
      <c r="F51" s="48"/>
      <c r="J51" s="48"/>
      <c r="K51" s="48"/>
      <c r="L51" s="84">
        <f>I73</f>
        <v>-11871205.994807383</v>
      </c>
    </row>
    <row r="52" spans="1:12">
      <c r="A52" s="653">
        <v>40</v>
      </c>
      <c r="B52" s="31"/>
      <c r="C52" s="84"/>
      <c r="E52" s="654"/>
      <c r="F52" s="654"/>
      <c r="J52" s="654"/>
      <c r="K52" s="654"/>
    </row>
    <row r="53" spans="1:12" ht="16.5" thickBot="1">
      <c r="A53" s="653">
        <v>41</v>
      </c>
      <c r="B53" s="31"/>
      <c r="C53" s="94" t="s">
        <v>1406</v>
      </c>
      <c r="E53" s="654"/>
      <c r="F53" s="654"/>
      <c r="J53" s="654"/>
      <c r="K53" s="654"/>
      <c r="L53" s="1086">
        <f>L49+L51</f>
        <v>-64069783.833207458</v>
      </c>
    </row>
    <row r="54" spans="1:12" ht="15.75" thickTop="1">
      <c r="A54" s="653">
        <v>42</v>
      </c>
      <c r="B54" s="31"/>
      <c r="E54" s="654"/>
      <c r="F54" s="654"/>
      <c r="J54" s="654"/>
      <c r="K54" s="654"/>
    </row>
    <row r="55" spans="1:12" ht="15.75">
      <c r="A55" s="653">
        <v>43</v>
      </c>
      <c r="B55" s="31"/>
      <c r="C55" s="666" t="s">
        <v>1389</v>
      </c>
      <c r="D55" s="53"/>
      <c r="E55" s="297"/>
      <c r="F55" s="297"/>
      <c r="G55" s="53"/>
      <c r="H55" s="667"/>
      <c r="I55" s="53"/>
      <c r="J55" s="48"/>
      <c r="K55" s="48"/>
    </row>
    <row r="56" spans="1:12" ht="15.75">
      <c r="A56" s="653">
        <v>44</v>
      </c>
      <c r="B56" s="31"/>
      <c r="C56" s="668" t="s">
        <v>1390</v>
      </c>
      <c r="D56" s="31"/>
      <c r="E56" s="193"/>
      <c r="F56" s="193"/>
      <c r="G56" s="31"/>
      <c r="I56" s="31"/>
      <c r="J56" s="48"/>
      <c r="K56" s="48"/>
    </row>
    <row r="57" spans="1:12">
      <c r="A57" s="653">
        <v>45</v>
      </c>
      <c r="F57" s="653" t="s">
        <v>57</v>
      </c>
      <c r="I57" s="653"/>
      <c r="J57" s="48"/>
      <c r="K57" s="48"/>
    </row>
    <row r="58" spans="1:12">
      <c r="A58" s="653">
        <v>46</v>
      </c>
      <c r="C58" s="5" t="s">
        <v>1392</v>
      </c>
      <c r="D58" s="649"/>
      <c r="E58" s="649"/>
      <c r="F58" s="656" t="s">
        <v>100</v>
      </c>
      <c r="G58" s="649"/>
      <c r="H58" s="657"/>
      <c r="I58" s="656"/>
      <c r="J58" s="48"/>
      <c r="K58" s="48"/>
    </row>
    <row r="59" spans="1:12">
      <c r="A59" s="653">
        <v>47</v>
      </c>
      <c r="B59" s="31"/>
      <c r="F59" s="654"/>
      <c r="J59" s="48"/>
      <c r="K59" s="48"/>
    </row>
    <row r="60" spans="1:12">
      <c r="A60" s="653">
        <v>48</v>
      </c>
      <c r="B60" s="31"/>
      <c r="C60" s="1" t="s">
        <v>1391</v>
      </c>
      <c r="F60" s="654" t="s">
        <v>1393</v>
      </c>
      <c r="I60" s="84">
        <f>'B.1 F '!F27</f>
        <v>596130007.08261716</v>
      </c>
      <c r="J60" s="48"/>
      <c r="K60" s="48"/>
    </row>
    <row r="61" spans="1:12">
      <c r="A61" s="653">
        <v>49</v>
      </c>
      <c r="B61" s="31"/>
      <c r="F61" s="654"/>
      <c r="J61" s="48"/>
      <c r="K61" s="48"/>
    </row>
    <row r="62" spans="1:12">
      <c r="A62" s="653">
        <v>50</v>
      </c>
      <c r="B62" s="31"/>
      <c r="C62" s="1" t="s">
        <v>1394</v>
      </c>
      <c r="F62" s="654" t="s">
        <v>1395</v>
      </c>
      <c r="I62" s="84">
        <f>A.1!G24</f>
        <v>45663559</v>
      </c>
      <c r="J62" s="48"/>
      <c r="K62" s="48"/>
    </row>
    <row r="63" spans="1:12">
      <c r="A63" s="653">
        <v>51</v>
      </c>
      <c r="B63" s="31"/>
      <c r="F63" s="654"/>
      <c r="J63" s="48"/>
      <c r="K63" s="48"/>
    </row>
    <row r="64" spans="1:12">
      <c r="A64" s="653">
        <v>52</v>
      </c>
      <c r="B64" s="31"/>
      <c r="C64" s="1" t="s">
        <v>210</v>
      </c>
      <c r="F64" s="654" t="s">
        <v>1396</v>
      </c>
      <c r="I64" s="84">
        <f>E!G32</f>
        <v>10496657.164710725</v>
      </c>
      <c r="J64" s="48"/>
      <c r="K64" s="48"/>
    </row>
    <row r="65" spans="1:11">
      <c r="A65" s="653">
        <v>53</v>
      </c>
      <c r="B65" s="31"/>
      <c r="F65" s="654"/>
      <c r="J65" s="48"/>
      <c r="K65" s="48"/>
    </row>
    <row r="66" spans="1:11">
      <c r="A66" s="653">
        <v>54</v>
      </c>
      <c r="B66" s="31"/>
      <c r="C66" s="1" t="s">
        <v>1397</v>
      </c>
      <c r="F66" s="654" t="s">
        <v>1415</v>
      </c>
      <c r="I66" s="84">
        <f>I62-I64</f>
        <v>35166901.835289277</v>
      </c>
      <c r="J66" s="48"/>
      <c r="K66" s="48"/>
    </row>
    <row r="67" spans="1:11">
      <c r="A67" s="653">
        <v>55</v>
      </c>
      <c r="B67" s="31"/>
      <c r="F67" s="654"/>
      <c r="J67" s="48"/>
      <c r="K67" s="48"/>
    </row>
    <row r="68" spans="1:11">
      <c r="A68" s="653">
        <v>56</v>
      </c>
      <c r="B68" s="31"/>
      <c r="C68" s="1" t="s">
        <v>1398</v>
      </c>
      <c r="D68" s="1053">
        <f>Allocation!E25</f>
        <v>0.2495</v>
      </c>
      <c r="F68" s="654" t="s">
        <v>1417</v>
      </c>
      <c r="I68" s="84">
        <f>I66/(1-D68)</f>
        <v>46857963.804516032</v>
      </c>
      <c r="J68" s="48"/>
      <c r="K68" s="48"/>
    </row>
    <row r="69" spans="1:11">
      <c r="A69" s="653">
        <v>57</v>
      </c>
      <c r="B69" s="31"/>
      <c r="F69" s="654"/>
      <c r="J69" s="48"/>
      <c r="K69" s="48"/>
    </row>
    <row r="70" spans="1:11">
      <c r="A70" s="653">
        <v>58</v>
      </c>
      <c r="B70" s="31"/>
      <c r="C70" s="1" t="s">
        <v>1407</v>
      </c>
      <c r="D70" s="1053">
        <f>D68</f>
        <v>0.2495</v>
      </c>
      <c r="F70" s="654" t="s">
        <v>1416</v>
      </c>
      <c r="I70" s="1087">
        <f>I68*D70</f>
        <v>11691061.96922675</v>
      </c>
      <c r="J70" s="48"/>
      <c r="K70" s="48"/>
    </row>
    <row r="71" spans="1:11">
      <c r="A71" s="653">
        <v>59</v>
      </c>
      <c r="F71" s="654"/>
      <c r="J71" s="48"/>
      <c r="K71" s="48"/>
    </row>
    <row r="72" spans="1:11">
      <c r="A72" s="653">
        <v>60</v>
      </c>
      <c r="C72" s="1" t="s">
        <v>1403</v>
      </c>
      <c r="F72" s="654" t="s">
        <v>1418</v>
      </c>
      <c r="I72" s="85">
        <f>L49-'B.5 B'!L49</f>
        <v>180144.02544406056</v>
      </c>
      <c r="J72" s="654"/>
      <c r="K72" s="654"/>
    </row>
    <row r="73" spans="1:11">
      <c r="A73" s="653">
        <v>61</v>
      </c>
      <c r="C73" s="1" t="s">
        <v>1404</v>
      </c>
      <c r="F73" s="654"/>
      <c r="I73" s="657">
        <v>-11871205.994807383</v>
      </c>
      <c r="J73" s="654"/>
      <c r="K73" s="91">
        <f>I70+I75</f>
        <v>-1.3657286763191223E-4</v>
      </c>
    </row>
    <row r="74" spans="1:11">
      <c r="A74" s="653">
        <v>62</v>
      </c>
      <c r="F74" s="654"/>
      <c r="J74" s="654"/>
      <c r="K74" s="654"/>
    </row>
    <row r="75" spans="1:11" ht="16.5" thickBot="1">
      <c r="A75" s="653">
        <v>63</v>
      </c>
      <c r="C75" s="94" t="s">
        <v>1409</v>
      </c>
      <c r="D75" s="94"/>
      <c r="E75" s="94"/>
      <c r="F75" s="655" t="s">
        <v>1399</v>
      </c>
      <c r="G75" s="94"/>
      <c r="H75" s="663"/>
      <c r="I75" s="1088">
        <f>SUM(I72:I73)</f>
        <v>-11691061.969363322</v>
      </c>
      <c r="J75" s="48"/>
      <c r="K75" s="48"/>
    </row>
    <row r="76" spans="1:11" ht="15.75" thickTop="1">
      <c r="A76" s="653">
        <v>64</v>
      </c>
      <c r="J76" s="48"/>
      <c r="K76" s="937"/>
    </row>
    <row r="77" spans="1:11">
      <c r="A77" s="653">
        <v>65</v>
      </c>
      <c r="J77" s="48"/>
      <c r="K77" s="48"/>
    </row>
    <row r="78" spans="1:11" ht="15.75">
      <c r="A78" s="653">
        <v>66</v>
      </c>
      <c r="C78" s="662" t="s">
        <v>1402</v>
      </c>
      <c r="D78" s="649"/>
      <c r="E78" s="649"/>
      <c r="F78" s="649"/>
      <c r="G78" s="649"/>
      <c r="H78" s="657"/>
      <c r="I78" s="657"/>
      <c r="J78" s="48"/>
      <c r="K78" s="48"/>
    </row>
    <row r="79" spans="1:11" ht="15.75">
      <c r="A79" s="653">
        <v>67</v>
      </c>
      <c r="C79" s="94" t="s">
        <v>1549</v>
      </c>
      <c r="D79" s="94"/>
      <c r="E79" s="94"/>
      <c r="F79" s="655" t="s">
        <v>1408</v>
      </c>
      <c r="G79" s="94"/>
      <c r="H79" s="663"/>
      <c r="I79" s="764">
        <f>'B.5 B'!L49</f>
        <v>-52378721.863844134</v>
      </c>
      <c r="J79" s="48"/>
      <c r="K79" s="48"/>
    </row>
    <row r="80" spans="1:11">
      <c r="A80" s="653">
        <v>68</v>
      </c>
      <c r="I80" s="73"/>
      <c r="J80" s="654"/>
      <c r="K80" s="654"/>
    </row>
    <row r="81" spans="1:12">
      <c r="A81" s="653">
        <v>69</v>
      </c>
      <c r="C81" s="1" t="s">
        <v>1400</v>
      </c>
      <c r="F81" s="654" t="s">
        <v>1413</v>
      </c>
      <c r="I81" s="95">
        <f>L49</f>
        <v>-52198577.838400073</v>
      </c>
      <c r="J81" s="48"/>
      <c r="K81" s="48"/>
    </row>
    <row r="82" spans="1:12">
      <c r="A82" s="653">
        <v>70</v>
      </c>
      <c r="C82" s="84" t="s">
        <v>1385</v>
      </c>
      <c r="F82" s="654" t="s">
        <v>1414</v>
      </c>
      <c r="I82" s="1089">
        <f>I73</f>
        <v>-11871205.994807383</v>
      </c>
      <c r="J82" s="48"/>
      <c r="K82" s="48"/>
    </row>
    <row r="83" spans="1:12" ht="15.75">
      <c r="A83" s="653">
        <v>71</v>
      </c>
      <c r="C83" s="94" t="s">
        <v>1406</v>
      </c>
      <c r="D83" s="94"/>
      <c r="E83" s="94"/>
      <c r="F83" s="94"/>
      <c r="G83" s="94"/>
      <c r="H83" s="663"/>
      <c r="I83" s="1090">
        <f>SUM(I81:I82)</f>
        <v>-64069783.833207458</v>
      </c>
      <c r="J83" s="48"/>
      <c r="K83" s="48"/>
    </row>
    <row r="84" spans="1:12" ht="15.75">
      <c r="A84" s="653">
        <v>72</v>
      </c>
      <c r="C84" s="94"/>
      <c r="I84" s="663"/>
      <c r="J84" s="654"/>
      <c r="K84" s="654"/>
    </row>
    <row r="85" spans="1:12" ht="16.5" thickBot="1">
      <c r="A85" s="653">
        <v>73</v>
      </c>
      <c r="C85" s="94" t="s">
        <v>1401</v>
      </c>
      <c r="F85" s="1" t="s">
        <v>1412</v>
      </c>
      <c r="I85" s="1091">
        <f>I83-I79</f>
        <v>-11691061.969363324</v>
      </c>
      <c r="J85" s="48"/>
      <c r="K85" s="48"/>
    </row>
    <row r="86" spans="1:12" ht="16.5" thickTop="1">
      <c r="A86" s="653">
        <v>74</v>
      </c>
      <c r="C86" s="94"/>
      <c r="I86" s="663"/>
      <c r="J86" s="654"/>
      <c r="K86" s="654"/>
    </row>
    <row r="87" spans="1:12">
      <c r="A87" s="653">
        <v>75</v>
      </c>
      <c r="I87" s="31"/>
      <c r="J87" s="48"/>
      <c r="K87" s="48"/>
    </row>
    <row r="88" spans="1:12">
      <c r="A88" s="653">
        <v>76</v>
      </c>
      <c r="C88" s="664" t="s">
        <v>1410</v>
      </c>
      <c r="E88" s="654"/>
      <c r="F88" s="654"/>
      <c r="J88" s="48"/>
      <c r="K88" s="48"/>
    </row>
    <row r="89" spans="1:12">
      <c r="E89" s="654"/>
      <c r="F89" s="654"/>
      <c r="J89" s="48"/>
      <c r="K89" s="48"/>
    </row>
    <row r="90" spans="1:12">
      <c r="E90" s="654"/>
      <c r="F90" s="654"/>
      <c r="J90" s="48"/>
      <c r="K90" s="48"/>
      <c r="L90" s="135"/>
    </row>
    <row r="91" spans="1:12">
      <c r="C91" s="1" t="s">
        <v>1666</v>
      </c>
      <c r="E91" s="654"/>
      <c r="F91" s="654"/>
      <c r="J91" s="48"/>
      <c r="K91" s="48"/>
      <c r="L91" s="135"/>
    </row>
    <row r="92" spans="1:12">
      <c r="E92" s="654"/>
      <c r="F92" s="654"/>
      <c r="J92" s="48"/>
      <c r="K92" s="48"/>
      <c r="L92" s="645"/>
    </row>
    <row r="93" spans="1:12">
      <c r="E93" s="654"/>
      <c r="F93" s="654"/>
      <c r="J93" s="48"/>
      <c r="K93" s="48"/>
      <c r="L93" s="135"/>
    </row>
    <row r="94" spans="1:12">
      <c r="E94" s="654"/>
      <c r="F94" s="654"/>
      <c r="J94" s="48"/>
      <c r="K94" s="48"/>
    </row>
    <row r="95" spans="1:12">
      <c r="E95" s="654"/>
      <c r="F95" s="654"/>
      <c r="J95" s="48"/>
      <c r="K95" s="48"/>
    </row>
    <row r="96" spans="1:12">
      <c r="E96" s="654"/>
      <c r="F96" s="654"/>
      <c r="J96" s="48"/>
      <c r="K96" s="48"/>
    </row>
    <row r="97" spans="5:11">
      <c r="E97" s="48"/>
      <c r="F97" s="48"/>
      <c r="J97" s="48"/>
      <c r="K97" s="48"/>
    </row>
    <row r="98" spans="5:11">
      <c r="E98" s="48"/>
      <c r="F98" s="48"/>
      <c r="J98" s="48"/>
      <c r="K98" s="48"/>
    </row>
    <row r="99" spans="5:11">
      <c r="E99" s="48"/>
      <c r="F99" s="48"/>
      <c r="J99" s="48"/>
      <c r="K99" s="48"/>
    </row>
    <row r="100" spans="5:11">
      <c r="E100" s="48"/>
      <c r="F100" s="48"/>
      <c r="J100" s="48"/>
      <c r="K100" s="48"/>
    </row>
    <row r="101" spans="5:11">
      <c r="E101" s="48"/>
      <c r="F101" s="48"/>
      <c r="J101" s="48"/>
      <c r="K101" s="48"/>
    </row>
    <row r="102" spans="5:11">
      <c r="E102" s="48"/>
      <c r="F102" s="48"/>
      <c r="J102" s="48"/>
      <c r="K102" s="48"/>
    </row>
    <row r="103" spans="5:11">
      <c r="E103" s="48"/>
      <c r="F103" s="48"/>
      <c r="J103" s="48"/>
      <c r="K103" s="48"/>
    </row>
    <row r="104" spans="5:11">
      <c r="E104" s="48"/>
      <c r="F104" s="48"/>
      <c r="J104" s="48"/>
      <c r="K104" s="48"/>
    </row>
    <row r="105" spans="5:11">
      <c r="E105" s="48"/>
      <c r="F105" s="48"/>
      <c r="J105" s="48"/>
      <c r="K105" s="48"/>
    </row>
    <row r="106" spans="5:11">
      <c r="J106" s="48"/>
      <c r="K106" s="48"/>
    </row>
    <row r="107" spans="5:11">
      <c r="J107" s="48"/>
      <c r="K107" s="48"/>
    </row>
    <row r="108" spans="5:11">
      <c r="J108" s="48"/>
      <c r="K108" s="48"/>
    </row>
    <row r="109" spans="5:11">
      <c r="J109" s="48"/>
      <c r="K109" s="48"/>
    </row>
    <row r="110" spans="5:11">
      <c r="J110" s="48"/>
      <c r="K110" s="48"/>
    </row>
    <row r="111" spans="5:11">
      <c r="J111" s="48"/>
      <c r="K111" s="48"/>
    </row>
    <row r="112" spans="5:11">
      <c r="J112" s="48"/>
      <c r="K112" s="48"/>
    </row>
    <row r="113" spans="10:11">
      <c r="J113" s="48"/>
      <c r="K113" s="48"/>
    </row>
    <row r="114" spans="10:11">
      <c r="J114" s="48"/>
      <c r="K114" s="48"/>
    </row>
    <row r="115" spans="10:11">
      <c r="J115" s="48"/>
      <c r="K115" s="48"/>
    </row>
    <row r="116" spans="10:11">
      <c r="J116" s="48"/>
      <c r="K116" s="48"/>
    </row>
    <row r="117" spans="10:11">
      <c r="J117" s="48"/>
      <c r="K117" s="48"/>
    </row>
    <row r="118" spans="10:11">
      <c r="J118" s="48"/>
      <c r="K118" s="48"/>
    </row>
    <row r="119" spans="10:11">
      <c r="J119" s="48"/>
      <c r="K119" s="48"/>
    </row>
    <row r="120" spans="10:11">
      <c r="J120" s="48"/>
      <c r="K120" s="48"/>
    </row>
    <row r="121" spans="10:11">
      <c r="J121" s="48"/>
      <c r="K121" s="48"/>
    </row>
    <row r="122" spans="10:11">
      <c r="J122" s="48"/>
      <c r="K122" s="48"/>
    </row>
    <row r="123" spans="10:11">
      <c r="J123" s="48"/>
      <c r="K123" s="48"/>
    </row>
    <row r="124" spans="10:11">
      <c r="J124" s="48"/>
      <c r="K124" s="48"/>
    </row>
    <row r="125" spans="10:11">
      <c r="J125" s="48"/>
      <c r="K125" s="48"/>
    </row>
    <row r="126" spans="10:11">
      <c r="J126" s="48"/>
      <c r="K126" s="48"/>
    </row>
    <row r="127" spans="10:11">
      <c r="J127" s="48"/>
      <c r="K127" s="48"/>
    </row>
    <row r="128" spans="10:11">
      <c r="J128" s="48"/>
      <c r="K128" s="48"/>
    </row>
    <row r="129" spans="10:11">
      <c r="J129" s="48"/>
      <c r="K129" s="48"/>
    </row>
    <row r="130" spans="10:11">
      <c r="J130" s="48"/>
      <c r="K130" s="48"/>
    </row>
    <row r="131" spans="10:11">
      <c r="J131" s="48"/>
      <c r="K131" s="48"/>
    </row>
    <row r="132" spans="10:11">
      <c r="J132" s="48"/>
      <c r="K132" s="48"/>
    </row>
    <row r="133" spans="10:11">
      <c r="J133" s="48"/>
      <c r="K133" s="48"/>
    </row>
    <row r="134" spans="10:11">
      <c r="J134" s="48"/>
      <c r="K134" s="48"/>
    </row>
    <row r="135" spans="10:11">
      <c r="J135" s="48"/>
      <c r="K135" s="48"/>
    </row>
    <row r="136" spans="10:11">
      <c r="J136" s="48"/>
      <c r="K136" s="48"/>
    </row>
    <row r="137" spans="10:11">
      <c r="J137" s="48"/>
      <c r="K137" s="48"/>
    </row>
    <row r="138" spans="10:11">
      <c r="J138" s="48"/>
      <c r="K138" s="48"/>
    </row>
    <row r="139" spans="10:11">
      <c r="J139" s="48"/>
      <c r="K139" s="48"/>
    </row>
    <row r="140" spans="10:11">
      <c r="J140" s="48"/>
      <c r="K140" s="48"/>
    </row>
  </sheetData>
  <mergeCells count="4">
    <mergeCell ref="A1:L1"/>
    <mergeCell ref="A2:L2"/>
    <mergeCell ref="A3:L3"/>
    <mergeCell ref="A4:L4"/>
  </mergeCells>
  <phoneticPr fontId="21" type="noConversion"/>
  <printOptions horizontalCentered="1"/>
  <pageMargins left="0.75" right="0.75" top="0.6" bottom="0.5" header="0.5" footer="0.17"/>
  <pageSetup scale="57" fitToHeight="2" orientation="landscape" verticalDpi="300" r:id="rId1"/>
  <headerFooter alignWithMargins="0">
    <oddFooter>&amp;RSchedule &amp;A
Page &amp;P of &amp;N</oddFooter>
  </headerFooter>
  <rowBreaks count="1" manualBreakCount="1">
    <brk id="54" max="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66">
    <pageSetUpPr fitToPage="1"/>
  </sheetPr>
  <dimension ref="A1:L44"/>
  <sheetViews>
    <sheetView view="pageBreakPreview" zoomScale="80" zoomScaleNormal="100" zoomScaleSheetLayoutView="80" workbookViewId="0">
      <selection sqref="A1:L1"/>
    </sheetView>
  </sheetViews>
  <sheetFormatPr defaultColWidth="8.44140625" defaultRowHeight="15"/>
  <cols>
    <col min="1" max="1" width="5.77734375" style="1" customWidth="1"/>
    <col min="2" max="2" width="6.44140625" style="1" customWidth="1"/>
    <col min="3" max="3" width="49.33203125" style="1" bestFit="1" customWidth="1"/>
    <col min="4" max="4" width="11.5546875" style="1" bestFit="1" customWidth="1"/>
    <col min="5" max="5" width="11.77734375" style="48" bestFit="1" customWidth="1"/>
    <col min="6" max="6" width="11.77734375" style="48" customWidth="1"/>
    <col min="7" max="7" width="11.88671875" style="1" bestFit="1" customWidth="1"/>
    <col min="8" max="8" width="4.33203125" style="66" customWidth="1"/>
    <col min="9" max="9" width="11.5546875" style="1" bestFit="1" customWidth="1"/>
    <col min="10" max="11" width="11.88671875" style="48" customWidth="1"/>
    <col min="12" max="12" width="14.77734375" style="1" customWidth="1"/>
    <col min="13" max="16384" width="8.44140625" style="1"/>
  </cols>
  <sheetData>
    <row r="1" spans="1:12">
      <c r="A1" s="1260" t="str">
        <f>Allocation!A1</f>
        <v>Atmos Energy Corporation, Kentucky/Mid-States Division</v>
      </c>
      <c r="B1" s="1260"/>
      <c r="C1" s="1260"/>
      <c r="D1" s="1260"/>
      <c r="E1" s="1260"/>
      <c r="F1" s="1260"/>
      <c r="G1" s="1260"/>
      <c r="H1" s="1260"/>
      <c r="I1" s="1260"/>
      <c r="J1" s="1260"/>
      <c r="K1" s="1260"/>
      <c r="L1" s="1260"/>
    </row>
    <row r="2" spans="1:12">
      <c r="A2" s="1260" t="str">
        <f>Allocation!A2</f>
        <v>Kentucky Jurisdiction Case No. 2021-00214</v>
      </c>
      <c r="B2" s="1260"/>
      <c r="C2" s="1260"/>
      <c r="D2" s="1260"/>
      <c r="E2" s="1260"/>
      <c r="F2" s="1260"/>
      <c r="G2" s="1260"/>
      <c r="H2" s="1260"/>
      <c r="I2" s="1260"/>
      <c r="J2" s="1260"/>
      <c r="K2" s="1260"/>
      <c r="L2" s="1260"/>
    </row>
    <row r="3" spans="1:12">
      <c r="A3" s="1261" t="s">
        <v>628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</row>
    <row r="4" spans="1:12">
      <c r="A4" s="1260" t="str">
        <f>'B.1 B'!A4</f>
        <v>Base Period: Twelve Months Ended September 30, 2021</v>
      </c>
      <c r="B4" s="1260"/>
      <c r="C4" s="1260"/>
      <c r="D4" s="1260"/>
      <c r="E4" s="1260"/>
      <c r="F4" s="1260"/>
      <c r="G4" s="1260"/>
      <c r="H4" s="1260"/>
      <c r="I4" s="1260"/>
      <c r="J4" s="1260"/>
      <c r="K4" s="1260"/>
      <c r="L4" s="1260"/>
    </row>
    <row r="5" spans="1:12">
      <c r="A5" s="27"/>
      <c r="B5" s="26"/>
      <c r="C5" s="26"/>
      <c r="D5" s="26"/>
      <c r="G5" s="26"/>
      <c r="H5" s="317"/>
      <c r="I5" s="26"/>
    </row>
    <row r="6" spans="1:12">
      <c r="A6" s="42" t="s">
        <v>781</v>
      </c>
      <c r="B6" s="42"/>
      <c r="C6" s="31"/>
      <c r="L6" s="322" t="s">
        <v>1368</v>
      </c>
    </row>
    <row r="7" spans="1:12">
      <c r="A7" s="42" t="s">
        <v>1103</v>
      </c>
      <c r="B7" s="31"/>
      <c r="C7" s="42"/>
      <c r="L7" s="322" t="s">
        <v>704</v>
      </c>
    </row>
    <row r="8" spans="1:12">
      <c r="A8" s="5" t="s">
        <v>423</v>
      </c>
      <c r="B8" s="6"/>
      <c r="C8" s="6"/>
      <c r="D8" s="6"/>
      <c r="E8" s="316"/>
      <c r="F8" s="316"/>
      <c r="G8" s="29"/>
      <c r="I8" s="6"/>
      <c r="J8" s="316"/>
      <c r="K8" s="50"/>
      <c r="L8" s="977" t="s">
        <v>1620</v>
      </c>
    </row>
    <row r="9" spans="1:12">
      <c r="A9" s="473"/>
      <c r="D9" s="434"/>
      <c r="E9" s="193" t="s">
        <v>13</v>
      </c>
      <c r="F9" s="2" t="s">
        <v>11</v>
      </c>
      <c r="G9" s="408" t="s">
        <v>96</v>
      </c>
      <c r="H9" s="67"/>
      <c r="I9" s="435"/>
      <c r="J9" s="193" t="s">
        <v>13</v>
      </c>
      <c r="K9" s="2" t="s">
        <v>11</v>
      </c>
      <c r="L9" s="333"/>
    </row>
    <row r="10" spans="1:12">
      <c r="A10" s="294" t="s">
        <v>92</v>
      </c>
      <c r="B10" s="2"/>
      <c r="D10" s="295" t="s">
        <v>1040</v>
      </c>
      <c r="E10" s="2" t="s">
        <v>14</v>
      </c>
      <c r="F10" s="67" t="s">
        <v>589</v>
      </c>
      <c r="G10" s="291" t="s">
        <v>1147</v>
      </c>
      <c r="H10" s="67"/>
      <c r="I10" s="294" t="s">
        <v>91</v>
      </c>
      <c r="J10" s="2" t="s">
        <v>14</v>
      </c>
      <c r="K10" s="67" t="s">
        <v>589</v>
      </c>
      <c r="L10" s="411" t="s">
        <v>12</v>
      </c>
    </row>
    <row r="11" spans="1:12">
      <c r="A11" s="474" t="s">
        <v>98</v>
      </c>
      <c r="B11" s="9"/>
      <c r="C11" s="316" t="s">
        <v>336</v>
      </c>
      <c r="D11" s="409"/>
      <c r="E11" s="163" t="s">
        <v>622</v>
      </c>
      <c r="F11" s="163" t="s">
        <v>622</v>
      </c>
      <c r="G11" s="475" t="s">
        <v>104</v>
      </c>
      <c r="H11" s="67"/>
      <c r="I11" s="292" t="s">
        <v>97</v>
      </c>
      <c r="J11" s="163" t="s">
        <v>622</v>
      </c>
      <c r="K11" s="163" t="s">
        <v>622</v>
      </c>
      <c r="L11" s="476" t="s">
        <v>103</v>
      </c>
    </row>
    <row r="12" spans="1:12" ht="15.75">
      <c r="B12" s="12" t="s">
        <v>212</v>
      </c>
      <c r="G12" s="73"/>
    </row>
    <row r="13" spans="1:12">
      <c r="A13" s="2">
        <v>1</v>
      </c>
      <c r="B13" s="318">
        <v>15560</v>
      </c>
      <c r="C13" s="4" t="s">
        <v>51</v>
      </c>
      <c r="D13" s="420">
        <f>'WP B.6 B'!P13</f>
        <v>-683775.07499999995</v>
      </c>
      <c r="E13" s="433">
        <v>1</v>
      </c>
      <c r="F13" s="1092">
        <f>E13</f>
        <v>1</v>
      </c>
      <c r="G13" s="420">
        <f>D13*E13*F13</f>
        <v>-683775.07499999995</v>
      </c>
      <c r="H13" s="69"/>
      <c r="I13" s="1093">
        <f>'WP B.6 B'!Q13</f>
        <v>-681896.28461538465</v>
      </c>
      <c r="J13" s="1084">
        <f>E13</f>
        <v>1</v>
      </c>
      <c r="K13" s="1084">
        <f>F13</f>
        <v>1</v>
      </c>
      <c r="L13" s="420">
        <f>I13*J13*K13</f>
        <v>-681896.28461538465</v>
      </c>
    </row>
    <row r="14" spans="1:12">
      <c r="A14" s="91">
        <f>A13+1</f>
        <v>2</v>
      </c>
      <c r="B14" s="319"/>
      <c r="D14" s="69"/>
      <c r="E14" s="148"/>
      <c r="F14" s="148"/>
      <c r="G14" s="69"/>
      <c r="H14" s="69"/>
      <c r="I14" s="38"/>
      <c r="J14" s="148"/>
      <c r="K14" s="148"/>
      <c r="L14" s="38"/>
    </row>
    <row r="15" spans="1:12" ht="15.75">
      <c r="A15" s="91">
        <f t="shared" ref="A15:A24" si="0">A14+1</f>
        <v>3</v>
      </c>
      <c r="B15" s="12" t="s">
        <v>213</v>
      </c>
      <c r="D15" s="31"/>
      <c r="E15" s="193"/>
      <c r="F15" s="193"/>
      <c r="G15" s="66"/>
      <c r="I15" s="31"/>
      <c r="J15" s="193"/>
      <c r="K15" s="193"/>
      <c r="L15" s="31"/>
    </row>
    <row r="16" spans="1:12">
      <c r="A16" s="91">
        <f t="shared" si="0"/>
        <v>4</v>
      </c>
      <c r="B16" s="318">
        <v>15560</v>
      </c>
      <c r="C16" s="4" t="s">
        <v>51</v>
      </c>
      <c r="D16" s="323">
        <f>'WP B.6 B'!P16</f>
        <v>0</v>
      </c>
      <c r="E16" s="1094">
        <f>Allocation!G14</f>
        <v>9.8599999999999993E-2</v>
      </c>
      <c r="F16" s="1094">
        <f>Allocation!H14</f>
        <v>0.50419999999999998</v>
      </c>
      <c r="G16" s="323">
        <f>D16*E16*F16</f>
        <v>0</v>
      </c>
      <c r="H16" s="69"/>
      <c r="I16" s="326">
        <f>'WP B.6 B'!Q16</f>
        <v>0</v>
      </c>
      <c r="J16" s="357">
        <f>E16</f>
        <v>9.8599999999999993E-2</v>
      </c>
      <c r="K16" s="357">
        <f>F16</f>
        <v>0.50419999999999998</v>
      </c>
      <c r="L16" s="323">
        <f>I16*J16*K16</f>
        <v>0</v>
      </c>
    </row>
    <row r="17" spans="1:12">
      <c r="A17" s="91">
        <f t="shared" si="0"/>
        <v>5</v>
      </c>
      <c r="B17" s="320"/>
      <c r="C17" s="4"/>
      <c r="D17" s="69"/>
      <c r="E17" s="148"/>
      <c r="F17" s="148"/>
      <c r="G17" s="69"/>
      <c r="H17" s="69"/>
      <c r="I17" s="66"/>
      <c r="J17" s="68"/>
      <c r="K17" s="68"/>
      <c r="L17" s="69"/>
    </row>
    <row r="18" spans="1:12" ht="15.75">
      <c r="A18" s="91">
        <f t="shared" si="0"/>
        <v>6</v>
      </c>
      <c r="B18" s="12" t="s">
        <v>1098</v>
      </c>
      <c r="D18" s="31"/>
      <c r="E18" s="193"/>
      <c r="F18" s="193"/>
      <c r="G18" s="66"/>
      <c r="I18" s="31"/>
      <c r="J18" s="193"/>
      <c r="K18" s="193"/>
      <c r="L18" s="31"/>
    </row>
    <row r="19" spans="1:12">
      <c r="A19" s="91">
        <f t="shared" si="0"/>
        <v>7</v>
      </c>
      <c r="B19" s="318">
        <v>15560</v>
      </c>
      <c r="C19" s="4" t="s">
        <v>51</v>
      </c>
      <c r="D19" s="323">
        <f>'WP B.6 B'!P19</f>
        <v>0</v>
      </c>
      <c r="E19" s="1094">
        <f>Allocation!G15</f>
        <v>0.11020000000000001</v>
      </c>
      <c r="F19" s="1094">
        <f>Allocation!H15</f>
        <v>0.50429999999999997</v>
      </c>
      <c r="G19" s="323">
        <f>D19*E19*F19</f>
        <v>0</v>
      </c>
      <c r="H19" s="69"/>
      <c r="I19" s="326">
        <f>'WP B.6 B'!Q19</f>
        <v>0</v>
      </c>
      <c r="J19" s="357">
        <f>E19</f>
        <v>0.11020000000000001</v>
      </c>
      <c r="K19" s="357">
        <f>F19</f>
        <v>0.50429999999999997</v>
      </c>
      <c r="L19" s="323">
        <f>I19*J19*K19</f>
        <v>0</v>
      </c>
    </row>
    <row r="20" spans="1:12">
      <c r="A20" s="91">
        <f t="shared" si="0"/>
        <v>8</v>
      </c>
      <c r="B20" s="320"/>
      <c r="C20" s="4"/>
      <c r="D20" s="69"/>
      <c r="E20" s="148"/>
      <c r="F20" s="148"/>
      <c r="G20" s="69"/>
      <c r="H20" s="69"/>
      <c r="I20" s="66"/>
      <c r="J20" s="68"/>
      <c r="K20" s="68"/>
      <c r="L20" s="69"/>
    </row>
    <row r="21" spans="1:12" ht="15.75">
      <c r="A21" s="91">
        <f t="shared" si="0"/>
        <v>9</v>
      </c>
      <c r="B21" s="12" t="s">
        <v>671</v>
      </c>
      <c r="D21" s="31"/>
      <c r="E21" s="193"/>
      <c r="F21" s="193"/>
      <c r="G21" s="66"/>
      <c r="I21" s="31"/>
      <c r="J21" s="193"/>
      <c r="K21" s="193"/>
      <c r="L21" s="31"/>
    </row>
    <row r="22" spans="1:12">
      <c r="A22" s="91">
        <f t="shared" si="0"/>
        <v>10</v>
      </c>
      <c r="B22" s="318">
        <v>15560</v>
      </c>
      <c r="C22" s="4" t="s">
        <v>51</v>
      </c>
      <c r="D22" s="323">
        <f>'WP B.6 B'!P22</f>
        <v>0</v>
      </c>
      <c r="E22" s="433">
        <v>1</v>
      </c>
      <c r="F22" s="1094">
        <f>Allocation!H17</f>
        <v>0.50419999999999998</v>
      </c>
      <c r="G22" s="323">
        <f>D22*E22*F22</f>
        <v>0</v>
      </c>
      <c r="H22" s="69"/>
      <c r="I22" s="326">
        <f>'WP B.6 B'!Q22</f>
        <v>0</v>
      </c>
      <c r="J22" s="1095">
        <f>$E$22</f>
        <v>1</v>
      </c>
      <c r="K22" s="1096">
        <f>$F$22</f>
        <v>0.50419999999999998</v>
      </c>
      <c r="L22" s="323">
        <f>I22*J22*K22</f>
        <v>0</v>
      </c>
    </row>
    <row r="23" spans="1:12">
      <c r="A23" s="91">
        <f t="shared" si="0"/>
        <v>11</v>
      </c>
      <c r="B23" s="319"/>
      <c r="D23" s="69"/>
      <c r="E23" s="148"/>
      <c r="F23" s="148"/>
      <c r="G23" s="69"/>
      <c r="H23" s="69"/>
      <c r="I23" s="69"/>
      <c r="J23" s="321"/>
      <c r="K23" s="321"/>
      <c r="L23" s="69"/>
    </row>
    <row r="24" spans="1:12" ht="15.75" thickBot="1">
      <c r="A24" s="91">
        <f t="shared" si="0"/>
        <v>12</v>
      </c>
      <c r="C24" s="60" t="s">
        <v>714</v>
      </c>
      <c r="D24" s="1097">
        <f>D22+D19+D16+D13</f>
        <v>-683775.07499999995</v>
      </c>
      <c r="E24" s="193"/>
      <c r="F24" s="193"/>
      <c r="G24" s="1097">
        <f>G22+G19+G16+G13</f>
        <v>-683775.07499999995</v>
      </c>
      <c r="I24" s="1097">
        <f>I22+I19+I16+I13</f>
        <v>-681896.28461538465</v>
      </c>
      <c r="J24" s="193"/>
      <c r="K24" s="193"/>
      <c r="L24" s="1097">
        <f>L22+L19+L16+L13</f>
        <v>-681896.28461538465</v>
      </c>
    </row>
    <row r="25" spans="1:12" ht="15.75" thickTop="1">
      <c r="A25" s="2"/>
      <c r="D25" s="31"/>
      <c r="E25" s="193"/>
      <c r="F25" s="193"/>
      <c r="G25" s="31"/>
      <c r="I25" s="31"/>
      <c r="J25" s="193"/>
      <c r="K25" s="193"/>
      <c r="L25" s="31"/>
    </row>
    <row r="26" spans="1:12">
      <c r="A26" s="48"/>
      <c r="B26" s="31"/>
      <c r="C26" s="80"/>
      <c r="D26" s="31"/>
      <c r="E26" s="193"/>
      <c r="F26" s="193"/>
      <c r="G26" s="31"/>
      <c r="I26" s="31"/>
      <c r="J26" s="193"/>
      <c r="K26" s="193"/>
      <c r="L26" s="31"/>
    </row>
    <row r="27" spans="1:12">
      <c r="A27" s="31"/>
      <c r="B27" s="31"/>
      <c r="D27" s="31"/>
      <c r="E27" s="193"/>
      <c r="F27" s="193"/>
      <c r="G27" s="31"/>
      <c r="I27" s="31"/>
      <c r="J27" s="193"/>
      <c r="K27" s="193"/>
      <c r="L27" s="31"/>
    </row>
    <row r="28" spans="1:12">
      <c r="A28" s="31"/>
      <c r="B28" s="31"/>
      <c r="C28" s="322"/>
    </row>
    <row r="29" spans="1:12">
      <c r="A29" s="31"/>
      <c r="B29" s="31"/>
    </row>
    <row r="30" spans="1:12">
      <c r="A30" s="31"/>
      <c r="B30" s="31"/>
    </row>
    <row r="31" spans="1:12">
      <c r="A31" s="31"/>
      <c r="B31" s="31"/>
    </row>
    <row r="32" spans="1:12">
      <c r="A32" s="31"/>
      <c r="B32" s="31"/>
    </row>
    <row r="33" spans="1:2">
      <c r="A33" s="31"/>
      <c r="B33" s="31"/>
    </row>
    <row r="34" spans="1:2">
      <c r="A34" s="31"/>
      <c r="B34" s="31"/>
    </row>
    <row r="35" spans="1:2">
      <c r="A35" s="31"/>
      <c r="B35" s="31"/>
    </row>
    <row r="36" spans="1:2">
      <c r="A36" s="31"/>
      <c r="B36" s="31"/>
    </row>
    <row r="37" spans="1:2">
      <c r="A37" s="31"/>
      <c r="B37" s="31"/>
    </row>
    <row r="38" spans="1:2">
      <c r="A38" s="31"/>
      <c r="B38" s="31"/>
    </row>
    <row r="39" spans="1:2">
      <c r="A39" s="31"/>
      <c r="B39" s="31"/>
    </row>
    <row r="40" spans="1:2">
      <c r="A40" s="31"/>
      <c r="B40" s="31"/>
    </row>
    <row r="41" spans="1:2">
      <c r="A41" s="31"/>
      <c r="B41" s="31"/>
    </row>
    <row r="42" spans="1:2">
      <c r="A42" s="31"/>
      <c r="B42" s="31"/>
    </row>
    <row r="43" spans="1:2">
      <c r="A43" s="31"/>
      <c r="B43" s="31"/>
    </row>
    <row r="44" spans="1:2">
      <c r="A44" s="31"/>
      <c r="B44" s="31"/>
    </row>
  </sheetData>
  <mergeCells count="4">
    <mergeCell ref="A1:L1"/>
    <mergeCell ref="A2:L2"/>
    <mergeCell ref="A3:L3"/>
    <mergeCell ref="A4:L4"/>
  </mergeCells>
  <phoneticPr fontId="21" type="noConversion"/>
  <printOptions horizontalCentered="1"/>
  <pageMargins left="0.75" right="0.75" top="1" bottom="1" header="0.5" footer="0.17"/>
  <pageSetup scale="62" orientation="landscape" verticalDpi="300" r:id="rId1"/>
  <headerFooter alignWithMargins="0">
    <oddFooter>&amp;RSchedule &amp;A
Page &amp;P of &amp;N</oddFooter>
  </headerFooter>
  <rowBreaks count="1" manualBreakCount="1">
    <brk id="17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67">
    <pageSetUpPr fitToPage="1"/>
  </sheetPr>
  <dimension ref="A1:L44"/>
  <sheetViews>
    <sheetView view="pageBreakPreview" zoomScale="80" zoomScaleNormal="100" zoomScaleSheetLayoutView="80" workbookViewId="0">
      <selection sqref="A1:L1"/>
    </sheetView>
  </sheetViews>
  <sheetFormatPr defaultColWidth="8.44140625" defaultRowHeight="15"/>
  <cols>
    <col min="1" max="1" width="5.77734375" style="1" customWidth="1"/>
    <col min="2" max="2" width="7" style="1" customWidth="1"/>
    <col min="3" max="3" width="49.33203125" style="1" bestFit="1" customWidth="1"/>
    <col min="4" max="4" width="11.5546875" style="1" bestFit="1" customWidth="1"/>
    <col min="5" max="5" width="11.77734375" style="1" bestFit="1" customWidth="1"/>
    <col min="6" max="6" width="11.77734375" style="1" customWidth="1"/>
    <col min="7" max="7" width="11.88671875" style="1" bestFit="1" customWidth="1"/>
    <col min="8" max="8" width="4.33203125" style="66" customWidth="1"/>
    <col min="9" max="9" width="11.5546875" style="1" bestFit="1" customWidth="1"/>
    <col min="10" max="11" width="11.88671875" style="1" customWidth="1"/>
    <col min="12" max="12" width="14.77734375" style="1" customWidth="1"/>
    <col min="13" max="16384" width="8.44140625" style="1"/>
  </cols>
  <sheetData>
    <row r="1" spans="1:12">
      <c r="A1" s="1260" t="str">
        <f>Allocation!A1</f>
        <v>Atmos Energy Corporation, Kentucky/Mid-States Division</v>
      </c>
      <c r="B1" s="1260"/>
      <c r="C1" s="1260"/>
      <c r="D1" s="1260"/>
      <c r="E1" s="1260"/>
      <c r="F1" s="1260"/>
      <c r="G1" s="1260"/>
      <c r="H1" s="1260"/>
      <c r="I1" s="1260"/>
      <c r="J1" s="1260"/>
      <c r="K1" s="1260"/>
      <c r="L1" s="1260"/>
    </row>
    <row r="2" spans="1:12">
      <c r="A2" s="1260" t="str">
        <f>Allocation!A2</f>
        <v>Kentucky Jurisdiction Case No. 2021-00214</v>
      </c>
      <c r="B2" s="1260"/>
      <c r="C2" s="1260"/>
      <c r="D2" s="1260"/>
      <c r="E2" s="1260"/>
      <c r="F2" s="1260"/>
      <c r="G2" s="1260"/>
      <c r="H2" s="1260"/>
      <c r="I2" s="1260"/>
      <c r="J2" s="1260"/>
      <c r="K2" s="1260"/>
      <c r="L2" s="1260"/>
    </row>
    <row r="3" spans="1:12">
      <c r="A3" s="1261" t="s">
        <v>628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</row>
    <row r="4" spans="1:12">
      <c r="A4" s="1260" t="str">
        <f>'B.1 F '!A4</f>
        <v>Forecasted Test Period: Twelve Months Ended December 31, 2022</v>
      </c>
      <c r="B4" s="1260"/>
      <c r="C4" s="1260"/>
      <c r="D4" s="1260"/>
      <c r="E4" s="1260"/>
      <c r="F4" s="1260"/>
      <c r="G4" s="1260"/>
      <c r="H4" s="1260"/>
      <c r="I4" s="1260"/>
      <c r="J4" s="1260"/>
      <c r="K4" s="1260"/>
      <c r="L4" s="1260"/>
    </row>
    <row r="5" spans="1:12">
      <c r="A5" s="27"/>
      <c r="B5" s="26"/>
      <c r="C5" s="26"/>
      <c r="D5" s="26"/>
      <c r="E5" s="26"/>
      <c r="F5" s="26"/>
      <c r="G5" s="26"/>
      <c r="H5" s="317"/>
      <c r="I5" s="26"/>
      <c r="J5" s="26"/>
      <c r="K5" s="26"/>
    </row>
    <row r="6" spans="1:12">
      <c r="A6" s="42" t="s">
        <v>1039</v>
      </c>
      <c r="B6" s="42"/>
      <c r="C6" s="31"/>
      <c r="L6" s="322" t="s">
        <v>1368</v>
      </c>
    </row>
    <row r="7" spans="1:12">
      <c r="A7" s="42" t="s">
        <v>1103</v>
      </c>
      <c r="B7" s="31"/>
      <c r="C7" s="42"/>
      <c r="L7" s="322" t="s">
        <v>705</v>
      </c>
    </row>
    <row r="8" spans="1:12">
      <c r="A8" s="5" t="s">
        <v>423</v>
      </c>
      <c r="B8" s="6"/>
      <c r="C8" s="6"/>
      <c r="D8" s="6"/>
      <c r="E8" s="6"/>
      <c r="F8" s="6"/>
      <c r="G8" s="29"/>
      <c r="I8" s="6"/>
      <c r="J8" s="6"/>
      <c r="K8" s="29"/>
      <c r="L8" s="977" t="s">
        <v>1620</v>
      </c>
    </row>
    <row r="9" spans="1:12">
      <c r="A9" s="473"/>
      <c r="D9" s="434"/>
      <c r="E9" s="193" t="s">
        <v>13</v>
      </c>
      <c r="F9" s="2" t="s">
        <v>11</v>
      </c>
      <c r="G9" s="408" t="s">
        <v>96</v>
      </c>
      <c r="H9" s="67"/>
      <c r="I9" s="435"/>
      <c r="J9" s="193" t="s">
        <v>13</v>
      </c>
      <c r="K9" s="2" t="s">
        <v>11</v>
      </c>
      <c r="L9" s="333"/>
    </row>
    <row r="10" spans="1:12">
      <c r="A10" s="294" t="s">
        <v>92</v>
      </c>
      <c r="B10" s="2"/>
      <c r="D10" s="295" t="s">
        <v>1040</v>
      </c>
      <c r="E10" s="2" t="s">
        <v>14</v>
      </c>
      <c r="F10" s="67" t="s">
        <v>589</v>
      </c>
      <c r="G10" s="291" t="s">
        <v>1147</v>
      </c>
      <c r="H10" s="67"/>
      <c r="I10" s="294" t="s">
        <v>91</v>
      </c>
      <c r="J10" s="2" t="s">
        <v>14</v>
      </c>
      <c r="K10" s="67" t="s">
        <v>589</v>
      </c>
      <c r="L10" s="411" t="s">
        <v>12</v>
      </c>
    </row>
    <row r="11" spans="1:12">
      <c r="A11" s="474" t="s">
        <v>98</v>
      </c>
      <c r="B11" s="9"/>
      <c r="C11" s="316" t="s">
        <v>336</v>
      </c>
      <c r="D11" s="409"/>
      <c r="E11" s="163" t="s">
        <v>622</v>
      </c>
      <c r="F11" s="163" t="s">
        <v>622</v>
      </c>
      <c r="G11" s="475" t="s">
        <v>104</v>
      </c>
      <c r="H11" s="67"/>
      <c r="I11" s="292" t="s">
        <v>97</v>
      </c>
      <c r="J11" s="163" t="s">
        <v>622</v>
      </c>
      <c r="K11" s="163" t="s">
        <v>622</v>
      </c>
      <c r="L11" s="476" t="s">
        <v>103</v>
      </c>
    </row>
    <row r="12" spans="1:12" ht="15.75">
      <c r="B12" s="12" t="s">
        <v>212</v>
      </c>
      <c r="G12" s="73"/>
    </row>
    <row r="13" spans="1:12">
      <c r="A13" s="2">
        <v>1</v>
      </c>
      <c r="B13" s="318">
        <v>15560</v>
      </c>
      <c r="C13" s="4" t="s">
        <v>51</v>
      </c>
      <c r="D13" s="420">
        <f>'WP B.6 F'!P13</f>
        <v>-683775.07499999995</v>
      </c>
      <c r="E13" s="433">
        <v>1</v>
      </c>
      <c r="F13" s="1092">
        <f>E13</f>
        <v>1</v>
      </c>
      <c r="G13" s="420">
        <f>D13*E13*F13</f>
        <v>-683775.07499999995</v>
      </c>
      <c r="H13" s="69"/>
      <c r="I13" s="1093">
        <f>'WP B.6 F'!Q13</f>
        <v>-683775.07500000007</v>
      </c>
      <c r="J13" s="1084">
        <f>E13</f>
        <v>1</v>
      </c>
      <c r="K13" s="1084">
        <f>F13</f>
        <v>1</v>
      </c>
      <c r="L13" s="420">
        <f>I13*J13*K13</f>
        <v>-683775.07500000007</v>
      </c>
    </row>
    <row r="14" spans="1:12">
      <c r="A14" s="91">
        <f>A13+1</f>
        <v>2</v>
      </c>
      <c r="B14" s="319"/>
      <c r="D14" s="69"/>
      <c r="E14" s="148"/>
      <c r="F14" s="148"/>
      <c r="G14" s="69"/>
      <c r="H14" s="69"/>
      <c r="I14" s="38"/>
      <c r="J14" s="148"/>
      <c r="K14" s="148"/>
      <c r="L14" s="38"/>
    </row>
    <row r="15" spans="1:12" ht="15.75">
      <c r="A15" s="91">
        <f t="shared" ref="A15:A24" si="0">A14+1</f>
        <v>3</v>
      </c>
      <c r="B15" s="12" t="s">
        <v>213</v>
      </c>
      <c r="D15" s="31"/>
      <c r="E15" s="193"/>
      <c r="F15" s="193"/>
      <c r="G15" s="66"/>
      <c r="I15" s="325"/>
      <c r="J15" s="193"/>
      <c r="K15" s="193"/>
      <c r="L15" s="31"/>
    </row>
    <row r="16" spans="1:12">
      <c r="A16" s="91">
        <f t="shared" si="0"/>
        <v>4</v>
      </c>
      <c r="B16" s="318">
        <v>15560</v>
      </c>
      <c r="C16" s="4" t="s">
        <v>51</v>
      </c>
      <c r="D16" s="323">
        <f>'WP B.6 F'!P16</f>
        <v>0</v>
      </c>
      <c r="E16" s="1094">
        <f>Allocation!C14</f>
        <v>9.8599999999999993E-2</v>
      </c>
      <c r="F16" s="1094">
        <f>Allocation!D14</f>
        <v>0.50419999999999998</v>
      </c>
      <c r="G16" s="323">
        <f>D16*E16*F16</f>
        <v>0</v>
      </c>
      <c r="H16" s="69"/>
      <c r="I16" s="326">
        <f>'WP B.6 F'!Q16</f>
        <v>0</v>
      </c>
      <c r="J16" s="357">
        <f>E16</f>
        <v>9.8599999999999993E-2</v>
      </c>
      <c r="K16" s="357">
        <f>F16</f>
        <v>0.50419999999999998</v>
      </c>
      <c r="L16" s="323">
        <f>I16*J16*K16</f>
        <v>0</v>
      </c>
    </row>
    <row r="17" spans="1:12">
      <c r="A17" s="91">
        <f t="shared" si="0"/>
        <v>5</v>
      </c>
      <c r="B17" s="320"/>
      <c r="C17" s="4"/>
      <c r="D17" s="69"/>
      <c r="E17" s="148"/>
      <c r="F17" s="148"/>
      <c r="G17" s="69"/>
      <c r="H17" s="69"/>
      <c r="I17" s="66"/>
      <c r="J17" s="68"/>
      <c r="K17" s="68"/>
      <c r="L17" s="69"/>
    </row>
    <row r="18" spans="1:12" ht="15.75">
      <c r="A18" s="91">
        <f t="shared" si="0"/>
        <v>6</v>
      </c>
      <c r="B18" s="12" t="s">
        <v>1098</v>
      </c>
      <c r="D18" s="31"/>
      <c r="E18" s="193"/>
      <c r="F18" s="193"/>
      <c r="G18" s="326"/>
      <c r="I18" s="31"/>
      <c r="J18" s="193"/>
      <c r="K18" s="193"/>
      <c r="L18" s="31"/>
    </row>
    <row r="19" spans="1:12">
      <c r="A19" s="91">
        <f t="shared" si="0"/>
        <v>7</v>
      </c>
      <c r="B19" s="318">
        <v>15560</v>
      </c>
      <c r="C19" s="4" t="s">
        <v>51</v>
      </c>
      <c r="D19" s="323">
        <f>'WP B.6 F'!P19</f>
        <v>0</v>
      </c>
      <c r="E19" s="1094">
        <f>Allocation!C15</f>
        <v>0.11020000000000001</v>
      </c>
      <c r="F19" s="1094">
        <f>Allocation!D15</f>
        <v>0.50429999999999997</v>
      </c>
      <c r="G19" s="323">
        <f>D19*E19*F19</f>
        <v>0</v>
      </c>
      <c r="H19" s="69"/>
      <c r="I19" s="326">
        <f>'WP B.6 F'!Q19</f>
        <v>0</v>
      </c>
      <c r="J19" s="357">
        <f>E19</f>
        <v>0.11020000000000001</v>
      </c>
      <c r="K19" s="357">
        <f>F19</f>
        <v>0.50429999999999997</v>
      </c>
      <c r="L19" s="323">
        <f>I19*J19*K19</f>
        <v>0</v>
      </c>
    </row>
    <row r="20" spans="1:12">
      <c r="A20" s="91">
        <f t="shared" si="0"/>
        <v>8</v>
      </c>
      <c r="B20" s="320"/>
      <c r="C20" s="4"/>
      <c r="D20" s="69"/>
      <c r="E20" s="148"/>
      <c r="F20" s="148"/>
      <c r="G20" s="69"/>
      <c r="H20" s="69"/>
      <c r="I20" s="66"/>
      <c r="J20" s="68"/>
      <c r="K20" s="68"/>
      <c r="L20" s="69"/>
    </row>
    <row r="21" spans="1:12" ht="15.75">
      <c r="A21" s="91">
        <f t="shared" si="0"/>
        <v>9</v>
      </c>
      <c r="B21" s="12" t="s">
        <v>671</v>
      </c>
      <c r="D21" s="31"/>
      <c r="E21" s="193"/>
      <c r="F21" s="193"/>
      <c r="G21" s="66"/>
      <c r="I21" s="31"/>
      <c r="J21" s="193"/>
      <c r="K21" s="193"/>
      <c r="L21" s="31"/>
    </row>
    <row r="22" spans="1:12">
      <c r="A22" s="91">
        <f t="shared" si="0"/>
        <v>10</v>
      </c>
      <c r="B22" s="318">
        <v>15560</v>
      </c>
      <c r="C22" s="4" t="s">
        <v>51</v>
      </c>
      <c r="D22" s="553">
        <f>'WP B.6 F'!P22</f>
        <v>0</v>
      </c>
      <c r="E22" s="433">
        <v>1</v>
      </c>
      <c r="F22" s="1094">
        <f>Allocation!D17</f>
        <v>0.50419999999999998</v>
      </c>
      <c r="G22" s="553">
        <f>D22*$E$22*F22</f>
        <v>0</v>
      </c>
      <c r="H22" s="69"/>
      <c r="I22" s="646">
        <f>'WP B.6 F'!Q22</f>
        <v>0</v>
      </c>
      <c r="J22" s="1095">
        <f>$E$22</f>
        <v>1</v>
      </c>
      <c r="K22" s="1096">
        <f>$F$22</f>
        <v>0.50419999999999998</v>
      </c>
      <c r="L22" s="553">
        <f>I22*J22*K22</f>
        <v>0</v>
      </c>
    </row>
    <row r="23" spans="1:12">
      <c r="A23" s="91">
        <f t="shared" si="0"/>
        <v>11</v>
      </c>
      <c r="B23" s="319"/>
      <c r="D23" s="69"/>
      <c r="E23" s="38"/>
      <c r="F23" s="38"/>
      <c r="G23" s="69"/>
      <c r="H23" s="69"/>
      <c r="I23" s="69"/>
      <c r="J23" s="69"/>
      <c r="K23" s="69"/>
      <c r="L23" s="69"/>
    </row>
    <row r="24" spans="1:12" ht="15.75" thickBot="1">
      <c r="A24" s="91">
        <f t="shared" si="0"/>
        <v>12</v>
      </c>
      <c r="C24" s="4" t="s">
        <v>714</v>
      </c>
      <c r="D24" s="1097">
        <f>D22+D19+D16+D13</f>
        <v>-683775.07499999995</v>
      </c>
      <c r="E24" s="31"/>
      <c r="F24" s="31"/>
      <c r="G24" s="1097">
        <f>G22+G19+G16+G13</f>
        <v>-683775.07499999995</v>
      </c>
      <c r="I24" s="1097">
        <f>I22+I19+I16+I13</f>
        <v>-683775.07500000007</v>
      </c>
      <c r="J24" s="31"/>
      <c r="K24" s="31"/>
      <c r="L24" s="1097">
        <f>L22+L19+L16+L13</f>
        <v>-683775.07500000007</v>
      </c>
    </row>
    <row r="25" spans="1:12" ht="15.75" thickTop="1"/>
    <row r="26" spans="1:12">
      <c r="A26" s="31"/>
      <c r="B26" s="31"/>
      <c r="C26" s="80"/>
      <c r="D26" s="31"/>
      <c r="E26" s="31"/>
      <c r="F26" s="31"/>
      <c r="G26" s="31"/>
      <c r="I26" s="31"/>
      <c r="J26" s="31"/>
      <c r="K26" s="31"/>
      <c r="L26" s="31"/>
    </row>
    <row r="27" spans="1:12">
      <c r="A27" s="31"/>
      <c r="B27" s="31"/>
      <c r="D27" s="31"/>
      <c r="E27" s="31"/>
      <c r="F27" s="31"/>
      <c r="G27" s="31"/>
      <c r="I27" s="31"/>
      <c r="J27" s="31"/>
      <c r="K27" s="31"/>
      <c r="L27" s="31"/>
    </row>
    <row r="28" spans="1:12">
      <c r="A28" s="31"/>
      <c r="B28" s="31"/>
      <c r="C28" s="322"/>
    </row>
    <row r="29" spans="1:12">
      <c r="A29" s="31"/>
      <c r="B29" s="31"/>
    </row>
    <row r="30" spans="1:12">
      <c r="A30" s="31"/>
      <c r="B30" s="31"/>
    </row>
    <row r="31" spans="1:12">
      <c r="A31" s="31"/>
      <c r="B31" s="31"/>
    </row>
    <row r="32" spans="1:12">
      <c r="A32" s="31"/>
      <c r="B32" s="31"/>
    </row>
    <row r="33" spans="1:2">
      <c r="A33" s="31"/>
      <c r="B33" s="31"/>
    </row>
    <row r="34" spans="1:2">
      <c r="A34" s="31"/>
      <c r="B34" s="31"/>
    </row>
    <row r="35" spans="1:2">
      <c r="A35" s="31"/>
      <c r="B35" s="31"/>
    </row>
    <row r="36" spans="1:2">
      <c r="A36" s="31"/>
      <c r="B36" s="31"/>
    </row>
    <row r="37" spans="1:2">
      <c r="A37" s="31"/>
      <c r="B37" s="31"/>
    </row>
    <row r="38" spans="1:2">
      <c r="A38" s="31"/>
      <c r="B38" s="31"/>
    </row>
    <row r="39" spans="1:2">
      <c r="A39" s="31"/>
      <c r="B39" s="31"/>
    </row>
    <row r="40" spans="1:2">
      <c r="A40" s="31"/>
      <c r="B40" s="31"/>
    </row>
    <row r="41" spans="1:2">
      <c r="A41" s="31"/>
      <c r="B41" s="31"/>
    </row>
    <row r="42" spans="1:2">
      <c r="A42" s="31"/>
      <c r="B42" s="31"/>
    </row>
    <row r="43" spans="1:2">
      <c r="A43" s="31"/>
      <c r="B43" s="31"/>
    </row>
    <row r="44" spans="1:2">
      <c r="A44" s="31"/>
      <c r="B44" s="31"/>
    </row>
  </sheetData>
  <mergeCells count="4">
    <mergeCell ref="A1:L1"/>
    <mergeCell ref="A2:L2"/>
    <mergeCell ref="A3:L3"/>
    <mergeCell ref="A4:L4"/>
  </mergeCells>
  <phoneticPr fontId="21" type="noConversion"/>
  <printOptions horizontalCentered="1"/>
  <pageMargins left="0.75" right="0.75" top="1" bottom="1" header="0.5" footer="0.17"/>
  <pageSetup scale="62" orientation="landscape" verticalDpi="300" r:id="rId1"/>
  <headerFooter alignWithMargins="0">
    <oddFooter>&amp;RSchedule &amp;A
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8">
    <pageSetUpPr fitToPage="1"/>
  </sheetPr>
  <dimension ref="A1:R60"/>
  <sheetViews>
    <sheetView view="pageBreakPreview" zoomScale="80" zoomScaleNormal="100" zoomScaleSheetLayoutView="80" workbookViewId="0">
      <selection sqref="A1:P1"/>
    </sheetView>
  </sheetViews>
  <sheetFormatPr defaultColWidth="8.88671875" defaultRowHeight="15"/>
  <cols>
    <col min="1" max="1" width="4.33203125" style="72" bestFit="1" customWidth="1"/>
    <col min="2" max="2" width="47.21875" style="72" bestFit="1" customWidth="1"/>
    <col min="3" max="11" width="12" style="72" bestFit="1" customWidth="1"/>
    <col min="12" max="12" width="12.6640625" style="72" customWidth="1"/>
    <col min="13" max="13" width="12.5546875" style="72" bestFit="1" customWidth="1"/>
    <col min="14" max="14" width="12" style="72" bestFit="1" customWidth="1"/>
    <col min="15" max="15" width="12.77734375" style="72" customWidth="1"/>
    <col min="16" max="16" width="12" style="72" bestFit="1" customWidth="1"/>
    <col min="17" max="17" width="10.44140625" style="72" bestFit="1" customWidth="1"/>
    <col min="18" max="18" width="7.109375" style="72" customWidth="1"/>
    <col min="19" max="16384" width="8.88671875" style="72"/>
  </cols>
  <sheetData>
    <row r="1" spans="1:18">
      <c r="A1" s="1270" t="str">
        <f>'Table of Contents'!A1:C1</f>
        <v>Atmos Energy Corporation, Kentucky/Mid-States Division</v>
      </c>
      <c r="B1" s="1270"/>
      <c r="C1" s="1270"/>
      <c r="D1" s="1270"/>
      <c r="E1" s="1270"/>
      <c r="F1" s="1270"/>
      <c r="G1" s="1270"/>
      <c r="H1" s="1270"/>
      <c r="I1" s="1270"/>
      <c r="J1" s="1270"/>
      <c r="K1" s="1270"/>
      <c r="L1" s="1270"/>
      <c r="M1" s="1270"/>
      <c r="N1" s="1270"/>
      <c r="O1" s="1270"/>
      <c r="P1" s="1270"/>
    </row>
    <row r="2" spans="1:18">
      <c r="A2" s="1270" t="str">
        <f>'Table of Contents'!A2:C2</f>
        <v>Kentucky Jurisdiction Case No. 2021-00214</v>
      </c>
      <c r="B2" s="1270"/>
      <c r="C2" s="1270"/>
      <c r="D2" s="1270"/>
      <c r="E2" s="1270"/>
      <c r="F2" s="1270"/>
      <c r="G2" s="1270"/>
      <c r="H2" s="1270"/>
      <c r="I2" s="1270"/>
      <c r="J2" s="1270"/>
      <c r="K2" s="1270"/>
      <c r="L2" s="1270"/>
      <c r="M2" s="1270"/>
      <c r="N2" s="1270"/>
      <c r="O2" s="1270"/>
      <c r="P2" s="1270"/>
    </row>
    <row r="3" spans="1:18">
      <c r="A3" s="1270" t="str">
        <f>'Table of Contents'!A3:C3</f>
        <v>Base Period: Twelve Months Ended September 30, 2021</v>
      </c>
      <c r="B3" s="1270"/>
      <c r="C3" s="1270"/>
      <c r="D3" s="1270"/>
      <c r="E3" s="1270"/>
      <c r="F3" s="1270"/>
      <c r="G3" s="1270"/>
      <c r="H3" s="1270"/>
      <c r="I3" s="1270"/>
      <c r="J3" s="1270"/>
      <c r="K3" s="1270"/>
      <c r="L3" s="1270"/>
      <c r="M3" s="1270"/>
      <c r="N3" s="1270"/>
      <c r="O3" s="1270"/>
      <c r="P3" s="1270"/>
    </row>
    <row r="4" spans="1:18">
      <c r="A4" s="1252" t="s">
        <v>111</v>
      </c>
      <c r="B4" s="1252"/>
      <c r="C4" s="1252"/>
      <c r="D4" s="1252"/>
      <c r="E4" s="1252"/>
      <c r="F4" s="1252"/>
      <c r="G4" s="1252"/>
      <c r="H4" s="1252"/>
      <c r="I4" s="1252"/>
      <c r="J4" s="1252"/>
      <c r="K4" s="1252"/>
      <c r="L4" s="1252"/>
      <c r="M4" s="1252"/>
      <c r="N4" s="1252"/>
      <c r="O4" s="1252"/>
      <c r="P4" s="1252"/>
    </row>
    <row r="5" spans="1:18">
      <c r="P5" s="481" t="s">
        <v>1365</v>
      </c>
    </row>
    <row r="7" spans="1:18">
      <c r="A7" s="72" t="s">
        <v>92</v>
      </c>
      <c r="C7" s="686" t="s">
        <v>106</v>
      </c>
      <c r="D7" s="686" t="s">
        <v>106</v>
      </c>
      <c r="E7" s="686" t="s">
        <v>106</v>
      </c>
      <c r="F7" s="686" t="s">
        <v>106</v>
      </c>
      <c r="G7" s="686" t="s">
        <v>106</v>
      </c>
      <c r="H7" s="686" t="s">
        <v>106</v>
      </c>
      <c r="I7" s="686" t="s">
        <v>106</v>
      </c>
      <c r="J7" s="686" t="s">
        <v>1578</v>
      </c>
      <c r="K7" s="953" t="s">
        <v>1578</v>
      </c>
      <c r="L7" s="953" t="s">
        <v>1578</v>
      </c>
      <c r="M7" s="953" t="s">
        <v>1578</v>
      </c>
      <c r="N7" s="953" t="s">
        <v>1578</v>
      </c>
      <c r="O7" s="953" t="s">
        <v>1578</v>
      </c>
      <c r="P7" s="686" t="s">
        <v>44</v>
      </c>
    </row>
    <row r="8" spans="1:18">
      <c r="A8" s="746" t="s">
        <v>98</v>
      </c>
      <c r="B8" s="746" t="s">
        <v>972</v>
      </c>
      <c r="C8" s="1098">
        <f>O8-365</f>
        <v>44075</v>
      </c>
      <c r="D8" s="1098">
        <f>'C.2.2 B 09'!D10</f>
        <v>44105</v>
      </c>
      <c r="E8" s="1098">
        <f>'C.2.2 B 09'!E10</f>
        <v>44136</v>
      </c>
      <c r="F8" s="1098">
        <f>'C.2.2 B 09'!F10</f>
        <v>44166</v>
      </c>
      <c r="G8" s="1098">
        <f>'C.2.2 B 09'!G10</f>
        <v>44197</v>
      </c>
      <c r="H8" s="1098">
        <f>'C.2.2 B 09'!H10</f>
        <v>44228</v>
      </c>
      <c r="I8" s="1098">
        <f>'C.2.2 B 09'!I10</f>
        <v>44256</v>
      </c>
      <c r="J8" s="1098">
        <f>'C.2.2 B 09'!J10</f>
        <v>44287</v>
      </c>
      <c r="K8" s="1098">
        <f>'C.2.2 B 09'!K10</f>
        <v>44317</v>
      </c>
      <c r="L8" s="1098">
        <f>'C.2.2 B 09'!L10</f>
        <v>44348</v>
      </c>
      <c r="M8" s="1098">
        <f>'C.2.2 B 09'!M10</f>
        <v>44378</v>
      </c>
      <c r="N8" s="1098">
        <f>'C.2.2 B 09'!N10</f>
        <v>44409</v>
      </c>
      <c r="O8" s="1098">
        <f>'C.2.2 B 09'!O10</f>
        <v>44440</v>
      </c>
      <c r="P8" s="751" t="s">
        <v>97</v>
      </c>
      <c r="Q8" s="544"/>
      <c r="R8" s="544"/>
    </row>
    <row r="10" spans="1:18" ht="15.75">
      <c r="A10" s="686">
        <v>1</v>
      </c>
      <c r="B10" s="432" t="s">
        <v>265</v>
      </c>
    </row>
    <row r="11" spans="1:18">
      <c r="A11" s="686">
        <v>2</v>
      </c>
      <c r="B11" s="561"/>
      <c r="R11" s="557"/>
    </row>
    <row r="12" spans="1:18">
      <c r="A12" s="686">
        <v>3</v>
      </c>
      <c r="B12" s="561" t="s">
        <v>1152</v>
      </c>
    </row>
    <row r="13" spans="1:18">
      <c r="A13" s="686">
        <v>4</v>
      </c>
      <c r="B13" s="651" t="s">
        <v>509</v>
      </c>
      <c r="C13" s="304">
        <f>'[7]WP- Misc BS Accts'!H9</f>
        <v>0</v>
      </c>
      <c r="D13" s="304">
        <f>'[7]WP- Misc BS Accts'!I9</f>
        <v>0</v>
      </c>
      <c r="E13" s="304">
        <f>'[7]WP- Misc BS Accts'!J9</f>
        <v>0</v>
      </c>
      <c r="F13" s="304">
        <f>'[7]WP- Misc BS Accts'!K9</f>
        <v>0</v>
      </c>
      <c r="G13" s="304">
        <f>'[7]WP- Misc BS Accts'!L9</f>
        <v>0</v>
      </c>
      <c r="H13" s="304">
        <f>'[7]WP- Misc BS Accts'!M9</f>
        <v>0</v>
      </c>
      <c r="I13" s="304">
        <f>'[7]WP- Misc BS Accts'!N9</f>
        <v>0</v>
      </c>
      <c r="J13" s="304">
        <f>'[7]WP- Misc BS Accts'!O9</f>
        <v>0</v>
      </c>
      <c r="K13" s="304">
        <f>'[7]WP- Misc BS Accts'!P9</f>
        <v>0</v>
      </c>
      <c r="L13" s="304">
        <f>'[7]WP- Misc BS Accts'!Q9</f>
        <v>0</v>
      </c>
      <c r="M13" s="304">
        <f>'[7]WP- Misc BS Accts'!R9</f>
        <v>0</v>
      </c>
      <c r="N13" s="304">
        <f>'[7]WP- Misc BS Accts'!S9</f>
        <v>0</v>
      </c>
      <c r="O13" s="304">
        <f>'[7]WP- Misc BS Accts'!T9</f>
        <v>0</v>
      </c>
      <c r="R13" s="557"/>
    </row>
    <row r="14" spans="1:18">
      <c r="A14" s="686">
        <v>5</v>
      </c>
      <c r="B14" s="651" t="s">
        <v>510</v>
      </c>
      <c r="C14" s="304">
        <f>'[7]WP- Misc BS Accts'!H10</f>
        <v>-469111.19999999995</v>
      </c>
      <c r="D14" s="304">
        <f>'[7]WP- Misc BS Accts'!I10</f>
        <v>-509497.97</v>
      </c>
      <c r="E14" s="304">
        <f>'[7]WP- Misc BS Accts'!J10</f>
        <v>-523318.33999999997</v>
      </c>
      <c r="F14" s="304">
        <f>'[7]WP- Misc BS Accts'!K10</f>
        <v>-535854.99</v>
      </c>
      <c r="G14" s="304">
        <f>'[7]WP- Misc BS Accts'!L10</f>
        <v>-545350.80000000005</v>
      </c>
      <c r="H14" s="304">
        <f>'[7]WP- Misc BS Accts'!M10</f>
        <v>-548753.19999999995</v>
      </c>
      <c r="I14" s="304">
        <f>'[7]WP- Misc BS Accts'!N10</f>
        <v>-561797.81000000006</v>
      </c>
      <c r="J14" s="304">
        <f>'[7]WP- Misc BS Accts'!O10</f>
        <v>-537428.85166666668</v>
      </c>
      <c r="K14" s="304">
        <f>'[7]WP- Misc BS Accts'!P10</f>
        <v>-537428.85166666668</v>
      </c>
      <c r="L14" s="304">
        <f>'[7]WP- Misc BS Accts'!Q10</f>
        <v>-537428.85166666668</v>
      </c>
      <c r="M14" s="304">
        <f>'[7]WP- Misc BS Accts'!R10</f>
        <v>-537428.85166666668</v>
      </c>
      <c r="N14" s="304">
        <f>'[7]WP- Misc BS Accts'!S10</f>
        <v>-537428.85166666668</v>
      </c>
      <c r="O14" s="304">
        <f>'[7]WP- Misc BS Accts'!T10</f>
        <v>-537428.85166666668</v>
      </c>
    </row>
    <row r="15" spans="1:18">
      <c r="A15" s="686">
        <v>6</v>
      </c>
      <c r="B15" s="862" t="s">
        <v>511</v>
      </c>
      <c r="C15" s="1099">
        <f t="shared" ref="C15" si="0">SUM(C13:C14)</f>
        <v>-469111.19999999995</v>
      </c>
      <c r="D15" s="1099">
        <f t="shared" ref="D15:O15" si="1">SUM(D13:D14)</f>
        <v>-509497.97</v>
      </c>
      <c r="E15" s="1099">
        <f t="shared" si="1"/>
        <v>-523318.33999999997</v>
      </c>
      <c r="F15" s="1099">
        <f t="shared" si="1"/>
        <v>-535854.99</v>
      </c>
      <c r="G15" s="1099">
        <f t="shared" si="1"/>
        <v>-545350.80000000005</v>
      </c>
      <c r="H15" s="1099">
        <f t="shared" si="1"/>
        <v>-548753.19999999995</v>
      </c>
      <c r="I15" s="1099">
        <f t="shared" si="1"/>
        <v>-561797.81000000006</v>
      </c>
      <c r="J15" s="1099">
        <f t="shared" si="1"/>
        <v>-537428.85166666668</v>
      </c>
      <c r="K15" s="1099">
        <f t="shared" si="1"/>
        <v>-537428.85166666668</v>
      </c>
      <c r="L15" s="1099">
        <f t="shared" si="1"/>
        <v>-537428.85166666668</v>
      </c>
      <c r="M15" s="1099">
        <f t="shared" si="1"/>
        <v>-537428.85166666668</v>
      </c>
      <c r="N15" s="1099">
        <f t="shared" si="1"/>
        <v>-537428.85166666668</v>
      </c>
      <c r="O15" s="1099">
        <f t="shared" si="1"/>
        <v>-537428.85166666668</v>
      </c>
      <c r="P15" s="304">
        <f>(SUM(C15:O15))/13</f>
        <v>-532173.64769230771</v>
      </c>
    </row>
    <row r="16" spans="1:18">
      <c r="A16" s="686">
        <v>7</v>
      </c>
      <c r="B16" s="651"/>
    </row>
    <row r="17" spans="1:16">
      <c r="A17" s="686">
        <v>8</v>
      </c>
      <c r="B17" s="651" t="s">
        <v>1153</v>
      </c>
    </row>
    <row r="18" spans="1:16">
      <c r="A18" s="686">
        <v>9</v>
      </c>
      <c r="B18" s="651" t="s">
        <v>509</v>
      </c>
      <c r="C18" s="304">
        <f>'[7]WP- Misc BS Accts'!$H$14</f>
        <v>581043.21</v>
      </c>
      <c r="D18" s="304">
        <f>'[7]WP- Misc BS Accts'!$H$14</f>
        <v>581043.21</v>
      </c>
      <c r="E18" s="304">
        <f>'[7]WP- Misc BS Accts'!$H$14</f>
        <v>581043.21</v>
      </c>
      <c r="F18" s="304">
        <f>'[7]WP- Misc BS Accts'!$H$14</f>
        <v>581043.21</v>
      </c>
      <c r="G18" s="304">
        <f>'[7]WP- Misc BS Accts'!$H$14</f>
        <v>581043.21</v>
      </c>
      <c r="H18" s="304">
        <f>'[7]WP- Misc BS Accts'!$H$14</f>
        <v>581043.21</v>
      </c>
      <c r="I18" s="304">
        <f>'[7]WP- Misc BS Accts'!$H$14</f>
        <v>581043.21</v>
      </c>
      <c r="J18" s="304">
        <f>'[7]WP- Misc BS Accts'!$H$14</f>
        <v>581043.21</v>
      </c>
      <c r="K18" s="304">
        <f>'[7]WP- Misc BS Accts'!$H$14</f>
        <v>581043.21</v>
      </c>
      <c r="L18" s="304">
        <f>'[7]WP- Misc BS Accts'!$H$14</f>
        <v>581043.21</v>
      </c>
      <c r="M18" s="304">
        <f>'[7]WP- Misc BS Accts'!$H$14</f>
        <v>581043.21</v>
      </c>
      <c r="N18" s="304">
        <f>'[7]WP- Misc BS Accts'!$H$14</f>
        <v>581043.21</v>
      </c>
      <c r="O18" s="304">
        <f>'[7]WP- Misc BS Accts'!$H$14</f>
        <v>581043.21</v>
      </c>
    </row>
    <row r="19" spans="1:16">
      <c r="A19" s="686">
        <v>10</v>
      </c>
      <c r="B19" s="651" t="s">
        <v>510</v>
      </c>
      <c r="C19" s="364">
        <f>'[7]WP- Misc BS Accts'!H15</f>
        <v>1411612.21</v>
      </c>
      <c r="D19" s="364">
        <f>'[7]WP- Misc BS Accts'!I15</f>
        <v>1019560.4600000001</v>
      </c>
      <c r="E19" s="364">
        <f>'[7]WP- Misc BS Accts'!J15</f>
        <v>1050169.5900000001</v>
      </c>
      <c r="F19" s="364">
        <f>'[7]WP- Misc BS Accts'!K15</f>
        <v>1083084.2999999998</v>
      </c>
      <c r="G19" s="364">
        <f>'[7]WP- Misc BS Accts'!L15</f>
        <v>1116530.6399999999</v>
      </c>
      <c r="H19" s="364">
        <f>'[7]WP- Misc BS Accts'!M15</f>
        <v>1590634.3399999999</v>
      </c>
      <c r="I19" s="364">
        <f>'[7]WP- Misc BS Accts'!N15</f>
        <v>1623188.0300000003</v>
      </c>
      <c r="J19" s="364">
        <f>'[7]WP- Misc BS Accts'!O15</f>
        <v>1247194.56</v>
      </c>
      <c r="K19" s="364">
        <f>'[7]WP- Misc BS Accts'!P15</f>
        <v>1247194.56</v>
      </c>
      <c r="L19" s="364">
        <f>'[7]WP- Misc BS Accts'!Q15</f>
        <v>1247194.56</v>
      </c>
      <c r="M19" s="364">
        <f>'[7]WP- Misc BS Accts'!R15</f>
        <v>1247194.56</v>
      </c>
      <c r="N19" s="364">
        <f>'[7]WP- Misc BS Accts'!S15</f>
        <v>1247194.56</v>
      </c>
      <c r="O19" s="364">
        <f>'[7]WP- Misc BS Accts'!T15</f>
        <v>1247194.56</v>
      </c>
    </row>
    <row r="20" spans="1:16">
      <c r="A20" s="686">
        <v>11</v>
      </c>
      <c r="B20" s="862" t="s">
        <v>511</v>
      </c>
      <c r="C20" s="1099">
        <f t="shared" ref="C20" si="2">SUM(C18:C19)</f>
        <v>1992655.42</v>
      </c>
      <c r="D20" s="1099">
        <f t="shared" ref="D20:O20" si="3">SUM(D18:D19)</f>
        <v>1600603.67</v>
      </c>
      <c r="E20" s="1099">
        <f t="shared" si="3"/>
        <v>1631212.8</v>
      </c>
      <c r="F20" s="1099">
        <f t="shared" si="3"/>
        <v>1664127.5099999998</v>
      </c>
      <c r="G20" s="1099">
        <f t="shared" si="3"/>
        <v>1697573.8499999999</v>
      </c>
      <c r="H20" s="1099">
        <f t="shared" si="3"/>
        <v>2171677.5499999998</v>
      </c>
      <c r="I20" s="1099">
        <f t="shared" si="3"/>
        <v>2204231.2400000002</v>
      </c>
      <c r="J20" s="1099">
        <f t="shared" si="3"/>
        <v>1828237.77</v>
      </c>
      <c r="K20" s="1099">
        <f t="shared" si="3"/>
        <v>1828237.77</v>
      </c>
      <c r="L20" s="1099">
        <f t="shared" si="3"/>
        <v>1828237.77</v>
      </c>
      <c r="M20" s="1099">
        <f t="shared" si="3"/>
        <v>1828237.77</v>
      </c>
      <c r="N20" s="1099">
        <f t="shared" si="3"/>
        <v>1828237.77</v>
      </c>
      <c r="O20" s="1099">
        <f t="shared" si="3"/>
        <v>1828237.77</v>
      </c>
      <c r="P20" s="304">
        <f>(SUM(C20:O20))/13</f>
        <v>1840885.2815384616</v>
      </c>
    </row>
    <row r="21" spans="1:16">
      <c r="A21" s="686">
        <v>12</v>
      </c>
      <c r="B21" s="651"/>
    </row>
    <row r="22" spans="1:16">
      <c r="A22" s="686">
        <v>13</v>
      </c>
      <c r="B22" s="651" t="s">
        <v>1154</v>
      </c>
    </row>
    <row r="23" spans="1:16">
      <c r="A23" s="686">
        <v>14</v>
      </c>
      <c r="B23" s="651" t="s">
        <v>509</v>
      </c>
      <c r="C23" s="1100">
        <f>'[7]WP- Misc BS Accts'!H19</f>
        <v>0</v>
      </c>
      <c r="D23" s="1100">
        <f>'[7]WP- Misc BS Accts'!I19</f>
        <v>0</v>
      </c>
      <c r="E23" s="1100">
        <f>'[7]WP- Misc BS Accts'!J19</f>
        <v>0</v>
      </c>
      <c r="F23" s="1100">
        <f>'[7]WP- Misc BS Accts'!K19</f>
        <v>0</v>
      </c>
      <c r="G23" s="1100">
        <f>'[7]WP- Misc BS Accts'!L19</f>
        <v>0</v>
      </c>
      <c r="H23" s="1100">
        <f>'[7]WP- Misc BS Accts'!M19</f>
        <v>0</v>
      </c>
      <c r="I23" s="1100">
        <f>'[7]WP- Misc BS Accts'!N19</f>
        <v>0</v>
      </c>
      <c r="J23" s="1100">
        <f>'[7]WP- Misc BS Accts'!O19</f>
        <v>0</v>
      </c>
      <c r="K23" s="1100">
        <f>'[7]WP- Misc BS Accts'!P19</f>
        <v>0</v>
      </c>
      <c r="L23" s="1100">
        <f>'[7]WP- Misc BS Accts'!Q19</f>
        <v>0</v>
      </c>
      <c r="M23" s="1100">
        <f>'[7]WP- Misc BS Accts'!R19</f>
        <v>0</v>
      </c>
      <c r="N23" s="1100">
        <f>'[7]WP- Misc BS Accts'!S19</f>
        <v>0</v>
      </c>
      <c r="O23" s="1100">
        <f>'[7]WP- Misc BS Accts'!T19</f>
        <v>0</v>
      </c>
    </row>
    <row r="24" spans="1:16">
      <c r="A24" s="686">
        <v>15</v>
      </c>
      <c r="B24" s="651" t="s">
        <v>510</v>
      </c>
      <c r="C24" s="364">
        <f>'[7]WP- Misc BS Accts'!H20</f>
        <v>0</v>
      </c>
      <c r="D24" s="364">
        <f>'[7]WP- Misc BS Accts'!I20</f>
        <v>0</v>
      </c>
      <c r="E24" s="364">
        <f>'[7]WP- Misc BS Accts'!J20</f>
        <v>0</v>
      </c>
      <c r="F24" s="364">
        <f>'[7]WP- Misc BS Accts'!K20</f>
        <v>0</v>
      </c>
      <c r="G24" s="364">
        <f>'[7]WP- Misc BS Accts'!L20</f>
        <v>0</v>
      </c>
      <c r="H24" s="364">
        <f>'[7]WP- Misc BS Accts'!M20</f>
        <v>0</v>
      </c>
      <c r="I24" s="364">
        <f>'[7]WP- Misc BS Accts'!N20</f>
        <v>0</v>
      </c>
      <c r="J24" s="364">
        <f>'[7]WP- Misc BS Accts'!O20</f>
        <v>0</v>
      </c>
      <c r="K24" s="364">
        <f>'[7]WP- Misc BS Accts'!P20</f>
        <v>0</v>
      </c>
      <c r="L24" s="364">
        <f>'[7]WP- Misc BS Accts'!Q20</f>
        <v>0</v>
      </c>
      <c r="M24" s="364">
        <f>'[7]WP- Misc BS Accts'!R20</f>
        <v>0</v>
      </c>
      <c r="N24" s="364">
        <f>'[7]WP- Misc BS Accts'!S20</f>
        <v>0</v>
      </c>
      <c r="O24" s="364">
        <f>'[7]WP- Misc BS Accts'!T20</f>
        <v>0</v>
      </c>
    </row>
    <row r="25" spans="1:16">
      <c r="A25" s="686">
        <v>16</v>
      </c>
      <c r="B25" s="862" t="s">
        <v>511</v>
      </c>
      <c r="C25" s="1099">
        <f t="shared" ref="C25" si="4">SUM(C23:C24)</f>
        <v>0</v>
      </c>
      <c r="D25" s="1099">
        <f t="shared" ref="D25:O25" si="5">SUM(D23:D24)</f>
        <v>0</v>
      </c>
      <c r="E25" s="1099">
        <f t="shared" si="5"/>
        <v>0</v>
      </c>
      <c r="F25" s="1099">
        <f t="shared" si="5"/>
        <v>0</v>
      </c>
      <c r="G25" s="1099">
        <f t="shared" si="5"/>
        <v>0</v>
      </c>
      <c r="H25" s="1099">
        <f t="shared" si="5"/>
        <v>0</v>
      </c>
      <c r="I25" s="1099">
        <f t="shared" si="5"/>
        <v>0</v>
      </c>
      <c r="J25" s="1099">
        <f t="shared" si="5"/>
        <v>0</v>
      </c>
      <c r="K25" s="1099">
        <f t="shared" si="5"/>
        <v>0</v>
      </c>
      <c r="L25" s="1099">
        <f t="shared" si="5"/>
        <v>0</v>
      </c>
      <c r="M25" s="1099">
        <f t="shared" si="5"/>
        <v>0</v>
      </c>
      <c r="N25" s="1099">
        <f t="shared" si="5"/>
        <v>0</v>
      </c>
      <c r="O25" s="1099">
        <f t="shared" si="5"/>
        <v>0</v>
      </c>
      <c r="P25" s="304">
        <f>(SUM(C25:O25))/13</f>
        <v>0</v>
      </c>
    </row>
    <row r="26" spans="1:16">
      <c r="A26" s="686">
        <v>17</v>
      </c>
      <c r="B26" s="651"/>
    </row>
    <row r="27" spans="1:16">
      <c r="A27" s="686">
        <v>18</v>
      </c>
      <c r="B27" s="651" t="s">
        <v>1155</v>
      </c>
    </row>
    <row r="28" spans="1:16">
      <c r="A28" s="686">
        <v>19</v>
      </c>
      <c r="B28" s="651" t="s">
        <v>509</v>
      </c>
      <c r="C28" s="1100">
        <f>'[7]WP- Misc BS Accts'!H24</f>
        <v>0</v>
      </c>
      <c r="D28" s="1100">
        <f>'[7]WP- Misc BS Accts'!I24</f>
        <v>0</v>
      </c>
      <c r="E28" s="1100">
        <f>'[7]WP- Misc BS Accts'!J24</f>
        <v>0</v>
      </c>
      <c r="F28" s="1100">
        <f>'[7]WP- Misc BS Accts'!K24</f>
        <v>0</v>
      </c>
      <c r="G28" s="1100">
        <f>'[7]WP- Misc BS Accts'!L24</f>
        <v>0</v>
      </c>
      <c r="H28" s="1100">
        <f>'[7]WP- Misc BS Accts'!M24</f>
        <v>0</v>
      </c>
      <c r="I28" s="1100">
        <f>'[7]WP- Misc BS Accts'!N24</f>
        <v>0</v>
      </c>
      <c r="J28" s="1100">
        <f>'[7]WP- Misc BS Accts'!O24</f>
        <v>0</v>
      </c>
      <c r="K28" s="1100">
        <f>'[7]WP- Misc BS Accts'!P24</f>
        <v>0</v>
      </c>
      <c r="L28" s="1100">
        <f>'[7]WP- Misc BS Accts'!Q24</f>
        <v>0</v>
      </c>
      <c r="M28" s="1100">
        <f>'[7]WP- Misc BS Accts'!R24</f>
        <v>0</v>
      </c>
      <c r="N28" s="1100">
        <f>'[7]WP- Misc BS Accts'!S24</f>
        <v>0</v>
      </c>
      <c r="O28" s="1100">
        <f>'[7]WP- Misc BS Accts'!T24</f>
        <v>0</v>
      </c>
    </row>
    <row r="29" spans="1:16">
      <c r="A29" s="686">
        <v>20</v>
      </c>
      <c r="B29" s="651" t="s">
        <v>510</v>
      </c>
      <c r="C29" s="364">
        <f>'[7]WP- Misc BS Accts'!H25</f>
        <v>0</v>
      </c>
      <c r="D29" s="364">
        <f>'[7]WP- Misc BS Accts'!I25</f>
        <v>0</v>
      </c>
      <c r="E29" s="364">
        <f>'[7]WP- Misc BS Accts'!J25</f>
        <v>0</v>
      </c>
      <c r="F29" s="364">
        <f>'[7]WP- Misc BS Accts'!K25</f>
        <v>0</v>
      </c>
      <c r="G29" s="364">
        <f>'[7]WP- Misc BS Accts'!L25</f>
        <v>0</v>
      </c>
      <c r="H29" s="364">
        <f>'[7]WP- Misc BS Accts'!M25</f>
        <v>0</v>
      </c>
      <c r="I29" s="364">
        <f>'[7]WP- Misc BS Accts'!N25</f>
        <v>0</v>
      </c>
      <c r="J29" s="364">
        <f>'[7]WP- Misc BS Accts'!O25</f>
        <v>0</v>
      </c>
      <c r="K29" s="364">
        <f>'[7]WP- Misc BS Accts'!P25</f>
        <v>0</v>
      </c>
      <c r="L29" s="364">
        <f>'[7]WP- Misc BS Accts'!Q25</f>
        <v>0</v>
      </c>
      <c r="M29" s="364">
        <f>'[7]WP- Misc BS Accts'!R25</f>
        <v>0</v>
      </c>
      <c r="N29" s="364">
        <f>'[7]WP- Misc BS Accts'!S25</f>
        <v>0</v>
      </c>
      <c r="O29" s="364">
        <f>'[7]WP- Misc BS Accts'!T25</f>
        <v>0</v>
      </c>
    </row>
    <row r="30" spans="1:16">
      <c r="A30" s="686">
        <v>21</v>
      </c>
      <c r="B30" s="862" t="s">
        <v>511</v>
      </c>
      <c r="C30" s="1099">
        <f t="shared" ref="C30:G30" si="6">SUM(C28:C29)</f>
        <v>0</v>
      </c>
      <c r="D30" s="1099">
        <f t="shared" si="6"/>
        <v>0</v>
      </c>
      <c r="E30" s="1099">
        <f t="shared" si="6"/>
        <v>0</v>
      </c>
      <c r="F30" s="1099">
        <f t="shared" si="6"/>
        <v>0</v>
      </c>
      <c r="G30" s="1099">
        <f t="shared" si="6"/>
        <v>0</v>
      </c>
      <c r="H30" s="1099">
        <f t="shared" ref="H30:M30" si="7">SUM(H28:H29)</f>
        <v>0</v>
      </c>
      <c r="I30" s="1099">
        <f t="shared" si="7"/>
        <v>0</v>
      </c>
      <c r="J30" s="1099">
        <f t="shared" si="7"/>
        <v>0</v>
      </c>
      <c r="K30" s="1099">
        <f t="shared" si="7"/>
        <v>0</v>
      </c>
      <c r="L30" s="1099">
        <f t="shared" si="7"/>
        <v>0</v>
      </c>
      <c r="M30" s="1099">
        <f t="shared" si="7"/>
        <v>0</v>
      </c>
      <c r="N30" s="1099">
        <f t="shared" ref="N30:O30" si="8">SUM(N28:N29)</f>
        <v>0</v>
      </c>
      <c r="O30" s="1099">
        <f t="shared" si="8"/>
        <v>0</v>
      </c>
      <c r="P30" s="304">
        <f>(SUM(C30:O30))/13</f>
        <v>0</v>
      </c>
    </row>
    <row r="31" spans="1:16">
      <c r="A31" s="686">
        <v>22</v>
      </c>
      <c r="B31" s="651"/>
    </row>
    <row r="32" spans="1:16" ht="15.75">
      <c r="A32" s="686">
        <v>23</v>
      </c>
      <c r="B32" s="432" t="s">
        <v>512</v>
      </c>
    </row>
    <row r="33" spans="1:18">
      <c r="A33" s="686">
        <v>24</v>
      </c>
      <c r="B33" s="88"/>
    </row>
    <row r="34" spans="1:18">
      <c r="A34" s="686">
        <v>25</v>
      </c>
      <c r="B34" s="651" t="s">
        <v>1152</v>
      </c>
      <c r="C34" s="304">
        <f>'[8]2021 dollars'!$P$31</f>
        <v>12741963.989999998</v>
      </c>
      <c r="D34" s="304">
        <f>'[8]2021 dollars'!E45</f>
        <v>14457319.99</v>
      </c>
      <c r="E34" s="304">
        <f>'[8]2021 dollars'!F45</f>
        <v>13451576.300000001</v>
      </c>
      <c r="F34" s="304">
        <f>'[8]2021 dollars'!G45</f>
        <v>11524152.710000001</v>
      </c>
      <c r="G34" s="304">
        <f>'[8]2021 dollars'!H45</f>
        <v>9335171.629999999</v>
      </c>
      <c r="H34" s="304">
        <f>'[8]2021 dollars'!I45</f>
        <v>5734348.25</v>
      </c>
      <c r="I34" s="304">
        <f>'[8]2021 dollars'!J45</f>
        <v>4112786.4899999998</v>
      </c>
      <c r="J34" s="304">
        <f>'[9]Summary of Revenue'!P32</f>
        <v>-1767098.7599999998</v>
      </c>
      <c r="K34" s="304">
        <f>'[9]Summary of Revenue'!Q32</f>
        <v>-3615347.6199999992</v>
      </c>
      <c r="L34" s="304">
        <f>'[9]Summary of Revenue'!R32</f>
        <v>-243402.70781060774</v>
      </c>
      <c r="M34" s="304">
        <f>'[9]Summary of Revenue'!S32</f>
        <v>3202042.4295936665</v>
      </c>
      <c r="N34" s="304">
        <f>'[9]Summary of Revenue'!T32</f>
        <v>7003757.7588289939</v>
      </c>
      <c r="O34" s="304">
        <f>'[9]Summary of Revenue'!U32</f>
        <v>10824191.311803257</v>
      </c>
      <c r="P34" s="304">
        <f>(SUM(C34:O34))/13</f>
        <v>6673958.5978780994</v>
      </c>
      <c r="Q34" s="544"/>
      <c r="R34" s="544"/>
    </row>
    <row r="35" spans="1:18">
      <c r="A35" s="686">
        <v>26</v>
      </c>
      <c r="B35" s="651"/>
      <c r="K35" s="310"/>
      <c r="L35" s="310"/>
      <c r="M35" s="310"/>
      <c r="N35" s="310"/>
      <c r="O35" s="310"/>
    </row>
    <row r="36" spans="1:18">
      <c r="A36" s="686">
        <v>27</v>
      </c>
      <c r="B36" s="651" t="s">
        <v>1153</v>
      </c>
      <c r="C36" s="839">
        <v>0</v>
      </c>
      <c r="D36" s="387">
        <v>0</v>
      </c>
      <c r="E36" s="387">
        <v>0</v>
      </c>
      <c r="F36" s="387">
        <v>0</v>
      </c>
      <c r="G36" s="387">
        <v>0</v>
      </c>
      <c r="H36" s="387">
        <v>0</v>
      </c>
      <c r="I36" s="387">
        <v>0</v>
      </c>
      <c r="J36" s="387">
        <v>0</v>
      </c>
      <c r="K36" s="387">
        <v>0</v>
      </c>
      <c r="L36" s="387">
        <v>0</v>
      </c>
      <c r="M36" s="387">
        <v>0</v>
      </c>
      <c r="N36" s="387">
        <v>0</v>
      </c>
      <c r="O36" s="387">
        <v>0</v>
      </c>
      <c r="P36" s="304">
        <f>(SUM(C36:O36))/13</f>
        <v>0</v>
      </c>
    </row>
    <row r="37" spans="1:18">
      <c r="A37" s="686">
        <v>28</v>
      </c>
      <c r="B37" s="651"/>
    </row>
    <row r="38" spans="1:18">
      <c r="A38" s="686">
        <v>29</v>
      </c>
      <c r="B38" s="651" t="s">
        <v>1154</v>
      </c>
      <c r="C38" s="387">
        <v>0</v>
      </c>
      <c r="D38" s="387">
        <v>0</v>
      </c>
      <c r="E38" s="387">
        <v>0</v>
      </c>
      <c r="F38" s="387">
        <v>0</v>
      </c>
      <c r="G38" s="387">
        <v>0</v>
      </c>
      <c r="H38" s="387">
        <v>0</v>
      </c>
      <c r="I38" s="387">
        <v>0</v>
      </c>
      <c r="J38" s="387">
        <v>0</v>
      </c>
      <c r="K38" s="387">
        <v>0</v>
      </c>
      <c r="L38" s="387">
        <v>0</v>
      </c>
      <c r="M38" s="387">
        <v>0</v>
      </c>
      <c r="N38" s="387">
        <v>0</v>
      </c>
      <c r="O38" s="387">
        <v>0</v>
      </c>
      <c r="P38" s="304">
        <f>(SUM(C38:O38))/13</f>
        <v>0</v>
      </c>
    </row>
    <row r="39" spans="1:18">
      <c r="A39" s="686">
        <v>30</v>
      </c>
      <c r="B39" s="651"/>
    </row>
    <row r="40" spans="1:18">
      <c r="A40" s="686">
        <v>31</v>
      </c>
      <c r="B40" s="651" t="s">
        <v>1155</v>
      </c>
      <c r="C40" s="387">
        <v>0</v>
      </c>
      <c r="D40" s="387">
        <v>0</v>
      </c>
      <c r="E40" s="387">
        <v>0</v>
      </c>
      <c r="F40" s="387">
        <v>0</v>
      </c>
      <c r="G40" s="387">
        <v>0</v>
      </c>
      <c r="H40" s="387">
        <v>0</v>
      </c>
      <c r="I40" s="387">
        <v>0</v>
      </c>
      <c r="J40" s="387">
        <v>0</v>
      </c>
      <c r="K40" s="387">
        <v>0</v>
      </c>
      <c r="L40" s="387">
        <v>0</v>
      </c>
      <c r="M40" s="387">
        <v>0</v>
      </c>
      <c r="N40" s="387">
        <v>0</v>
      </c>
      <c r="O40" s="387">
        <v>0</v>
      </c>
      <c r="P40" s="304">
        <f>(SUM(C40:O40))/13</f>
        <v>0</v>
      </c>
    </row>
    <row r="41" spans="1:18">
      <c r="A41" s="686">
        <v>32</v>
      </c>
      <c r="B41" s="862"/>
    </row>
    <row r="42" spans="1:18" ht="15.75">
      <c r="A42" s="686">
        <v>33</v>
      </c>
      <c r="B42" s="432" t="s">
        <v>513</v>
      </c>
    </row>
    <row r="43" spans="1:18">
      <c r="A43" s="686">
        <v>34</v>
      </c>
      <c r="B43" s="561"/>
    </row>
    <row r="44" spans="1:18">
      <c r="A44" s="686">
        <v>35</v>
      </c>
      <c r="B44" s="651" t="s">
        <v>1152</v>
      </c>
      <c r="C44" s="304">
        <f>0</f>
        <v>0</v>
      </c>
      <c r="D44" s="304">
        <f>0</f>
        <v>0</v>
      </c>
      <c r="E44" s="304">
        <f>0</f>
        <v>0</v>
      </c>
      <c r="F44" s="304">
        <f>0</f>
        <v>0</v>
      </c>
      <c r="G44" s="304">
        <f>0</f>
        <v>0</v>
      </c>
      <c r="H44" s="304">
        <f>0</f>
        <v>0</v>
      </c>
      <c r="I44" s="304">
        <f>0</f>
        <v>0</v>
      </c>
      <c r="J44" s="304">
        <f>0</f>
        <v>0</v>
      </c>
      <c r="K44" s="304">
        <f>0</f>
        <v>0</v>
      </c>
      <c r="L44" s="304">
        <f>0</f>
        <v>0</v>
      </c>
      <c r="M44" s="304">
        <f>0</f>
        <v>0</v>
      </c>
      <c r="N44" s="304">
        <f>0</f>
        <v>0</v>
      </c>
      <c r="O44" s="304">
        <f>0</f>
        <v>0</v>
      </c>
      <c r="P44" s="304">
        <f>(SUM(C44:O44))/13</f>
        <v>0</v>
      </c>
    </row>
    <row r="45" spans="1:18">
      <c r="A45" s="686">
        <v>36</v>
      </c>
      <c r="B45" s="651"/>
    </row>
    <row r="46" spans="1:18">
      <c r="A46" s="686">
        <v>37</v>
      </c>
      <c r="B46" s="651" t="s">
        <v>1153</v>
      </c>
      <c r="C46" s="304">
        <f>0</f>
        <v>0</v>
      </c>
      <c r="D46" s="304">
        <f>0</f>
        <v>0</v>
      </c>
      <c r="E46" s="304">
        <f>0</f>
        <v>0</v>
      </c>
      <c r="F46" s="304">
        <f>0</f>
        <v>0</v>
      </c>
      <c r="G46" s="304">
        <f>0</f>
        <v>0</v>
      </c>
      <c r="H46" s="304">
        <f>0</f>
        <v>0</v>
      </c>
      <c r="I46" s="304">
        <f>0</f>
        <v>0</v>
      </c>
      <c r="J46" s="304">
        <f>0</f>
        <v>0</v>
      </c>
      <c r="K46" s="304">
        <f>0</f>
        <v>0</v>
      </c>
      <c r="L46" s="304">
        <f>0</f>
        <v>0</v>
      </c>
      <c r="M46" s="304">
        <f>0</f>
        <v>0</v>
      </c>
      <c r="N46" s="304">
        <f>0</f>
        <v>0</v>
      </c>
      <c r="O46" s="304">
        <f>0</f>
        <v>0</v>
      </c>
      <c r="P46" s="304">
        <f>(SUM(C46:O46))/13</f>
        <v>0</v>
      </c>
    </row>
    <row r="47" spans="1:18">
      <c r="A47" s="686">
        <v>38</v>
      </c>
      <c r="B47" s="651"/>
    </row>
    <row r="48" spans="1:18">
      <c r="A48" s="686">
        <v>39</v>
      </c>
      <c r="B48" s="651" t="s">
        <v>1154</v>
      </c>
      <c r="C48" s="304">
        <f>0</f>
        <v>0</v>
      </c>
      <c r="D48" s="304">
        <f>0</f>
        <v>0</v>
      </c>
      <c r="E48" s="304">
        <f>0</f>
        <v>0</v>
      </c>
      <c r="F48" s="304">
        <f>0</f>
        <v>0</v>
      </c>
      <c r="G48" s="304">
        <f>0</f>
        <v>0</v>
      </c>
      <c r="H48" s="304">
        <f>0</f>
        <v>0</v>
      </c>
      <c r="I48" s="304">
        <f>0</f>
        <v>0</v>
      </c>
      <c r="J48" s="304">
        <f>0</f>
        <v>0</v>
      </c>
      <c r="K48" s="304">
        <f>0</f>
        <v>0</v>
      </c>
      <c r="L48" s="304">
        <f>0</f>
        <v>0</v>
      </c>
      <c r="M48" s="304">
        <f>0</f>
        <v>0</v>
      </c>
      <c r="N48" s="304">
        <f>0</f>
        <v>0</v>
      </c>
      <c r="O48" s="304">
        <f>0</f>
        <v>0</v>
      </c>
      <c r="P48" s="304">
        <f>(SUM(C48:O48))/13</f>
        <v>0</v>
      </c>
    </row>
    <row r="49" spans="1:16">
      <c r="A49" s="686">
        <v>40</v>
      </c>
      <c r="B49" s="651"/>
    </row>
    <row r="50" spans="1:16">
      <c r="A50" s="686">
        <v>41</v>
      </c>
      <c r="B50" s="651" t="s">
        <v>1155</v>
      </c>
      <c r="C50" s="304">
        <f>0</f>
        <v>0</v>
      </c>
      <c r="D50" s="304">
        <f>0</f>
        <v>0</v>
      </c>
      <c r="E50" s="304">
        <f>0</f>
        <v>0</v>
      </c>
      <c r="F50" s="304">
        <f>0</f>
        <v>0</v>
      </c>
      <c r="G50" s="304">
        <f>0</f>
        <v>0</v>
      </c>
      <c r="H50" s="304">
        <f>0</f>
        <v>0</v>
      </c>
      <c r="I50" s="304">
        <f>0</f>
        <v>0</v>
      </c>
      <c r="J50" s="304">
        <f>0</f>
        <v>0</v>
      </c>
      <c r="K50" s="304">
        <f>0</f>
        <v>0</v>
      </c>
      <c r="L50" s="304">
        <f>0</f>
        <v>0</v>
      </c>
      <c r="M50" s="304">
        <f>0</f>
        <v>0</v>
      </c>
      <c r="N50" s="304">
        <f>0</f>
        <v>0</v>
      </c>
      <c r="O50" s="304">
        <f>0</f>
        <v>0</v>
      </c>
      <c r="P50" s="304">
        <f>(SUM(C50:O50))/13</f>
        <v>0</v>
      </c>
    </row>
    <row r="55" spans="1:16">
      <c r="B55" s="72" t="s">
        <v>514</v>
      </c>
    </row>
    <row r="56" spans="1:16">
      <c r="B56" s="72" t="s">
        <v>1584</v>
      </c>
    </row>
    <row r="57" spans="1:16">
      <c r="B57" s="72" t="s">
        <v>1585</v>
      </c>
    </row>
    <row r="58" spans="1:16">
      <c r="B58" s="72" t="s">
        <v>1591</v>
      </c>
    </row>
    <row r="59" spans="1:16">
      <c r="C59" s="544"/>
    </row>
    <row r="60" spans="1:16">
      <c r="C60" s="544"/>
    </row>
  </sheetData>
  <mergeCells count="4">
    <mergeCell ref="A1:P1"/>
    <mergeCell ref="A2:P2"/>
    <mergeCell ref="A3:P3"/>
    <mergeCell ref="A4:P4"/>
  </mergeCells>
  <phoneticPr fontId="21" type="noConversion"/>
  <pageMargins left="0.56000000000000005" right="0.47" top="1" bottom="1" header="0.5" footer="0.5"/>
  <pageSetup scale="48" orientation="landscape" r:id="rId1"/>
  <headerFooter alignWithMargins="0">
    <oddFooter>&amp;R&amp;A
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9">
    <pageSetUpPr fitToPage="1"/>
  </sheetPr>
  <dimension ref="A1:R57"/>
  <sheetViews>
    <sheetView view="pageBreakPreview" zoomScale="80" zoomScaleNormal="100" zoomScaleSheetLayoutView="80" workbookViewId="0">
      <selection sqref="A1:P1"/>
    </sheetView>
  </sheetViews>
  <sheetFormatPr defaultColWidth="8.88671875" defaultRowHeight="15"/>
  <cols>
    <col min="1" max="1" width="4.33203125" style="72" bestFit="1" customWidth="1"/>
    <col min="2" max="2" width="44.21875" style="72" customWidth="1"/>
    <col min="3" max="3" width="12.5546875" style="72" bestFit="1" customWidth="1"/>
    <col min="4" max="4" width="12.6640625" style="72" bestFit="1" customWidth="1"/>
    <col min="5" max="7" width="12" style="72" bestFit="1" customWidth="1"/>
    <col min="8" max="8" width="12.44140625" style="72" customWidth="1"/>
    <col min="9" max="14" width="12" style="72" bestFit="1" customWidth="1"/>
    <col min="15" max="15" width="12.5546875" style="72" bestFit="1" customWidth="1"/>
    <col min="16" max="16" width="12" style="72" bestFit="1" customWidth="1"/>
    <col min="17" max="17" width="10.44140625" style="72" bestFit="1" customWidth="1"/>
    <col min="18" max="18" width="12" style="72" customWidth="1"/>
    <col min="19" max="16384" width="8.88671875" style="72"/>
  </cols>
  <sheetData>
    <row r="1" spans="1:18">
      <c r="A1" s="1270" t="str">
        <f>'Table of Contents'!A1:C1</f>
        <v>Atmos Energy Corporation, Kentucky/Mid-States Division</v>
      </c>
      <c r="B1" s="1270"/>
      <c r="C1" s="1270"/>
      <c r="D1" s="1270"/>
      <c r="E1" s="1270"/>
      <c r="F1" s="1270"/>
      <c r="G1" s="1270"/>
      <c r="H1" s="1270"/>
      <c r="I1" s="1270"/>
      <c r="J1" s="1270"/>
      <c r="K1" s="1270"/>
      <c r="L1" s="1270"/>
      <c r="M1" s="1270"/>
      <c r="N1" s="1270"/>
      <c r="O1" s="1270"/>
      <c r="P1" s="1270"/>
    </row>
    <row r="2" spans="1:18">
      <c r="A2" s="1270" t="str">
        <f>'Table of Contents'!A2:C2</f>
        <v>Kentucky Jurisdiction Case No. 2021-00214</v>
      </c>
      <c r="B2" s="1270"/>
      <c r="C2" s="1270"/>
      <c r="D2" s="1270"/>
      <c r="E2" s="1270"/>
      <c r="F2" s="1270"/>
      <c r="G2" s="1270"/>
      <c r="H2" s="1270"/>
      <c r="I2" s="1270"/>
      <c r="J2" s="1270"/>
      <c r="K2" s="1270"/>
      <c r="L2" s="1270"/>
      <c r="M2" s="1270"/>
      <c r="N2" s="1270"/>
      <c r="O2" s="1270"/>
      <c r="P2" s="1270"/>
    </row>
    <row r="3" spans="1:18">
      <c r="A3" s="1270" t="str">
        <f>'Table of Contents'!A4:C4</f>
        <v>Forecasted Test Period: Twelve Months Ended December 31, 2022</v>
      </c>
      <c r="B3" s="1270"/>
      <c r="C3" s="1270"/>
      <c r="D3" s="1270"/>
      <c r="E3" s="1270"/>
      <c r="F3" s="1270"/>
      <c r="G3" s="1270"/>
      <c r="H3" s="1270"/>
      <c r="I3" s="1270"/>
      <c r="J3" s="1270"/>
      <c r="K3" s="1270"/>
      <c r="L3" s="1270"/>
      <c r="M3" s="1270"/>
      <c r="N3" s="1270"/>
      <c r="O3" s="1270"/>
      <c r="P3" s="1270"/>
    </row>
    <row r="4" spans="1:18">
      <c r="A4" s="1252" t="s">
        <v>111</v>
      </c>
      <c r="B4" s="1252"/>
      <c r="C4" s="1252"/>
      <c r="D4" s="1252"/>
      <c r="E4" s="1252"/>
      <c r="F4" s="1252"/>
      <c r="G4" s="1252"/>
      <c r="H4" s="1252"/>
      <c r="I4" s="1252"/>
      <c r="J4" s="1252"/>
      <c r="K4" s="1252"/>
      <c r="L4" s="1252"/>
      <c r="M4" s="1252"/>
      <c r="N4" s="1252"/>
      <c r="O4" s="1252"/>
      <c r="P4" s="1252"/>
    </row>
    <row r="5" spans="1:18">
      <c r="P5" s="481" t="s">
        <v>1365</v>
      </c>
    </row>
    <row r="7" spans="1:18">
      <c r="A7" s="72" t="s">
        <v>92</v>
      </c>
      <c r="C7" s="954" t="s">
        <v>42</v>
      </c>
      <c r="D7" s="954" t="s">
        <v>42</v>
      </c>
      <c r="E7" s="954" t="s">
        <v>42</v>
      </c>
      <c r="F7" s="954" t="s">
        <v>42</v>
      </c>
      <c r="G7" s="954" t="s">
        <v>42</v>
      </c>
      <c r="H7" s="686" t="s">
        <v>42</v>
      </c>
      <c r="I7" s="686" t="s">
        <v>42</v>
      </c>
      <c r="J7" s="686" t="s">
        <v>42</v>
      </c>
      <c r="K7" s="686" t="s">
        <v>42</v>
      </c>
      <c r="L7" s="686" t="s">
        <v>42</v>
      </c>
      <c r="M7" s="686" t="s">
        <v>42</v>
      </c>
      <c r="N7" s="686" t="s">
        <v>42</v>
      </c>
      <c r="O7" s="686" t="s">
        <v>42</v>
      </c>
      <c r="P7" s="686" t="s">
        <v>44</v>
      </c>
    </row>
    <row r="8" spans="1:18">
      <c r="A8" s="746" t="s">
        <v>98</v>
      </c>
      <c r="B8" s="746" t="s">
        <v>972</v>
      </c>
      <c r="C8" s="1098">
        <f>O8-365</f>
        <v>44531</v>
      </c>
      <c r="D8" s="1098">
        <f>'C.2.2-F 09'!D10</f>
        <v>44562</v>
      </c>
      <c r="E8" s="1098">
        <f>'C.2.2-F 09'!E10</f>
        <v>44593</v>
      </c>
      <c r="F8" s="1098">
        <f>'C.2.2-F 09'!F10</f>
        <v>44621</v>
      </c>
      <c r="G8" s="1098">
        <f>'C.2.2-F 09'!G10</f>
        <v>44652</v>
      </c>
      <c r="H8" s="1098">
        <f>'C.2.2-F 09'!H10</f>
        <v>44682</v>
      </c>
      <c r="I8" s="1098">
        <f>'C.2.2-F 09'!I10</f>
        <v>44713</v>
      </c>
      <c r="J8" s="1098">
        <f>'C.2.2-F 09'!J10</f>
        <v>44743</v>
      </c>
      <c r="K8" s="1098">
        <f>'C.2.2-F 09'!K10</f>
        <v>44774</v>
      </c>
      <c r="L8" s="1098">
        <f>'C.2.2-F 09'!L10</f>
        <v>44805</v>
      </c>
      <c r="M8" s="1098">
        <f>'C.2.2-F 09'!M10</f>
        <v>44835</v>
      </c>
      <c r="N8" s="1098">
        <f>'C.2.2-F 09'!N10</f>
        <v>44866</v>
      </c>
      <c r="O8" s="1098">
        <f>'C.2.2-F 09'!O10</f>
        <v>44896</v>
      </c>
      <c r="P8" s="751" t="s">
        <v>97</v>
      </c>
      <c r="Q8" s="544"/>
      <c r="R8" s="544"/>
    </row>
    <row r="10" spans="1:18" ht="15.75">
      <c r="A10" s="686">
        <v>1</v>
      </c>
      <c r="B10" s="432" t="s">
        <v>265</v>
      </c>
    </row>
    <row r="11" spans="1:18">
      <c r="A11" s="686">
        <v>2</v>
      </c>
      <c r="B11" s="561"/>
    </row>
    <row r="12" spans="1:18">
      <c r="A12" s="686">
        <v>3</v>
      </c>
      <c r="B12" s="561" t="s">
        <v>1152</v>
      </c>
    </row>
    <row r="13" spans="1:18">
      <c r="A13" s="686">
        <v>4</v>
      </c>
      <c r="B13" s="651" t="s">
        <v>509</v>
      </c>
      <c r="C13" s="304">
        <f>'[7]WP- Misc BS Accts'!W9</f>
        <v>0</v>
      </c>
      <c r="D13" s="304">
        <f>'[7]WP- Misc BS Accts'!X9</f>
        <v>0</v>
      </c>
      <c r="E13" s="304">
        <f>'[7]WP- Misc BS Accts'!Y9</f>
        <v>0</v>
      </c>
      <c r="F13" s="304">
        <f>'[7]WP- Misc BS Accts'!Z9</f>
        <v>0</v>
      </c>
      <c r="G13" s="304">
        <f>'[7]WP- Misc BS Accts'!AA9</f>
        <v>0</v>
      </c>
      <c r="H13" s="304">
        <f>'[7]WP- Misc BS Accts'!AB9</f>
        <v>0</v>
      </c>
      <c r="I13" s="304">
        <f>'[7]WP- Misc BS Accts'!AC9</f>
        <v>0</v>
      </c>
      <c r="J13" s="304">
        <f>'[7]WP- Misc BS Accts'!AD9</f>
        <v>0</v>
      </c>
      <c r="K13" s="304">
        <f>'[7]WP- Misc BS Accts'!AE9</f>
        <v>0</v>
      </c>
      <c r="L13" s="304">
        <f>'[7]WP- Misc BS Accts'!AF9</f>
        <v>0</v>
      </c>
      <c r="M13" s="304">
        <f>'[7]WP- Misc BS Accts'!AG9</f>
        <v>0</v>
      </c>
      <c r="N13" s="304">
        <f>'[7]WP- Misc BS Accts'!AH9</f>
        <v>0</v>
      </c>
      <c r="O13" s="304">
        <f>'[7]WP- Misc BS Accts'!AI9</f>
        <v>0</v>
      </c>
    </row>
    <row r="14" spans="1:18">
      <c r="A14" s="686">
        <v>5</v>
      </c>
      <c r="B14" s="651" t="s">
        <v>510</v>
      </c>
      <c r="C14" s="364">
        <f>'[7]WP- Misc BS Accts'!W10</f>
        <v>-537428.85166666668</v>
      </c>
      <c r="D14" s="364">
        <f>'[7]WP- Misc BS Accts'!X10</f>
        <v>-537428.85166666668</v>
      </c>
      <c r="E14" s="364">
        <f>'[7]WP- Misc BS Accts'!Y10</f>
        <v>-537428.85166666668</v>
      </c>
      <c r="F14" s="364">
        <f>'[7]WP- Misc BS Accts'!Z10</f>
        <v>-537428.85166666668</v>
      </c>
      <c r="G14" s="364">
        <f>'[7]WP- Misc BS Accts'!AA10</f>
        <v>-537428.85166666668</v>
      </c>
      <c r="H14" s="364">
        <f>'[7]WP- Misc BS Accts'!AB10</f>
        <v>-537428.85166666668</v>
      </c>
      <c r="I14" s="364">
        <f>'[7]WP- Misc BS Accts'!AC10</f>
        <v>-537428.85166666668</v>
      </c>
      <c r="J14" s="364">
        <f>'[7]WP- Misc BS Accts'!AD10</f>
        <v>-537428.85166666668</v>
      </c>
      <c r="K14" s="364">
        <f>'[7]WP- Misc BS Accts'!AE10</f>
        <v>-537428.85166666668</v>
      </c>
      <c r="L14" s="364">
        <f>'[7]WP- Misc BS Accts'!AF10</f>
        <v>-537428.85166666668</v>
      </c>
      <c r="M14" s="364">
        <f>'[7]WP- Misc BS Accts'!AG10</f>
        <v>-537428.85166666668</v>
      </c>
      <c r="N14" s="364">
        <f>'[7]WP- Misc BS Accts'!AH10</f>
        <v>-537428.85166666668</v>
      </c>
      <c r="O14" s="364">
        <f>'[7]WP- Misc BS Accts'!AI10</f>
        <v>-537428.85166666668</v>
      </c>
    </row>
    <row r="15" spans="1:18">
      <c r="A15" s="686">
        <v>6</v>
      </c>
      <c r="B15" s="862" t="s">
        <v>511</v>
      </c>
      <c r="C15" s="1099">
        <f t="shared" ref="C15:O15" si="0">SUM(C13:C14)</f>
        <v>-537428.85166666668</v>
      </c>
      <c r="D15" s="1099">
        <f t="shared" si="0"/>
        <v>-537428.85166666668</v>
      </c>
      <c r="E15" s="1099">
        <f t="shared" si="0"/>
        <v>-537428.85166666668</v>
      </c>
      <c r="F15" s="1099">
        <f t="shared" si="0"/>
        <v>-537428.85166666668</v>
      </c>
      <c r="G15" s="1099">
        <f t="shared" si="0"/>
        <v>-537428.85166666668</v>
      </c>
      <c r="H15" s="1099">
        <f t="shared" si="0"/>
        <v>-537428.85166666668</v>
      </c>
      <c r="I15" s="1099">
        <f t="shared" si="0"/>
        <v>-537428.85166666668</v>
      </c>
      <c r="J15" s="1099">
        <f t="shared" si="0"/>
        <v>-537428.85166666668</v>
      </c>
      <c r="K15" s="1099">
        <f t="shared" si="0"/>
        <v>-537428.85166666668</v>
      </c>
      <c r="L15" s="1099">
        <f t="shared" si="0"/>
        <v>-537428.85166666668</v>
      </c>
      <c r="M15" s="1099">
        <f t="shared" si="0"/>
        <v>-537428.85166666668</v>
      </c>
      <c r="N15" s="1099">
        <f t="shared" si="0"/>
        <v>-537428.85166666668</v>
      </c>
      <c r="O15" s="1099">
        <f t="shared" si="0"/>
        <v>-537428.85166666668</v>
      </c>
      <c r="P15" s="304">
        <f>(SUM(C15:O15))/13</f>
        <v>-537428.85166666668</v>
      </c>
    </row>
    <row r="16" spans="1:18">
      <c r="A16" s="686">
        <v>7</v>
      </c>
      <c r="B16" s="651"/>
    </row>
    <row r="17" spans="1:16">
      <c r="A17" s="686">
        <v>8</v>
      </c>
      <c r="B17" s="651" t="s">
        <v>1153</v>
      </c>
    </row>
    <row r="18" spans="1:16">
      <c r="A18" s="686">
        <v>9</v>
      </c>
      <c r="B18" s="651" t="s">
        <v>509</v>
      </c>
      <c r="C18" s="304">
        <f>'[7]WP- Misc BS Accts'!W14</f>
        <v>245694.37666666668</v>
      </c>
      <c r="D18" s="304">
        <f>'[7]WP- Misc BS Accts'!X14</f>
        <v>245694.37666666668</v>
      </c>
      <c r="E18" s="304">
        <f>'[7]WP- Misc BS Accts'!Y14</f>
        <v>245694.37666666668</v>
      </c>
      <c r="F18" s="304">
        <f>'[7]WP- Misc BS Accts'!Z14</f>
        <v>245694.37666666668</v>
      </c>
      <c r="G18" s="304">
        <f>'[7]WP- Misc BS Accts'!AA14</f>
        <v>245694.37666666668</v>
      </c>
      <c r="H18" s="304">
        <f>'[7]WP- Misc BS Accts'!AB14</f>
        <v>245694.37666666668</v>
      </c>
      <c r="I18" s="304">
        <f>'[7]WP- Misc BS Accts'!AC14</f>
        <v>245694.37666666668</v>
      </c>
      <c r="J18" s="304">
        <f>'[7]WP- Misc BS Accts'!AD14</f>
        <v>245694.37666666668</v>
      </c>
      <c r="K18" s="304">
        <f>'[7]WP- Misc BS Accts'!AE14</f>
        <v>245694.37666666668</v>
      </c>
      <c r="L18" s="304">
        <f>'[7]WP- Misc BS Accts'!AF14</f>
        <v>245694.37666666668</v>
      </c>
      <c r="M18" s="304">
        <f>'[7]WP- Misc BS Accts'!AG14</f>
        <v>245694.37666666668</v>
      </c>
      <c r="N18" s="304">
        <f>'[7]WP- Misc BS Accts'!AH14</f>
        <v>245694.37666666668</v>
      </c>
      <c r="O18" s="304">
        <f>'[7]WP- Misc BS Accts'!AI14</f>
        <v>245694.37666666668</v>
      </c>
    </row>
    <row r="19" spans="1:16">
      <c r="A19" s="686">
        <v>10</v>
      </c>
      <c r="B19" s="651" t="s">
        <v>510</v>
      </c>
      <c r="C19" s="364">
        <f>'[7]WP- Misc BS Accts'!W15</f>
        <v>1247194.56</v>
      </c>
      <c r="D19" s="364">
        <f>'[7]WP- Misc BS Accts'!X15</f>
        <v>1247194.56</v>
      </c>
      <c r="E19" s="364">
        <f>'[7]WP- Misc BS Accts'!Y15</f>
        <v>1247194.56</v>
      </c>
      <c r="F19" s="364">
        <f>'[7]WP- Misc BS Accts'!Z15</f>
        <v>1247194.56</v>
      </c>
      <c r="G19" s="364">
        <f>'[7]WP- Misc BS Accts'!AA15</f>
        <v>1247194.56</v>
      </c>
      <c r="H19" s="364">
        <f>'[7]WP- Misc BS Accts'!AB15</f>
        <v>1247194.56</v>
      </c>
      <c r="I19" s="364">
        <f>'[7]WP- Misc BS Accts'!AC15</f>
        <v>1247194.56</v>
      </c>
      <c r="J19" s="364">
        <f>'[7]WP- Misc BS Accts'!AD15</f>
        <v>1247194.56</v>
      </c>
      <c r="K19" s="364">
        <f>'[7]WP- Misc BS Accts'!AE15</f>
        <v>1247194.56</v>
      </c>
      <c r="L19" s="364">
        <f>'[7]WP- Misc BS Accts'!AF15</f>
        <v>1247194.56</v>
      </c>
      <c r="M19" s="364">
        <f>'[7]WP- Misc BS Accts'!AG15</f>
        <v>1247194.56</v>
      </c>
      <c r="N19" s="364">
        <f>'[7]WP- Misc BS Accts'!AH15</f>
        <v>1247194.56</v>
      </c>
      <c r="O19" s="364">
        <f>'[7]WP- Misc BS Accts'!AI15</f>
        <v>1247194.56</v>
      </c>
    </row>
    <row r="20" spans="1:16">
      <c r="A20" s="686">
        <v>11</v>
      </c>
      <c r="B20" s="862" t="s">
        <v>511</v>
      </c>
      <c r="C20" s="1099">
        <f t="shared" ref="C20:O20" si="1">SUM(C18:C19)</f>
        <v>1492888.9366666668</v>
      </c>
      <c r="D20" s="1099">
        <f t="shared" si="1"/>
        <v>1492888.9366666668</v>
      </c>
      <c r="E20" s="1099">
        <f t="shared" si="1"/>
        <v>1492888.9366666668</v>
      </c>
      <c r="F20" s="1099">
        <f t="shared" si="1"/>
        <v>1492888.9366666668</v>
      </c>
      <c r="G20" s="1099">
        <f t="shared" si="1"/>
        <v>1492888.9366666668</v>
      </c>
      <c r="H20" s="1099">
        <f t="shared" si="1"/>
        <v>1492888.9366666668</v>
      </c>
      <c r="I20" s="1099">
        <f t="shared" si="1"/>
        <v>1492888.9366666668</v>
      </c>
      <c r="J20" s="1099">
        <f t="shared" si="1"/>
        <v>1492888.9366666668</v>
      </c>
      <c r="K20" s="1099">
        <f t="shared" si="1"/>
        <v>1492888.9366666668</v>
      </c>
      <c r="L20" s="1099">
        <f t="shared" si="1"/>
        <v>1492888.9366666668</v>
      </c>
      <c r="M20" s="1099">
        <f t="shared" si="1"/>
        <v>1492888.9366666668</v>
      </c>
      <c r="N20" s="1099">
        <f t="shared" si="1"/>
        <v>1492888.9366666668</v>
      </c>
      <c r="O20" s="1099">
        <f t="shared" si="1"/>
        <v>1492888.9366666668</v>
      </c>
      <c r="P20" s="304">
        <f>(SUM(C20:O20))/13</f>
        <v>1492888.9366666672</v>
      </c>
    </row>
    <row r="21" spans="1:16">
      <c r="A21" s="686">
        <v>12</v>
      </c>
      <c r="B21" s="651"/>
    </row>
    <row r="22" spans="1:16">
      <c r="A22" s="686">
        <v>13</v>
      </c>
      <c r="B22" s="651" t="s">
        <v>1154</v>
      </c>
    </row>
    <row r="23" spans="1:16">
      <c r="A23" s="686">
        <v>14</v>
      </c>
      <c r="B23" s="651" t="s">
        <v>509</v>
      </c>
      <c r="C23" s="1100">
        <f>'[7]WP- Misc BS Accts'!W19</f>
        <v>0</v>
      </c>
      <c r="D23" s="1100">
        <f>'[7]WP- Misc BS Accts'!X19</f>
        <v>0</v>
      </c>
      <c r="E23" s="1100">
        <f>'[7]WP- Misc BS Accts'!Y19</f>
        <v>0</v>
      </c>
      <c r="F23" s="1100">
        <f>'[7]WP- Misc BS Accts'!Z19</f>
        <v>0</v>
      </c>
      <c r="G23" s="1100">
        <f>'[7]WP- Misc BS Accts'!AA19</f>
        <v>0</v>
      </c>
      <c r="H23" s="1100">
        <f>'[7]WP- Misc BS Accts'!AB19</f>
        <v>0</v>
      </c>
      <c r="I23" s="1100">
        <f>'[7]WP- Misc BS Accts'!AC19</f>
        <v>0</v>
      </c>
      <c r="J23" s="1100">
        <f>'[7]WP- Misc BS Accts'!AD19</f>
        <v>0</v>
      </c>
      <c r="K23" s="1100">
        <f>'[7]WP- Misc BS Accts'!AE19</f>
        <v>0</v>
      </c>
      <c r="L23" s="1100">
        <f>'[7]WP- Misc BS Accts'!AF19</f>
        <v>0</v>
      </c>
      <c r="M23" s="1100">
        <f>'[7]WP- Misc BS Accts'!AG19</f>
        <v>0</v>
      </c>
      <c r="N23" s="1100">
        <f>'[7]WP- Misc BS Accts'!AH19</f>
        <v>0</v>
      </c>
      <c r="O23" s="1100">
        <f>'[7]WP- Misc BS Accts'!AI19</f>
        <v>0</v>
      </c>
    </row>
    <row r="24" spans="1:16">
      <c r="A24" s="686">
        <v>15</v>
      </c>
      <c r="B24" s="651" t="s">
        <v>510</v>
      </c>
      <c r="C24" s="364">
        <f>'[7]WP- Misc BS Accts'!W20</f>
        <v>0</v>
      </c>
      <c r="D24" s="364">
        <f>'[7]WP- Misc BS Accts'!X20</f>
        <v>0</v>
      </c>
      <c r="E24" s="364">
        <f>'[7]WP- Misc BS Accts'!Y20</f>
        <v>0</v>
      </c>
      <c r="F24" s="364">
        <f>'[7]WP- Misc BS Accts'!Z20</f>
        <v>0</v>
      </c>
      <c r="G24" s="364">
        <f>'[7]WP- Misc BS Accts'!AA20</f>
        <v>0</v>
      </c>
      <c r="H24" s="364">
        <f>'[7]WP- Misc BS Accts'!AB20</f>
        <v>0</v>
      </c>
      <c r="I24" s="364">
        <f>'[7]WP- Misc BS Accts'!AC20</f>
        <v>0</v>
      </c>
      <c r="J24" s="364">
        <f>'[7]WP- Misc BS Accts'!AD20</f>
        <v>0</v>
      </c>
      <c r="K24" s="364">
        <f>'[7]WP- Misc BS Accts'!AE20</f>
        <v>0</v>
      </c>
      <c r="L24" s="364">
        <f>'[7]WP- Misc BS Accts'!AF20</f>
        <v>0</v>
      </c>
      <c r="M24" s="364">
        <f>'[7]WP- Misc BS Accts'!AG20</f>
        <v>0</v>
      </c>
      <c r="N24" s="364">
        <f>'[7]WP- Misc BS Accts'!AH20</f>
        <v>0</v>
      </c>
      <c r="O24" s="364">
        <f>'[7]WP- Misc BS Accts'!AI20</f>
        <v>0</v>
      </c>
    </row>
    <row r="25" spans="1:16">
      <c r="A25" s="686">
        <v>16</v>
      </c>
      <c r="B25" s="862" t="s">
        <v>511</v>
      </c>
      <c r="C25" s="1099">
        <f t="shared" ref="C25:O25" si="2">SUM(C23:C24)</f>
        <v>0</v>
      </c>
      <c r="D25" s="1099">
        <f t="shared" si="2"/>
        <v>0</v>
      </c>
      <c r="E25" s="1099">
        <f t="shared" si="2"/>
        <v>0</v>
      </c>
      <c r="F25" s="1099">
        <f t="shared" si="2"/>
        <v>0</v>
      </c>
      <c r="G25" s="1099">
        <f t="shared" si="2"/>
        <v>0</v>
      </c>
      <c r="H25" s="1099">
        <f t="shared" si="2"/>
        <v>0</v>
      </c>
      <c r="I25" s="1099">
        <f t="shared" si="2"/>
        <v>0</v>
      </c>
      <c r="J25" s="1099">
        <f t="shared" si="2"/>
        <v>0</v>
      </c>
      <c r="K25" s="1099">
        <f t="shared" si="2"/>
        <v>0</v>
      </c>
      <c r="L25" s="1099">
        <f t="shared" si="2"/>
        <v>0</v>
      </c>
      <c r="M25" s="1099">
        <f t="shared" si="2"/>
        <v>0</v>
      </c>
      <c r="N25" s="1099">
        <f t="shared" si="2"/>
        <v>0</v>
      </c>
      <c r="O25" s="1099">
        <f t="shared" si="2"/>
        <v>0</v>
      </c>
      <c r="P25" s="304">
        <f>(SUM(C25:O25))/13</f>
        <v>0</v>
      </c>
    </row>
    <row r="26" spans="1:16">
      <c r="A26" s="686">
        <v>17</v>
      </c>
      <c r="B26" s="651"/>
    </row>
    <row r="27" spans="1:16">
      <c r="A27" s="686">
        <v>18</v>
      </c>
      <c r="B27" s="651" t="s">
        <v>1155</v>
      </c>
    </row>
    <row r="28" spans="1:16">
      <c r="A28" s="686">
        <v>19</v>
      </c>
      <c r="B28" s="651" t="s">
        <v>509</v>
      </c>
      <c r="C28" s="1100">
        <f>'[7]WP- Misc BS Accts'!W24</f>
        <v>0</v>
      </c>
      <c r="D28" s="1100">
        <f>'[7]WP- Misc BS Accts'!X24</f>
        <v>0</v>
      </c>
      <c r="E28" s="1100">
        <f>'[7]WP- Misc BS Accts'!Y24</f>
        <v>0</v>
      </c>
      <c r="F28" s="1100">
        <f>'[7]WP- Misc BS Accts'!Z24</f>
        <v>0</v>
      </c>
      <c r="G28" s="1100">
        <f>'[7]WP- Misc BS Accts'!AA24</f>
        <v>0</v>
      </c>
      <c r="H28" s="1100">
        <f>'[7]WP- Misc BS Accts'!AB24</f>
        <v>0</v>
      </c>
      <c r="I28" s="1100">
        <f>'[7]WP- Misc BS Accts'!AC24</f>
        <v>0</v>
      </c>
      <c r="J28" s="1100">
        <f>'[7]WP- Misc BS Accts'!AD24</f>
        <v>0</v>
      </c>
      <c r="K28" s="1100">
        <f>'[7]WP- Misc BS Accts'!AE24</f>
        <v>0</v>
      </c>
      <c r="L28" s="1100">
        <f>'[7]WP- Misc BS Accts'!AF24</f>
        <v>0</v>
      </c>
      <c r="M28" s="1100">
        <f>'[7]WP- Misc BS Accts'!AG24</f>
        <v>0</v>
      </c>
      <c r="N28" s="1100">
        <f>'[7]WP- Misc BS Accts'!AH24</f>
        <v>0</v>
      </c>
      <c r="O28" s="1100">
        <f>'[7]WP- Misc BS Accts'!AI24</f>
        <v>0</v>
      </c>
    </row>
    <row r="29" spans="1:16">
      <c r="A29" s="686">
        <v>20</v>
      </c>
      <c r="B29" s="651" t="s">
        <v>510</v>
      </c>
      <c r="C29" s="364">
        <f>'[7]WP- Misc BS Accts'!W25</f>
        <v>0</v>
      </c>
      <c r="D29" s="364">
        <f>'[7]WP- Misc BS Accts'!X25</f>
        <v>0</v>
      </c>
      <c r="E29" s="364">
        <f>'[7]WP- Misc BS Accts'!Y25</f>
        <v>0</v>
      </c>
      <c r="F29" s="364">
        <f>'[7]WP- Misc BS Accts'!Z25</f>
        <v>0</v>
      </c>
      <c r="G29" s="364">
        <f>'[7]WP- Misc BS Accts'!AA25</f>
        <v>0</v>
      </c>
      <c r="H29" s="364">
        <f>'[7]WP- Misc BS Accts'!AB25</f>
        <v>0</v>
      </c>
      <c r="I29" s="364">
        <f>'[7]WP- Misc BS Accts'!AC25</f>
        <v>0</v>
      </c>
      <c r="J29" s="364">
        <f>'[7]WP- Misc BS Accts'!AD25</f>
        <v>0</v>
      </c>
      <c r="K29" s="364">
        <f>'[7]WP- Misc BS Accts'!AE25</f>
        <v>0</v>
      </c>
      <c r="L29" s="364">
        <f>'[7]WP- Misc BS Accts'!AF25</f>
        <v>0</v>
      </c>
      <c r="M29" s="364">
        <f>'[7]WP- Misc BS Accts'!AG25</f>
        <v>0</v>
      </c>
      <c r="N29" s="364">
        <f>'[7]WP- Misc BS Accts'!AH25</f>
        <v>0</v>
      </c>
      <c r="O29" s="364">
        <f>'[7]WP- Misc BS Accts'!AI25</f>
        <v>0</v>
      </c>
    </row>
    <row r="30" spans="1:16">
      <c r="A30" s="686">
        <v>21</v>
      </c>
      <c r="B30" s="862" t="s">
        <v>511</v>
      </c>
      <c r="C30" s="1099">
        <f t="shared" ref="C30:O30" si="3">SUM(C28:C29)</f>
        <v>0</v>
      </c>
      <c r="D30" s="1099">
        <f t="shared" si="3"/>
        <v>0</v>
      </c>
      <c r="E30" s="1099">
        <f t="shared" si="3"/>
        <v>0</v>
      </c>
      <c r="F30" s="1099">
        <f t="shared" si="3"/>
        <v>0</v>
      </c>
      <c r="G30" s="1099">
        <f t="shared" si="3"/>
        <v>0</v>
      </c>
      <c r="H30" s="1099">
        <f t="shared" si="3"/>
        <v>0</v>
      </c>
      <c r="I30" s="1099">
        <f t="shared" si="3"/>
        <v>0</v>
      </c>
      <c r="J30" s="1099">
        <f t="shared" si="3"/>
        <v>0</v>
      </c>
      <c r="K30" s="1099">
        <f t="shared" si="3"/>
        <v>0</v>
      </c>
      <c r="L30" s="1099">
        <f t="shared" si="3"/>
        <v>0</v>
      </c>
      <c r="M30" s="1099">
        <f t="shared" si="3"/>
        <v>0</v>
      </c>
      <c r="N30" s="1099">
        <f t="shared" si="3"/>
        <v>0</v>
      </c>
      <c r="O30" s="1099">
        <f t="shared" si="3"/>
        <v>0</v>
      </c>
      <c r="P30" s="304">
        <f>(SUM(C30:O30))/13</f>
        <v>0</v>
      </c>
    </row>
    <row r="31" spans="1:16">
      <c r="A31" s="686">
        <v>22</v>
      </c>
      <c r="B31" s="651"/>
    </row>
    <row r="32" spans="1:16" ht="15.75">
      <c r="A32" s="686">
        <v>23</v>
      </c>
      <c r="B32" s="432" t="s">
        <v>512</v>
      </c>
    </row>
    <row r="33" spans="1:18">
      <c r="A33" s="686">
        <v>24</v>
      </c>
      <c r="B33" s="88"/>
      <c r="R33" s="544"/>
    </row>
    <row r="34" spans="1:18">
      <c r="A34" s="686">
        <v>25</v>
      </c>
      <c r="B34" s="651" t="s">
        <v>1152</v>
      </c>
      <c r="C34" s="304">
        <f>'[9]Summary of Revenue'!$X$32</f>
        <v>16154119.984228527</v>
      </c>
      <c r="D34" s="304">
        <f>'[9]Summary of Revenue'!Z32</f>
        <v>11558272.80993906</v>
      </c>
      <c r="E34" s="304">
        <f>'[9]Summary of Revenue'!AA32</f>
        <v>6263469.3660054859</v>
      </c>
      <c r="F34" s="304">
        <f>'[9]Summary of Revenue'!AB32</f>
        <v>146429.62990843318</v>
      </c>
      <c r="G34" s="304">
        <f>'[9]Summary of Revenue'!AC32</f>
        <v>-4597319.6353717158</v>
      </c>
      <c r="H34" s="304">
        <f>'[9]Summary of Revenue'!AD32</f>
        <v>-1257320.4916967712</v>
      </c>
      <c r="I34" s="304">
        <f>'[9]Summary of Revenue'!AE32</f>
        <v>2128850.2705342108</v>
      </c>
      <c r="J34" s="304">
        <f>'[9]Summary of Revenue'!AF32</f>
        <v>5522508.3222607663</v>
      </c>
      <c r="K34" s="304">
        <f>'[9]Summary of Revenue'!AG32</f>
        <v>8896200.2686657906</v>
      </c>
      <c r="L34" s="304">
        <f>'[9]Summary of Revenue'!AH32</f>
        <v>12297345.60988792</v>
      </c>
      <c r="M34" s="304">
        <f>'[9]Summary of Revenue'!AI32</f>
        <v>15789586.30663953</v>
      </c>
      <c r="N34" s="304">
        <f>'[9]Summary of Revenue'!AJ32</f>
        <v>19467761.359197889</v>
      </c>
      <c r="O34" s="304">
        <f>'[9]Summary of Revenue'!AK32</f>
        <v>16854216.450720225</v>
      </c>
      <c r="P34" s="304">
        <f>(SUM(C34:O34))/13</f>
        <v>8401855.403916873</v>
      </c>
      <c r="R34" s="544"/>
    </row>
    <row r="35" spans="1:18">
      <c r="A35" s="686">
        <v>26</v>
      </c>
      <c r="B35" s="651"/>
      <c r="K35" s="304"/>
      <c r="L35" s="304"/>
      <c r="M35" s="304"/>
      <c r="N35" s="304"/>
      <c r="O35" s="304"/>
    </row>
    <row r="36" spans="1:18">
      <c r="A36" s="686">
        <v>27</v>
      </c>
      <c r="B36" s="651" t="s">
        <v>1153</v>
      </c>
      <c r="C36" s="304">
        <v>0</v>
      </c>
      <c r="D36" s="304">
        <v>0</v>
      </c>
      <c r="E36" s="304">
        <v>0</v>
      </c>
      <c r="F36" s="304">
        <v>0</v>
      </c>
      <c r="G36" s="304">
        <v>0</v>
      </c>
      <c r="H36" s="304">
        <v>0</v>
      </c>
      <c r="I36" s="304">
        <v>0</v>
      </c>
      <c r="J36" s="304">
        <v>0</v>
      </c>
      <c r="K36" s="304">
        <v>0</v>
      </c>
      <c r="L36" s="304">
        <v>0</v>
      </c>
      <c r="M36" s="304">
        <v>0</v>
      </c>
      <c r="N36" s="304">
        <v>0</v>
      </c>
      <c r="O36" s="304">
        <v>0</v>
      </c>
      <c r="P36" s="304">
        <f>(SUM(C36:O36))/13</f>
        <v>0</v>
      </c>
    </row>
    <row r="37" spans="1:18">
      <c r="A37" s="686">
        <v>28</v>
      </c>
      <c r="B37" s="651"/>
    </row>
    <row r="38" spans="1:18">
      <c r="A38" s="686">
        <v>29</v>
      </c>
      <c r="B38" s="651" t="s">
        <v>1154</v>
      </c>
      <c r="C38" s="304">
        <v>0</v>
      </c>
      <c r="D38" s="304">
        <v>0</v>
      </c>
      <c r="E38" s="304">
        <v>0</v>
      </c>
      <c r="F38" s="304">
        <v>0</v>
      </c>
      <c r="G38" s="304">
        <v>0</v>
      </c>
      <c r="H38" s="304">
        <v>0</v>
      </c>
      <c r="I38" s="304">
        <v>0</v>
      </c>
      <c r="J38" s="304">
        <v>0</v>
      </c>
      <c r="K38" s="304">
        <v>0</v>
      </c>
      <c r="L38" s="304">
        <v>0</v>
      </c>
      <c r="M38" s="304">
        <v>0</v>
      </c>
      <c r="N38" s="304">
        <v>0</v>
      </c>
      <c r="O38" s="304">
        <v>0</v>
      </c>
      <c r="P38" s="304">
        <f>(SUM(C38:O38))/13</f>
        <v>0</v>
      </c>
    </row>
    <row r="39" spans="1:18">
      <c r="A39" s="686">
        <v>30</v>
      </c>
      <c r="B39" s="651"/>
    </row>
    <row r="40" spans="1:18">
      <c r="A40" s="686">
        <v>31</v>
      </c>
      <c r="B40" s="651" t="s">
        <v>1155</v>
      </c>
      <c r="C40" s="304">
        <v>0</v>
      </c>
      <c r="D40" s="304">
        <v>0</v>
      </c>
      <c r="E40" s="304">
        <v>0</v>
      </c>
      <c r="F40" s="304">
        <v>0</v>
      </c>
      <c r="G40" s="304">
        <v>0</v>
      </c>
      <c r="H40" s="304">
        <v>0</v>
      </c>
      <c r="I40" s="304">
        <v>0</v>
      </c>
      <c r="J40" s="304">
        <v>0</v>
      </c>
      <c r="K40" s="304">
        <v>0</v>
      </c>
      <c r="L40" s="304">
        <v>0</v>
      </c>
      <c r="M40" s="304">
        <v>0</v>
      </c>
      <c r="N40" s="304">
        <v>0</v>
      </c>
      <c r="O40" s="304">
        <v>0</v>
      </c>
      <c r="P40" s="304">
        <f>(SUM(C40:O40))/13</f>
        <v>0</v>
      </c>
    </row>
    <row r="41" spans="1:18">
      <c r="A41" s="686">
        <v>32</v>
      </c>
      <c r="B41" s="862"/>
    </row>
    <row r="42" spans="1:18" ht="15.75">
      <c r="A42" s="686">
        <v>33</v>
      </c>
      <c r="B42" s="432" t="s">
        <v>513</v>
      </c>
    </row>
    <row r="43" spans="1:18">
      <c r="A43" s="686">
        <v>34</v>
      </c>
      <c r="B43" s="561"/>
    </row>
    <row r="44" spans="1:18">
      <c r="A44" s="686">
        <v>35</v>
      </c>
      <c r="B44" s="651" t="s">
        <v>1152</v>
      </c>
      <c r="C44" s="304">
        <f>0</f>
        <v>0</v>
      </c>
      <c r="D44" s="304">
        <f>0</f>
        <v>0</v>
      </c>
      <c r="E44" s="304">
        <f>0</f>
        <v>0</v>
      </c>
      <c r="F44" s="304">
        <f>0</f>
        <v>0</v>
      </c>
      <c r="G44" s="304">
        <f>0</f>
        <v>0</v>
      </c>
      <c r="H44" s="304">
        <f>0</f>
        <v>0</v>
      </c>
      <c r="I44" s="304">
        <f>0</f>
        <v>0</v>
      </c>
      <c r="J44" s="304">
        <f>0</f>
        <v>0</v>
      </c>
      <c r="K44" s="304">
        <f>0</f>
        <v>0</v>
      </c>
      <c r="L44" s="304">
        <f>0</f>
        <v>0</v>
      </c>
      <c r="M44" s="304">
        <f>0</f>
        <v>0</v>
      </c>
      <c r="N44" s="304">
        <f>0</f>
        <v>0</v>
      </c>
      <c r="O44" s="304">
        <f>0</f>
        <v>0</v>
      </c>
      <c r="P44" s="304">
        <f>(SUM(C44:O44))/13</f>
        <v>0</v>
      </c>
    </row>
    <row r="45" spans="1:18">
      <c r="A45" s="686">
        <v>36</v>
      </c>
      <c r="B45" s="651"/>
    </row>
    <row r="46" spans="1:18">
      <c r="A46" s="686">
        <v>37</v>
      </c>
      <c r="B46" s="651" t="s">
        <v>1153</v>
      </c>
      <c r="C46" s="304">
        <f>0</f>
        <v>0</v>
      </c>
      <c r="D46" s="304">
        <f>0</f>
        <v>0</v>
      </c>
      <c r="E46" s="304">
        <f>0</f>
        <v>0</v>
      </c>
      <c r="F46" s="304">
        <f>0</f>
        <v>0</v>
      </c>
      <c r="G46" s="304">
        <f>0</f>
        <v>0</v>
      </c>
      <c r="H46" s="304">
        <f>0</f>
        <v>0</v>
      </c>
      <c r="I46" s="304">
        <f>0</f>
        <v>0</v>
      </c>
      <c r="J46" s="304">
        <f>0</f>
        <v>0</v>
      </c>
      <c r="K46" s="304">
        <f>0</f>
        <v>0</v>
      </c>
      <c r="L46" s="304">
        <f>0</f>
        <v>0</v>
      </c>
      <c r="M46" s="304">
        <f>0</f>
        <v>0</v>
      </c>
      <c r="N46" s="304">
        <f>0</f>
        <v>0</v>
      </c>
      <c r="O46" s="304">
        <f>0</f>
        <v>0</v>
      </c>
      <c r="P46" s="304">
        <f>(SUM(C46:O46))/13</f>
        <v>0</v>
      </c>
    </row>
    <row r="47" spans="1:18">
      <c r="A47" s="686">
        <v>38</v>
      </c>
      <c r="B47" s="651"/>
    </row>
    <row r="48" spans="1:18">
      <c r="A48" s="686">
        <v>39</v>
      </c>
      <c r="B48" s="651" t="s">
        <v>1154</v>
      </c>
      <c r="C48" s="304">
        <f>0</f>
        <v>0</v>
      </c>
      <c r="D48" s="304">
        <f>0</f>
        <v>0</v>
      </c>
      <c r="E48" s="304">
        <f>0</f>
        <v>0</v>
      </c>
      <c r="F48" s="304">
        <f>0</f>
        <v>0</v>
      </c>
      <c r="G48" s="304">
        <f>0</f>
        <v>0</v>
      </c>
      <c r="H48" s="304">
        <f>0</f>
        <v>0</v>
      </c>
      <c r="I48" s="304">
        <f>0</f>
        <v>0</v>
      </c>
      <c r="J48" s="304">
        <f>0</f>
        <v>0</v>
      </c>
      <c r="K48" s="304">
        <f>0</f>
        <v>0</v>
      </c>
      <c r="L48" s="304">
        <f>0</f>
        <v>0</v>
      </c>
      <c r="M48" s="304">
        <f>0</f>
        <v>0</v>
      </c>
      <c r="N48" s="304">
        <f>0</f>
        <v>0</v>
      </c>
      <c r="O48" s="304">
        <f>0</f>
        <v>0</v>
      </c>
      <c r="P48" s="304">
        <f>(SUM(C48:O48))/13</f>
        <v>0</v>
      </c>
    </row>
    <row r="49" spans="1:16">
      <c r="A49" s="686">
        <v>40</v>
      </c>
      <c r="B49" s="651"/>
    </row>
    <row r="50" spans="1:16">
      <c r="A50" s="686">
        <v>41</v>
      </c>
      <c r="B50" s="651" t="s">
        <v>1155</v>
      </c>
      <c r="C50" s="1100">
        <f>0</f>
        <v>0</v>
      </c>
      <c r="D50" s="1100">
        <f>0</f>
        <v>0</v>
      </c>
      <c r="E50" s="1100">
        <f>0</f>
        <v>0</v>
      </c>
      <c r="F50" s="1100">
        <f>0</f>
        <v>0</v>
      </c>
      <c r="G50" s="1100">
        <f>0</f>
        <v>0</v>
      </c>
      <c r="H50" s="1100">
        <f>0</f>
        <v>0</v>
      </c>
      <c r="I50" s="1100">
        <f>0</f>
        <v>0</v>
      </c>
      <c r="J50" s="1100">
        <f>0</f>
        <v>0</v>
      </c>
      <c r="K50" s="1100">
        <f>0</f>
        <v>0</v>
      </c>
      <c r="L50" s="1100">
        <f>0</f>
        <v>0</v>
      </c>
      <c r="M50" s="1100">
        <f>0</f>
        <v>0</v>
      </c>
      <c r="N50" s="1100">
        <f>0</f>
        <v>0</v>
      </c>
      <c r="O50" s="1100">
        <f>0</f>
        <v>0</v>
      </c>
      <c r="P50" s="304">
        <f>(SUM(C50:O50))/13</f>
        <v>0</v>
      </c>
    </row>
    <row r="54" spans="1:16">
      <c r="L54" s="72" t="s">
        <v>321</v>
      </c>
    </row>
    <row r="55" spans="1:16">
      <c r="B55" s="72" t="s">
        <v>514</v>
      </c>
      <c r="C55" s="544"/>
    </row>
    <row r="56" spans="1:16">
      <c r="B56" s="72" t="s">
        <v>1584</v>
      </c>
      <c r="C56" s="544"/>
    </row>
    <row r="57" spans="1:16">
      <c r="B57" s="72" t="s">
        <v>1591</v>
      </c>
    </row>
  </sheetData>
  <mergeCells count="4">
    <mergeCell ref="A1:P1"/>
    <mergeCell ref="A2:P2"/>
    <mergeCell ref="A3:P3"/>
    <mergeCell ref="A4:P4"/>
  </mergeCells>
  <phoneticPr fontId="21" type="noConversion"/>
  <printOptions horizontalCentered="1"/>
  <pageMargins left="0.62" right="0.44" top="1" bottom="1" header="0.5" footer="0.5"/>
  <pageSetup scale="48" orientation="landscape" r:id="rId1"/>
  <headerFooter alignWithMargins="0">
    <oddFooter>&amp;R&amp;A
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37">
    <pageSetUpPr fitToPage="1"/>
  </sheetPr>
  <dimension ref="A1:R78"/>
  <sheetViews>
    <sheetView view="pageBreakPreview" topLeftCell="C1" zoomScale="80" zoomScaleNormal="100" zoomScaleSheetLayoutView="80" workbookViewId="0">
      <selection sqref="A1:Q1"/>
    </sheetView>
  </sheetViews>
  <sheetFormatPr defaultColWidth="8.44140625" defaultRowHeight="15"/>
  <cols>
    <col min="1" max="1" width="5.77734375" style="73" customWidth="1"/>
    <col min="2" max="2" width="7.109375" style="73" customWidth="1"/>
    <col min="3" max="3" width="48.33203125" style="73" customWidth="1"/>
    <col min="4" max="4" width="13.21875" style="73" bestFit="1" customWidth="1"/>
    <col min="5" max="7" width="13.109375" style="73" bestFit="1" customWidth="1"/>
    <col min="8" max="8" width="13.109375" style="66" bestFit="1" customWidth="1"/>
    <col min="9" max="9" width="13.109375" style="73" bestFit="1" customWidth="1"/>
    <col min="10" max="10" width="14.5546875" style="73" bestFit="1" customWidth="1"/>
    <col min="11" max="14" width="16.21875" style="73" customWidth="1"/>
    <col min="15" max="16" width="14.5546875" style="73" bestFit="1" customWidth="1"/>
    <col min="17" max="17" width="13.77734375" style="73" customWidth="1"/>
    <col min="18" max="16384" width="8.44140625" style="73"/>
  </cols>
  <sheetData>
    <row r="1" spans="1:18">
      <c r="A1" s="1260" t="str">
        <f>Allocation!A1</f>
        <v>Atmos Energy Corporation, Kentucky/Mid-States Division</v>
      </c>
      <c r="B1" s="1260"/>
      <c r="C1" s="1260"/>
      <c r="D1" s="1260"/>
      <c r="E1" s="1260"/>
      <c r="F1" s="1260"/>
      <c r="G1" s="1260"/>
      <c r="H1" s="1260"/>
      <c r="I1" s="1260"/>
      <c r="J1" s="1260"/>
      <c r="K1" s="1260"/>
      <c r="L1" s="1260"/>
      <c r="M1" s="1260"/>
      <c r="N1" s="1260"/>
      <c r="O1" s="1260"/>
      <c r="P1" s="1260"/>
      <c r="Q1" s="1260"/>
    </row>
    <row r="2" spans="1:18">
      <c r="A2" s="1260" t="str">
        <f>Allocation!A2</f>
        <v>Kentucky Jurisdiction Case No. 2021-00214</v>
      </c>
      <c r="B2" s="1260"/>
      <c r="C2" s="1260"/>
      <c r="D2" s="1260"/>
      <c r="E2" s="1260"/>
      <c r="F2" s="1260"/>
      <c r="G2" s="1260"/>
      <c r="H2" s="1260"/>
      <c r="I2" s="1260"/>
      <c r="J2" s="1260"/>
      <c r="K2" s="1260"/>
      <c r="L2" s="1260"/>
      <c r="M2" s="1260"/>
      <c r="N2" s="1260"/>
      <c r="O2" s="1260"/>
      <c r="P2" s="1260"/>
      <c r="Q2" s="1260"/>
    </row>
    <row r="3" spans="1:18">
      <c r="A3" s="1261" t="s">
        <v>506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1261"/>
      <c r="N3" s="1261"/>
      <c r="O3" s="1261"/>
      <c r="P3" s="1261"/>
      <c r="Q3" s="1261"/>
      <c r="R3" s="557"/>
    </row>
    <row r="4" spans="1:18">
      <c r="A4" s="1260" t="str">
        <f>Allocation!A3</f>
        <v>Base Period: Twelve Months Ended September 30, 2021</v>
      </c>
      <c r="B4" s="1260"/>
      <c r="C4" s="1260"/>
      <c r="D4" s="1260"/>
      <c r="E4" s="1260"/>
      <c r="F4" s="1260"/>
      <c r="G4" s="1260"/>
      <c r="H4" s="1260"/>
      <c r="I4" s="1260"/>
      <c r="J4" s="1260"/>
      <c r="K4" s="1260"/>
      <c r="L4" s="1260"/>
      <c r="M4" s="1260"/>
      <c r="N4" s="1260"/>
      <c r="O4" s="1260"/>
      <c r="P4" s="1260"/>
      <c r="Q4" s="1260"/>
    </row>
    <row r="5" spans="1:18">
      <c r="A5" s="147"/>
      <c r="B5" s="133"/>
      <c r="C5" s="133"/>
      <c r="D5" s="133"/>
      <c r="E5" s="133"/>
      <c r="F5" s="133"/>
      <c r="G5" s="133"/>
      <c r="H5" s="317"/>
      <c r="I5" s="133"/>
      <c r="J5" s="133"/>
      <c r="K5" s="133"/>
    </row>
    <row r="6" spans="1:18">
      <c r="A6" s="674" t="str">
        <f>'B.1 B'!A6</f>
        <v>Data:__X___Base Period______Forecasted Period</v>
      </c>
      <c r="B6" s="826"/>
      <c r="C6" s="66"/>
      <c r="Q6" s="821" t="s">
        <v>1367</v>
      </c>
    </row>
    <row r="7" spans="1:18">
      <c r="A7" s="674" t="str">
        <f>'B.1 B'!A7</f>
        <v>Type of Filing:___X____Original________Updated ________Revised</v>
      </c>
      <c r="B7" s="66"/>
      <c r="C7" s="826"/>
      <c r="Q7" s="821" t="s">
        <v>712</v>
      </c>
    </row>
    <row r="8" spans="1:18">
      <c r="A8" s="1061" t="str">
        <f>'B.1 B'!A8</f>
        <v>Workpaper Reference No(s).</v>
      </c>
      <c r="B8" s="134"/>
      <c r="C8" s="134"/>
      <c r="D8" s="134"/>
      <c r="E8" s="134"/>
      <c r="F8" s="134"/>
      <c r="G8" s="74"/>
      <c r="H8" s="74"/>
      <c r="I8" s="134"/>
      <c r="J8" s="134"/>
      <c r="K8" s="74"/>
      <c r="L8" s="134"/>
      <c r="M8" s="74"/>
      <c r="N8" s="74"/>
      <c r="O8" s="74"/>
      <c r="P8" s="74"/>
      <c r="Q8" s="74"/>
    </row>
    <row r="9" spans="1:18">
      <c r="D9" s="689"/>
      <c r="E9" s="68"/>
      <c r="F9" s="687"/>
      <c r="G9" s="687"/>
      <c r="H9" s="67"/>
      <c r="I9" s="687"/>
      <c r="J9" s="68"/>
      <c r="K9" s="687"/>
    </row>
    <row r="10" spans="1:18">
      <c r="A10" s="687" t="s">
        <v>92</v>
      </c>
      <c r="B10" s="687" t="s">
        <v>93</v>
      </c>
      <c r="D10" s="686" t="s">
        <v>106</v>
      </c>
      <c r="E10" s="686" t="s">
        <v>106</v>
      </c>
      <c r="F10" s="686" t="s">
        <v>106</v>
      </c>
      <c r="G10" s="686" t="s">
        <v>106</v>
      </c>
      <c r="H10" s="686" t="s">
        <v>106</v>
      </c>
      <c r="I10" s="686" t="s">
        <v>106</v>
      </c>
      <c r="J10" s="686" t="s">
        <v>106</v>
      </c>
      <c r="K10" s="686" t="s">
        <v>1220</v>
      </c>
      <c r="L10" s="686" t="s">
        <v>1220</v>
      </c>
      <c r="M10" s="686" t="s">
        <v>1220</v>
      </c>
      <c r="N10" s="686" t="s">
        <v>1220</v>
      </c>
      <c r="O10" s="686" t="s">
        <v>1220</v>
      </c>
      <c r="P10" s="686" t="s">
        <v>1220</v>
      </c>
      <c r="Q10" s="777" t="s">
        <v>313</v>
      </c>
    </row>
    <row r="11" spans="1:18">
      <c r="A11" s="368" t="s">
        <v>98</v>
      </c>
      <c r="B11" s="368" t="s">
        <v>99</v>
      </c>
      <c r="C11" s="134"/>
      <c r="D11" s="1098">
        <f>'WP B.4.1B'!C8</f>
        <v>44075</v>
      </c>
      <c r="E11" s="1098">
        <f>'WP B.4.1B'!D8</f>
        <v>44105</v>
      </c>
      <c r="F11" s="1098">
        <f>'WP B.4.1B'!E8</f>
        <v>44136</v>
      </c>
      <c r="G11" s="1098">
        <f>'WP B.4.1B'!F8</f>
        <v>44166</v>
      </c>
      <c r="H11" s="1098">
        <f>'WP B.4.1B'!G8</f>
        <v>44197</v>
      </c>
      <c r="I11" s="1098">
        <f>'WP B.4.1B'!H8</f>
        <v>44228</v>
      </c>
      <c r="J11" s="1098">
        <f>'WP B.4.1B'!I8</f>
        <v>44256</v>
      </c>
      <c r="K11" s="1098">
        <f>'WP B.4.1B'!J8</f>
        <v>44287</v>
      </c>
      <c r="L11" s="1098">
        <f>'WP B.4.1B'!K8</f>
        <v>44317</v>
      </c>
      <c r="M11" s="1098">
        <f>'WP B.4.1B'!L8</f>
        <v>44348</v>
      </c>
      <c r="N11" s="1098">
        <f>'WP B.4.1B'!M8</f>
        <v>44378</v>
      </c>
      <c r="O11" s="1098">
        <f>'WP B.4.1B'!N8</f>
        <v>44409</v>
      </c>
      <c r="P11" s="1098">
        <f>'WP B.4.1B'!O8</f>
        <v>44440</v>
      </c>
      <c r="Q11" s="436" t="s">
        <v>97</v>
      </c>
    </row>
    <row r="12" spans="1:18" ht="15.75">
      <c r="B12" s="744" t="s">
        <v>212</v>
      </c>
    </row>
    <row r="13" spans="1:18">
      <c r="A13" s="687">
        <v>1</v>
      </c>
      <c r="C13" s="500" t="s">
        <v>668</v>
      </c>
      <c r="D13" s="1101">
        <f>'[10]ADIT 009'!E76</f>
        <v>12421035</v>
      </c>
      <c r="E13" s="1101">
        <f>'[10]ADIT 009'!F76</f>
        <v>12393202.710000001</v>
      </c>
      <c r="F13" s="1101">
        <f>'[10]ADIT 009'!G76</f>
        <v>12365370.42</v>
      </c>
      <c r="G13" s="1101">
        <f>'[10]ADIT 009'!H76</f>
        <v>12321606</v>
      </c>
      <c r="H13" s="1101">
        <f>'[10]ADIT 009'!I76</f>
        <v>12293773.710000001</v>
      </c>
      <c r="I13" s="1101">
        <f>'[10]ADIT 009'!J76</f>
        <v>12265941.42</v>
      </c>
      <c r="J13" s="1101">
        <f>'[10]ADIT 009'!K76</f>
        <v>16721666</v>
      </c>
      <c r="K13" s="1101">
        <f>'[10]ADIT 009'!L76</f>
        <v>16693976.681720346</v>
      </c>
      <c r="L13" s="1101">
        <f>'[10]ADIT 009'!M76</f>
        <v>16666144.38844616</v>
      </c>
      <c r="M13" s="1101">
        <f>'[10]ADIT 009'!N76</f>
        <v>16638312.095171969</v>
      </c>
      <c r="N13" s="1101">
        <f>'[10]ADIT 009'!O76</f>
        <v>16610479.801897779</v>
      </c>
      <c r="O13" s="1101">
        <f>'[10]ADIT 009'!P76</f>
        <v>16582647.508623593</v>
      </c>
      <c r="P13" s="1101">
        <f>'[10]ADIT 009'!Q76</f>
        <v>16554815.215349402</v>
      </c>
      <c r="Q13" s="1100">
        <f>(SUM(D13:P13))/13</f>
        <v>14656074.688554559</v>
      </c>
    </row>
    <row r="14" spans="1:18" ht="14.25" customHeight="1">
      <c r="A14" s="112">
        <f>A13+1</f>
        <v>2</v>
      </c>
      <c r="B14" s="863"/>
      <c r="C14" s="80"/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0"/>
      <c r="Q14" s="150"/>
    </row>
    <row r="15" spans="1:18">
      <c r="A15" s="112">
        <f t="shared" ref="A15:A49" si="0">A14+1</f>
        <v>3</v>
      </c>
      <c r="C15" s="500" t="s">
        <v>669</v>
      </c>
      <c r="D15" s="1102">
        <f>'[10]ADIT 009'!E77</f>
        <v>-102635864</v>
      </c>
      <c r="E15" s="1102">
        <f>'[10]ADIT 009'!F77</f>
        <v>-102635864</v>
      </c>
      <c r="F15" s="1102">
        <f>'[10]ADIT 009'!G77</f>
        <v>-102635864</v>
      </c>
      <c r="G15" s="1102">
        <f>'[10]ADIT 009'!H77</f>
        <v>-104203096</v>
      </c>
      <c r="H15" s="1102">
        <f>'[10]ADIT 009'!I77</f>
        <v>-104203096</v>
      </c>
      <c r="I15" s="1102">
        <f>'[10]ADIT 009'!J77</f>
        <v>-104203096</v>
      </c>
      <c r="J15" s="1102">
        <f>'[10]ADIT 009'!K77</f>
        <v>-105379322</v>
      </c>
      <c r="K15" s="1102">
        <f>'[10]ADIT 009'!L77</f>
        <v>-106083426.2032243</v>
      </c>
      <c r="L15" s="1102">
        <f>'[10]ADIT 009'!M77</f>
        <v>-106771516.40402487</v>
      </c>
      <c r="M15" s="1102">
        <f>'[10]ADIT 009'!N77</f>
        <v>-107456750.22391483</v>
      </c>
      <c r="N15" s="1102">
        <f>'[10]ADIT 009'!O77</f>
        <v>-108038362.27773151</v>
      </c>
      <c r="O15" s="1102">
        <f>'[10]ADIT 009'!P77</f>
        <v>-108464109.01176767</v>
      </c>
      <c r="P15" s="1102">
        <f>'[10]ADIT 009'!Q77</f>
        <v>-109048871.95728961</v>
      </c>
      <c r="Q15" s="492">
        <f>(SUM(D15:P15))/13</f>
        <v>-105519941.39061175</v>
      </c>
    </row>
    <row r="16" spans="1:18">
      <c r="A16" s="112">
        <f t="shared" si="0"/>
        <v>4</v>
      </c>
      <c r="B16" s="863"/>
      <c r="C16" s="80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2"/>
    </row>
    <row r="17" spans="1:18">
      <c r="A17" s="112">
        <f t="shared" si="0"/>
        <v>5</v>
      </c>
      <c r="C17" s="500" t="s">
        <v>670</v>
      </c>
      <c r="D17" s="1102">
        <f>'[10]ADIT 009'!E78</f>
        <v>-295537</v>
      </c>
      <c r="E17" s="1102">
        <f>'[10]ADIT 009'!F78</f>
        <v>-295537</v>
      </c>
      <c r="F17" s="1102">
        <f>'[10]ADIT 009'!G78</f>
        <v>-295537</v>
      </c>
      <c r="G17" s="1102">
        <f>'[10]ADIT 009'!H78</f>
        <v>-277021</v>
      </c>
      <c r="H17" s="1102">
        <f>'[10]ADIT 009'!I78</f>
        <v>-277021</v>
      </c>
      <c r="I17" s="1102">
        <f>'[10]ADIT 009'!J78</f>
        <v>-277021</v>
      </c>
      <c r="J17" s="1102">
        <f>'[10]ADIT 009'!K78</f>
        <v>-407942</v>
      </c>
      <c r="K17" s="1102">
        <f>'[10]ADIT 009'!L78</f>
        <v>-407942</v>
      </c>
      <c r="L17" s="1102">
        <f>'[10]ADIT 009'!M78</f>
        <v>-407942</v>
      </c>
      <c r="M17" s="1102">
        <f>'[10]ADIT 009'!N78</f>
        <v>-407942</v>
      </c>
      <c r="N17" s="1102">
        <f>'[10]ADIT 009'!O78</f>
        <v>-407942</v>
      </c>
      <c r="O17" s="1102">
        <f>'[10]ADIT 009'!P78</f>
        <v>-407942</v>
      </c>
      <c r="P17" s="1102">
        <f>'[10]ADIT 009'!Q78</f>
        <v>-407942</v>
      </c>
      <c r="Q17" s="492">
        <f>(SUM(D17:P17))/13</f>
        <v>-351789.84615384613</v>
      </c>
    </row>
    <row r="18" spans="1:18" ht="14.25" customHeight="1">
      <c r="A18" s="112">
        <f t="shared" si="0"/>
        <v>6</v>
      </c>
      <c r="B18" s="863"/>
      <c r="C18" s="80"/>
      <c r="D18" s="69"/>
      <c r="E18" s="69"/>
      <c r="F18" s="69"/>
      <c r="G18" s="69"/>
      <c r="H18" s="69"/>
      <c r="I18" s="66"/>
      <c r="J18" s="66"/>
      <c r="K18" s="66"/>
      <c r="L18" s="364"/>
      <c r="M18" s="364"/>
      <c r="N18" s="364"/>
      <c r="O18" s="364"/>
    </row>
    <row r="19" spans="1:18">
      <c r="A19" s="112">
        <f t="shared" si="0"/>
        <v>7</v>
      </c>
      <c r="C19" s="690" t="s">
        <v>31</v>
      </c>
      <c r="D19" s="1081">
        <f t="shared" ref="D19:P19" si="1">SUM(D13:D17)</f>
        <v>-90510366</v>
      </c>
      <c r="E19" s="1081">
        <f t="shared" si="1"/>
        <v>-90538198.289999992</v>
      </c>
      <c r="F19" s="1081">
        <f t="shared" si="1"/>
        <v>-90566030.579999998</v>
      </c>
      <c r="G19" s="1081">
        <f t="shared" si="1"/>
        <v>-92158511</v>
      </c>
      <c r="H19" s="1081">
        <f t="shared" si="1"/>
        <v>-92186343.289999992</v>
      </c>
      <c r="I19" s="1081">
        <f t="shared" si="1"/>
        <v>-92214175.579999998</v>
      </c>
      <c r="J19" s="1081">
        <f t="shared" si="1"/>
        <v>-89065598</v>
      </c>
      <c r="K19" s="1081">
        <f t="shared" si="1"/>
        <v>-89797391.521503955</v>
      </c>
      <c r="L19" s="1081">
        <f t="shared" si="1"/>
        <v>-90513314.015578717</v>
      </c>
      <c r="M19" s="1081">
        <f t="shared" si="1"/>
        <v>-91226380.128742859</v>
      </c>
      <c r="N19" s="1081">
        <f t="shared" si="1"/>
        <v>-91835824.475833729</v>
      </c>
      <c r="O19" s="1081">
        <f t="shared" si="1"/>
        <v>-92289403.503144085</v>
      </c>
      <c r="P19" s="1103">
        <f t="shared" si="1"/>
        <v>-92901998.7419402</v>
      </c>
      <c r="Q19" s="1103">
        <f>(SUM(D19:P19))/13</f>
        <v>-91215656.548211038</v>
      </c>
      <c r="R19" s="492"/>
    </row>
    <row r="20" spans="1:18" ht="14.25" customHeight="1">
      <c r="A20" s="112">
        <f t="shared" si="0"/>
        <v>8</v>
      </c>
      <c r="B20" s="863"/>
      <c r="C20" s="80"/>
      <c r="D20" s="69"/>
      <c r="E20" s="69"/>
      <c r="F20" s="69"/>
      <c r="G20" s="69"/>
      <c r="H20" s="69"/>
      <c r="I20" s="66"/>
      <c r="J20" s="66"/>
      <c r="K20" s="66"/>
      <c r="L20" s="364"/>
      <c r="M20" s="364"/>
      <c r="N20" s="364"/>
      <c r="O20" s="364"/>
    </row>
    <row r="21" spans="1:18" ht="15.75">
      <c r="A21" s="112">
        <f t="shared" si="0"/>
        <v>9</v>
      </c>
      <c r="B21" s="744" t="s">
        <v>213</v>
      </c>
      <c r="D21" s="66"/>
      <c r="E21" s="66"/>
      <c r="F21" s="66"/>
      <c r="G21" s="66"/>
      <c r="I21" s="66"/>
      <c r="J21" s="66"/>
      <c r="K21" s="66"/>
      <c r="L21" s="364"/>
      <c r="M21" s="364"/>
      <c r="N21" s="364"/>
      <c r="O21" s="364"/>
    </row>
    <row r="22" spans="1:18">
      <c r="A22" s="112">
        <f t="shared" si="0"/>
        <v>10</v>
      </c>
      <c r="C22" s="500" t="s">
        <v>668</v>
      </c>
      <c r="D22" s="1101">
        <f xml:space="preserve"> '[10]ADIT 002'!E76</f>
        <v>630844716</v>
      </c>
      <c r="E22" s="1101">
        <f xml:space="preserve"> '[10]ADIT 002'!F76</f>
        <v>630844716</v>
      </c>
      <c r="F22" s="1101">
        <f xml:space="preserve"> '[10]ADIT 002'!G76</f>
        <v>630844716</v>
      </c>
      <c r="G22" s="1101">
        <f xml:space="preserve"> '[10]ADIT 002'!H76</f>
        <v>620420700</v>
      </c>
      <c r="H22" s="1101">
        <f xml:space="preserve"> '[10]ADIT 002'!I76</f>
        <v>620420700</v>
      </c>
      <c r="I22" s="1101">
        <f xml:space="preserve"> '[10]ADIT 002'!J76</f>
        <v>620420700</v>
      </c>
      <c r="J22" s="1101">
        <f xml:space="preserve"> '[10]ADIT 002'!K76</f>
        <v>1003364749</v>
      </c>
      <c r="K22" s="1101">
        <f xml:space="preserve"> '[10]ADIT 002'!L76</f>
        <v>1003364749</v>
      </c>
      <c r="L22" s="1101">
        <f xml:space="preserve"> '[10]ADIT 002'!M76</f>
        <v>1003364749</v>
      </c>
      <c r="M22" s="1101">
        <f xml:space="preserve"> '[10]ADIT 002'!N76</f>
        <v>1003364749</v>
      </c>
      <c r="N22" s="1101">
        <f xml:space="preserve"> '[10]ADIT 002'!O76</f>
        <v>1003364749</v>
      </c>
      <c r="O22" s="1101">
        <f xml:space="preserve"> '[10]ADIT 002'!P76</f>
        <v>1003364749</v>
      </c>
      <c r="P22" s="1101">
        <f xml:space="preserve"> '[10]ADIT 002'!Q76</f>
        <v>1003364749</v>
      </c>
      <c r="Q22" s="1100">
        <f>(SUM(D22:P22))/13</f>
        <v>829026883.92307687</v>
      </c>
      <c r="R22" s="544"/>
    </row>
    <row r="23" spans="1:18">
      <c r="A23" s="112">
        <f t="shared" si="0"/>
        <v>11</v>
      </c>
      <c r="D23" s="490"/>
      <c r="E23" s="490"/>
      <c r="F23" s="490"/>
      <c r="G23" s="490"/>
      <c r="H23" s="490"/>
      <c r="I23" s="490"/>
      <c r="J23" s="490"/>
      <c r="K23" s="490"/>
      <c r="L23" s="490"/>
      <c r="M23" s="490"/>
      <c r="N23" s="490"/>
      <c r="O23" s="490"/>
      <c r="P23" s="490"/>
      <c r="Q23" s="150"/>
    </row>
    <row r="24" spans="1:18">
      <c r="A24" s="112">
        <f t="shared" si="0"/>
        <v>12</v>
      </c>
      <c r="C24" s="500" t="s">
        <v>669</v>
      </c>
      <c r="D24" s="1102">
        <f>'[10]ADIT 002'!E77</f>
        <v>-17648510</v>
      </c>
      <c r="E24" s="1102">
        <f>'[10]ADIT 002'!F77</f>
        <v>-17648510</v>
      </c>
      <c r="F24" s="1102">
        <f>'[10]ADIT 002'!G77</f>
        <v>-17648510</v>
      </c>
      <c r="G24" s="1102">
        <f>'[10]ADIT 002'!H77</f>
        <v>-18017153</v>
      </c>
      <c r="H24" s="1102">
        <f>'[10]ADIT 002'!I77</f>
        <v>-18017153</v>
      </c>
      <c r="I24" s="1102">
        <f>'[10]ADIT 002'!J77</f>
        <v>-18017153</v>
      </c>
      <c r="J24" s="1102">
        <f>'[10]ADIT 002'!K77</f>
        <v>-18422723</v>
      </c>
      <c r="K24" s="1102">
        <f>'[10]ADIT 002'!L77</f>
        <v>-18459075.45940135</v>
      </c>
      <c r="L24" s="1102">
        <f>'[10]ADIT 002'!M77</f>
        <v>-18493452.70796385</v>
      </c>
      <c r="M24" s="1102">
        <f>'[10]ADIT 002'!N77</f>
        <v>-18505017.515995227</v>
      </c>
      <c r="N24" s="1102">
        <f>'[10]ADIT 002'!O77</f>
        <v>-18500033.473631021</v>
      </c>
      <c r="O24" s="1102">
        <f>'[10]ADIT 002'!P77</f>
        <v>-18485570.127228204</v>
      </c>
      <c r="P24" s="1102">
        <f>'[10]ADIT 002'!Q77</f>
        <v>-18468801.078901343</v>
      </c>
      <c r="Q24" s="492">
        <f>(SUM(D24:P24))/13</f>
        <v>-18179358.643316999</v>
      </c>
    </row>
    <row r="25" spans="1:18" ht="14.25" customHeight="1">
      <c r="A25" s="112">
        <f t="shared" si="0"/>
        <v>13</v>
      </c>
      <c r="B25" s="863"/>
      <c r="C25" s="80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2"/>
    </row>
    <row r="26" spans="1:18">
      <c r="A26" s="112">
        <f t="shared" si="0"/>
        <v>14</v>
      </c>
      <c r="C26" s="500" t="s">
        <v>670</v>
      </c>
      <c r="D26" s="1102">
        <f>'[10]ADIT 002'!E78</f>
        <v>30908361.723355528</v>
      </c>
      <c r="E26" s="1102">
        <f>'[10]ADIT 002'!F78</f>
        <v>30798389.935030084</v>
      </c>
      <c r="F26" s="1102">
        <f>'[10]ADIT 002'!G78</f>
        <v>30688418.146704644</v>
      </c>
      <c r="G26" s="1102">
        <f>'[10]ADIT 002'!H78</f>
        <v>31131007.3583792</v>
      </c>
      <c r="H26" s="1102">
        <f>'[10]ADIT 002'!I78</f>
        <v>31021035.570053756</v>
      </c>
      <c r="I26" s="1102">
        <f>'[10]ADIT 002'!J78</f>
        <v>30911063.781728309</v>
      </c>
      <c r="J26" s="1102">
        <f>'[10]ADIT 002'!K78</f>
        <v>30849726.993402865</v>
      </c>
      <c r="K26" s="1102">
        <f>'[10]ADIT 002'!L78</f>
        <v>30739755.205077421</v>
      </c>
      <c r="L26" s="1102">
        <f>'[10]ADIT 002'!M78</f>
        <v>30739755.205077421</v>
      </c>
      <c r="M26" s="1102">
        <f>'[10]ADIT 002'!N78</f>
        <v>30739755.205077421</v>
      </c>
      <c r="N26" s="1102">
        <f>'[10]ADIT 002'!O78</f>
        <v>30739755.205077421</v>
      </c>
      <c r="O26" s="1102">
        <f>'[10]ADIT 002'!P78</f>
        <v>30739755.205077421</v>
      </c>
      <c r="P26" s="1102">
        <f>'[10]ADIT 002'!Q78</f>
        <v>30739755.205077421</v>
      </c>
      <c r="Q26" s="492">
        <f>(SUM(D26:P26))/13</f>
        <v>30826656.518393755</v>
      </c>
    </row>
    <row r="27" spans="1:18" ht="14.25" customHeight="1">
      <c r="A27" s="112">
        <f t="shared" si="0"/>
        <v>15</v>
      </c>
      <c r="B27" s="863"/>
      <c r="C27" s="80"/>
      <c r="D27" s="69"/>
      <c r="E27" s="69"/>
      <c r="F27" s="69"/>
      <c r="G27" s="69"/>
      <c r="H27" s="69"/>
      <c r="I27" s="66"/>
      <c r="J27" s="66"/>
      <c r="K27" s="66"/>
      <c r="L27" s="364"/>
      <c r="M27" s="364"/>
      <c r="N27" s="364"/>
      <c r="O27" s="364"/>
    </row>
    <row r="28" spans="1:18">
      <c r="A28" s="112">
        <f t="shared" si="0"/>
        <v>16</v>
      </c>
      <c r="C28" s="690" t="s">
        <v>67</v>
      </c>
      <c r="D28" s="1081">
        <f t="shared" ref="D28:P28" si="2">SUM(D22:D26)</f>
        <v>644104567.72335553</v>
      </c>
      <c r="E28" s="1081">
        <f t="shared" si="2"/>
        <v>643994595.9350301</v>
      </c>
      <c r="F28" s="1081">
        <f t="shared" si="2"/>
        <v>643884624.14670467</v>
      </c>
      <c r="G28" s="1081">
        <f t="shared" si="2"/>
        <v>633534554.35837924</v>
      </c>
      <c r="H28" s="1081">
        <f t="shared" si="2"/>
        <v>633424582.57005382</v>
      </c>
      <c r="I28" s="1081">
        <f t="shared" si="2"/>
        <v>633314610.78172827</v>
      </c>
      <c r="J28" s="1081">
        <f t="shared" si="2"/>
        <v>1015791752.9934028</v>
      </c>
      <c r="K28" s="1081">
        <f t="shared" si="2"/>
        <v>1015645428.745676</v>
      </c>
      <c r="L28" s="1081">
        <f t="shared" si="2"/>
        <v>1015611051.4971136</v>
      </c>
      <c r="M28" s="1081">
        <f t="shared" si="2"/>
        <v>1015599486.6890821</v>
      </c>
      <c r="N28" s="1081">
        <f t="shared" si="2"/>
        <v>1015604470.7314464</v>
      </c>
      <c r="O28" s="1081">
        <f t="shared" si="2"/>
        <v>1015618934.0778491</v>
      </c>
      <c r="P28" s="1103">
        <f t="shared" si="2"/>
        <v>1015635703.1261761</v>
      </c>
      <c r="Q28" s="1103">
        <f>(SUM(D28:P28))/13</f>
        <v>841674181.79815364</v>
      </c>
      <c r="R28" s="492"/>
    </row>
    <row r="29" spans="1:18" ht="15.75">
      <c r="A29" s="112">
        <f t="shared" si="0"/>
        <v>17</v>
      </c>
      <c r="B29" s="744" t="s">
        <v>1098</v>
      </c>
      <c r="C29" s="690"/>
      <c r="D29" s="321"/>
      <c r="E29" s="321"/>
      <c r="F29" s="321"/>
      <c r="G29" s="68"/>
      <c r="H29" s="68"/>
      <c r="I29" s="68"/>
      <c r="J29" s="68"/>
      <c r="K29" s="68"/>
      <c r="L29" s="364"/>
      <c r="M29" s="364"/>
      <c r="N29" s="364"/>
      <c r="O29" s="364"/>
    </row>
    <row r="30" spans="1:18">
      <c r="A30" s="112">
        <f t="shared" si="0"/>
        <v>18</v>
      </c>
      <c r="C30" s="500" t="s">
        <v>668</v>
      </c>
      <c r="D30" s="1101">
        <f>'[10]ADIT 012'!E76</f>
        <v>-316363</v>
      </c>
      <c r="E30" s="1101">
        <f>'[10]ADIT 012'!F76</f>
        <v>-316363</v>
      </c>
      <c r="F30" s="1101">
        <f>'[10]ADIT 012'!G76</f>
        <v>-316363</v>
      </c>
      <c r="G30" s="1101">
        <f>'[10]ADIT 012'!H76</f>
        <v>-401116</v>
      </c>
      <c r="H30" s="1101">
        <f>'[10]ADIT 012'!I76</f>
        <v>-401116</v>
      </c>
      <c r="I30" s="1101">
        <f>'[10]ADIT 012'!J76</f>
        <v>-401116</v>
      </c>
      <c r="J30" s="1101">
        <f>'[10]ADIT 012'!K76</f>
        <v>-469726</v>
      </c>
      <c r="K30" s="1101">
        <f>'[10]ADIT 012'!L76</f>
        <v>-469726</v>
      </c>
      <c r="L30" s="1101">
        <f>'[10]ADIT 012'!M76</f>
        <v>-469726</v>
      </c>
      <c r="M30" s="1101">
        <f>'[10]ADIT 012'!N76</f>
        <v>-469726</v>
      </c>
      <c r="N30" s="1101">
        <f>'[10]ADIT 012'!O76</f>
        <v>-469726</v>
      </c>
      <c r="O30" s="1101">
        <f>'[10]ADIT 012'!P76</f>
        <v>-469726</v>
      </c>
      <c r="P30" s="1101">
        <f>'[10]ADIT 012'!Q76</f>
        <v>-469726</v>
      </c>
      <c r="Q30" s="1100">
        <f>(SUM(D30:P30))/13</f>
        <v>-418501.46153846156</v>
      </c>
    </row>
    <row r="31" spans="1:18">
      <c r="A31" s="112">
        <f t="shared" si="0"/>
        <v>19</v>
      </c>
      <c r="D31" s="490"/>
      <c r="E31" s="490"/>
      <c r="F31" s="490"/>
      <c r="G31" s="490"/>
      <c r="H31" s="490"/>
      <c r="I31" s="490"/>
      <c r="J31" s="490"/>
      <c r="K31" s="490"/>
      <c r="L31" s="490"/>
      <c r="M31" s="490"/>
      <c r="N31" s="490"/>
      <c r="O31" s="490"/>
      <c r="P31" s="490"/>
      <c r="Q31" s="150"/>
    </row>
    <row r="32" spans="1:18">
      <c r="A32" s="112">
        <f t="shared" si="0"/>
        <v>20</v>
      </c>
      <c r="C32" s="500" t="s">
        <v>669</v>
      </c>
      <c r="D32" s="1102">
        <f>'[10]ADIT 012'!E77</f>
        <v>-14089067</v>
      </c>
      <c r="E32" s="1102">
        <f>'[10]ADIT 012'!F77</f>
        <v>-14089067</v>
      </c>
      <c r="F32" s="1102">
        <f>'[10]ADIT 012'!G77</f>
        <v>-14089067</v>
      </c>
      <c r="G32" s="1102">
        <f>'[10]ADIT 012'!H77</f>
        <v>-13673882</v>
      </c>
      <c r="H32" s="1102">
        <f>'[10]ADIT 012'!I77</f>
        <v>-13673882</v>
      </c>
      <c r="I32" s="1102">
        <f>'[10]ADIT 012'!J77</f>
        <v>-13673882</v>
      </c>
      <c r="J32" s="1102">
        <f>'[10]ADIT 012'!K77</f>
        <v>-13333582</v>
      </c>
      <c r="K32" s="1102">
        <f>'[10]ADIT 012'!L77</f>
        <v>-13184466.11865118</v>
      </c>
      <c r="L32" s="1102">
        <f>'[10]ADIT 012'!M77</f>
        <v>-13035404.690395081</v>
      </c>
      <c r="M32" s="1102">
        <f>'[10]ADIT 012'!N77</f>
        <v>-12886189.948951306</v>
      </c>
      <c r="N32" s="1102">
        <f>'[10]ADIT 012'!O77</f>
        <v>-12736847.867623039</v>
      </c>
      <c r="O32" s="1102">
        <f>'[10]ADIT 012'!P77</f>
        <v>-12587353.784523023</v>
      </c>
      <c r="P32" s="1102">
        <f>'[10]ADIT 012'!Q77</f>
        <v>-12438012.428108975</v>
      </c>
      <c r="Q32" s="492">
        <f>(SUM(D32:P32))/13</f>
        <v>-13345438.756788662</v>
      </c>
    </row>
    <row r="33" spans="1:18">
      <c r="A33" s="112">
        <f t="shared" si="0"/>
        <v>21</v>
      </c>
      <c r="B33" s="863"/>
      <c r="C33" s="80"/>
      <c r="D33" s="491"/>
      <c r="E33" s="491"/>
      <c r="F33" s="491"/>
      <c r="G33" s="491"/>
      <c r="H33" s="491"/>
      <c r="I33" s="491"/>
      <c r="J33" s="491"/>
      <c r="K33" s="491"/>
      <c r="L33" s="491"/>
      <c r="M33" s="491"/>
      <c r="N33" s="491"/>
      <c r="O33" s="491"/>
      <c r="P33" s="491"/>
      <c r="Q33" s="150"/>
    </row>
    <row r="34" spans="1:18">
      <c r="A34" s="112">
        <f t="shared" si="0"/>
        <v>22</v>
      </c>
      <c r="C34" s="500" t="s">
        <v>670</v>
      </c>
      <c r="D34" s="1102">
        <f>'[10]ADIT 012'!E78</f>
        <v>-263</v>
      </c>
      <c r="E34" s="1102">
        <f>'[10]ADIT 012'!F78</f>
        <v>-263</v>
      </c>
      <c r="F34" s="1102">
        <f>'[10]ADIT 012'!G78</f>
        <v>-263</v>
      </c>
      <c r="G34" s="1102">
        <f>'[10]ADIT 012'!H78</f>
        <v>-363</v>
      </c>
      <c r="H34" s="1102">
        <f>'[10]ADIT 012'!I78</f>
        <v>-363</v>
      </c>
      <c r="I34" s="1102">
        <f>'[10]ADIT 012'!J78</f>
        <v>-363</v>
      </c>
      <c r="J34" s="1102">
        <f>'[10]ADIT 012'!K78</f>
        <v>195</v>
      </c>
      <c r="K34" s="1102">
        <f>'[10]ADIT 012'!L78</f>
        <v>195</v>
      </c>
      <c r="L34" s="1102">
        <f>'[10]ADIT 012'!M78</f>
        <v>195</v>
      </c>
      <c r="M34" s="1102">
        <f>'[10]ADIT 012'!N78</f>
        <v>195</v>
      </c>
      <c r="N34" s="1102">
        <f>'[10]ADIT 012'!O78</f>
        <v>195</v>
      </c>
      <c r="O34" s="1102">
        <f>'[10]ADIT 012'!P78</f>
        <v>195</v>
      </c>
      <c r="P34" s="1102">
        <f>'[10]ADIT 012'!Q78</f>
        <v>195</v>
      </c>
      <c r="Q34" s="492">
        <f>(SUM(D34:P34))/13</f>
        <v>-39.46153846153846</v>
      </c>
    </row>
    <row r="35" spans="1:18">
      <c r="A35" s="112">
        <f t="shared" si="0"/>
        <v>23</v>
      </c>
      <c r="B35" s="863"/>
      <c r="C35" s="80"/>
      <c r="D35" s="69"/>
      <c r="E35" s="69"/>
      <c r="F35" s="69"/>
      <c r="G35" s="69"/>
      <c r="H35" s="69"/>
      <c r="I35" s="66"/>
      <c r="J35" s="66"/>
      <c r="K35" s="66"/>
      <c r="L35" s="364"/>
      <c r="M35" s="364"/>
      <c r="N35" s="364"/>
      <c r="O35" s="364"/>
    </row>
    <row r="36" spans="1:18">
      <c r="A36" s="112">
        <f t="shared" si="0"/>
        <v>24</v>
      </c>
      <c r="C36" s="690" t="s">
        <v>713</v>
      </c>
      <c r="D36" s="1081">
        <f t="shared" ref="D36:P36" si="3">SUM(D30:D34)</f>
        <v>-14405693</v>
      </c>
      <c r="E36" s="1081">
        <f t="shared" si="3"/>
        <v>-14405693</v>
      </c>
      <c r="F36" s="1081">
        <f t="shared" si="3"/>
        <v>-14405693</v>
      </c>
      <c r="G36" s="1081">
        <f t="shared" si="3"/>
        <v>-14075361</v>
      </c>
      <c r="H36" s="1081">
        <f t="shared" si="3"/>
        <v>-14075361</v>
      </c>
      <c r="I36" s="1081">
        <f t="shared" si="3"/>
        <v>-14075361</v>
      </c>
      <c r="J36" s="1081">
        <f t="shared" si="3"/>
        <v>-13803113</v>
      </c>
      <c r="K36" s="1081">
        <f>SUM(K30:K34)</f>
        <v>-13653997.11865118</v>
      </c>
      <c r="L36" s="1081">
        <f t="shared" si="3"/>
        <v>-13504935.690395081</v>
      </c>
      <c r="M36" s="1081">
        <f t="shared" si="3"/>
        <v>-13355720.948951306</v>
      </c>
      <c r="N36" s="1081">
        <f t="shared" si="3"/>
        <v>-13206378.867623039</v>
      </c>
      <c r="O36" s="1081">
        <f t="shared" si="3"/>
        <v>-13056884.784523023</v>
      </c>
      <c r="P36" s="1103">
        <f t="shared" si="3"/>
        <v>-12907543.428108975</v>
      </c>
      <c r="Q36" s="1103">
        <f>(SUM(D36:P36))/13</f>
        <v>-13763979.679865586</v>
      </c>
      <c r="R36" s="492"/>
    </row>
    <row r="37" spans="1:18">
      <c r="A37" s="112">
        <f t="shared" si="0"/>
        <v>25</v>
      </c>
      <c r="C37" s="690"/>
      <c r="D37" s="69"/>
      <c r="E37" s="69"/>
      <c r="F37" s="69"/>
      <c r="G37" s="66"/>
      <c r="I37" s="66"/>
      <c r="J37" s="66"/>
      <c r="K37" s="66"/>
      <c r="L37" s="364"/>
      <c r="M37" s="364"/>
      <c r="N37" s="364"/>
      <c r="O37" s="364"/>
    </row>
    <row r="38" spans="1:18" ht="15.75">
      <c r="A38" s="112">
        <f t="shared" si="0"/>
        <v>26</v>
      </c>
      <c r="B38" s="744" t="s">
        <v>671</v>
      </c>
      <c r="D38" s="66"/>
      <c r="E38" s="66"/>
      <c r="F38" s="66"/>
      <c r="G38" s="66"/>
      <c r="I38" s="66"/>
      <c r="J38" s="66"/>
      <c r="K38" s="66"/>
      <c r="L38" s="364"/>
      <c r="M38" s="364"/>
      <c r="N38" s="364"/>
      <c r="O38" s="364"/>
    </row>
    <row r="39" spans="1:18">
      <c r="A39" s="112">
        <f t="shared" si="0"/>
        <v>27</v>
      </c>
      <c r="C39" s="500" t="s">
        <v>668</v>
      </c>
      <c r="D39" s="1101">
        <f>'[10]ADIT 091'!E76</f>
        <v>-2208524</v>
      </c>
      <c r="E39" s="1101">
        <f>'[10]ADIT 091'!F76</f>
        <v>-2208524</v>
      </c>
      <c r="F39" s="1101">
        <f>'[10]ADIT 091'!G76</f>
        <v>-2208524</v>
      </c>
      <c r="G39" s="1101">
        <f>'[10]ADIT 091'!H76</f>
        <v>-2302838</v>
      </c>
      <c r="H39" s="1101">
        <f>'[10]ADIT 091'!I76</f>
        <v>-2302838</v>
      </c>
      <c r="I39" s="1101">
        <f>'[10]ADIT 091'!J76</f>
        <v>-2302838</v>
      </c>
      <c r="J39" s="1101">
        <f>'[10]ADIT 091'!K76</f>
        <v>-2447669</v>
      </c>
      <c r="K39" s="1101">
        <f>'[10]ADIT 091'!L76</f>
        <v>-2447669</v>
      </c>
      <c r="L39" s="1101">
        <f>'[10]ADIT 091'!M76</f>
        <v>-2447669</v>
      </c>
      <c r="M39" s="1101">
        <f>'[10]ADIT 091'!N76</f>
        <v>-2447669</v>
      </c>
      <c r="N39" s="1101">
        <f>'[10]ADIT 091'!O76</f>
        <v>-2447669</v>
      </c>
      <c r="O39" s="1101">
        <f>'[10]ADIT 091'!P76</f>
        <v>-2447669</v>
      </c>
      <c r="P39" s="1101">
        <f>'[10]ADIT 091'!Q76</f>
        <v>-2447669</v>
      </c>
      <c r="Q39" s="1100">
        <f>(SUM(D39:P39))/13</f>
        <v>-2359059.153846154</v>
      </c>
    </row>
    <row r="40" spans="1:18">
      <c r="A40" s="112">
        <f t="shared" si="0"/>
        <v>28</v>
      </c>
      <c r="D40" s="490"/>
      <c r="E40" s="490"/>
      <c r="F40" s="490"/>
      <c r="G40" s="490"/>
      <c r="H40" s="490"/>
      <c r="I40" s="490"/>
      <c r="J40" s="490"/>
      <c r="K40" s="490"/>
      <c r="L40" s="490"/>
      <c r="M40" s="490"/>
      <c r="N40" s="490"/>
      <c r="O40" s="490"/>
      <c r="P40" s="490"/>
      <c r="Q40" s="150"/>
    </row>
    <row r="41" spans="1:18">
      <c r="A41" s="112">
        <f t="shared" si="0"/>
        <v>29</v>
      </c>
      <c r="C41" s="500" t="s">
        <v>669</v>
      </c>
      <c r="D41" s="1102">
        <f>'[10]ADIT 091'!E77</f>
        <v>-776908</v>
      </c>
      <c r="E41" s="1102">
        <f>'[10]ADIT 091'!F77</f>
        <v>-776908</v>
      </c>
      <c r="F41" s="1102">
        <f>'[10]ADIT 091'!G77</f>
        <v>-776908</v>
      </c>
      <c r="G41" s="1102">
        <f>'[10]ADIT 091'!H77</f>
        <v>-783349</v>
      </c>
      <c r="H41" s="1102">
        <f>'[10]ADIT 091'!I77</f>
        <v>-783349</v>
      </c>
      <c r="I41" s="1102">
        <f>'[10]ADIT 091'!J77</f>
        <v>-783349</v>
      </c>
      <c r="J41" s="1102">
        <f>'[10]ADIT 091'!K77</f>
        <v>-786949</v>
      </c>
      <c r="K41" s="1102">
        <f>'[10]ADIT 091'!L77</f>
        <v>-793862.01197114005</v>
      </c>
      <c r="L41" s="1102">
        <f>'[10]ADIT 091'!M77</f>
        <v>-800774.91587572615</v>
      </c>
      <c r="M41" s="1102">
        <f>'[10]ADIT 091'!N77</f>
        <v>-807687.82479035505</v>
      </c>
      <c r="N41" s="1102">
        <f>'[10]ADIT 091'!O77</f>
        <v>-814600.73370498396</v>
      </c>
      <c r="O41" s="1102">
        <f>'[10]ADIT 091'!P77</f>
        <v>-821513.64261961298</v>
      </c>
      <c r="P41" s="1102">
        <f>'[10]ADIT 091'!Q77</f>
        <v>-828426.56400924164</v>
      </c>
      <c r="Q41" s="492">
        <f>(SUM(D41:P41))/13</f>
        <v>-794968.13022854307</v>
      </c>
    </row>
    <row r="42" spans="1:18">
      <c r="A42" s="112">
        <f t="shared" si="0"/>
        <v>30</v>
      </c>
      <c r="B42" s="687"/>
      <c r="C42" s="80"/>
      <c r="D42" s="491"/>
      <c r="E42" s="491"/>
      <c r="F42" s="491"/>
      <c r="G42" s="491"/>
      <c r="H42" s="491"/>
      <c r="I42" s="491"/>
      <c r="J42" s="491"/>
      <c r="K42" s="491"/>
      <c r="L42" s="491"/>
      <c r="M42" s="491"/>
      <c r="N42" s="491"/>
      <c r="O42" s="491"/>
      <c r="P42" s="491"/>
      <c r="Q42" s="150"/>
    </row>
    <row r="43" spans="1:18">
      <c r="A43" s="112">
        <f t="shared" si="0"/>
        <v>31</v>
      </c>
      <c r="C43" s="500" t="s">
        <v>670</v>
      </c>
      <c r="D43" s="1102">
        <f>'[10]ADIT 091'!E78</f>
        <v>-1255687</v>
      </c>
      <c r="E43" s="1102">
        <f>'[10]ADIT 091'!F78</f>
        <v>-1255687</v>
      </c>
      <c r="F43" s="1102">
        <f>'[10]ADIT 091'!G78</f>
        <v>-1255687</v>
      </c>
      <c r="G43" s="1102">
        <f>'[10]ADIT 091'!H78</f>
        <v>-1288484</v>
      </c>
      <c r="H43" s="1102">
        <f>'[10]ADIT 091'!I78</f>
        <v>-1288484</v>
      </c>
      <c r="I43" s="1102">
        <f>'[10]ADIT 091'!J78</f>
        <v>-1288484</v>
      </c>
      <c r="J43" s="1102">
        <f>'[10]ADIT 091'!K78</f>
        <v>-1307420</v>
      </c>
      <c r="K43" s="1102">
        <f>'[10]ADIT 091'!L78</f>
        <v>-1307420</v>
      </c>
      <c r="L43" s="1102">
        <f>'[10]ADIT 091'!M78</f>
        <v>-1307420</v>
      </c>
      <c r="M43" s="1102">
        <f>'[10]ADIT 091'!N78</f>
        <v>-1307420</v>
      </c>
      <c r="N43" s="1102">
        <f>'[10]ADIT 091'!O78</f>
        <v>-1307420</v>
      </c>
      <c r="O43" s="1102">
        <f>'[10]ADIT 091'!P78</f>
        <v>-1307420</v>
      </c>
      <c r="P43" s="1102">
        <f>'[10]ADIT 091'!Q78</f>
        <v>-1307420</v>
      </c>
      <c r="Q43" s="492">
        <f>(SUM(D43:P43))/13</f>
        <v>-1291111.7692307692</v>
      </c>
    </row>
    <row r="44" spans="1:18">
      <c r="A44" s="112">
        <f t="shared" si="0"/>
        <v>32</v>
      </c>
      <c r="C44" s="80"/>
      <c r="D44" s="490"/>
      <c r="E44" s="490"/>
      <c r="F44" s="490"/>
      <c r="G44" s="490"/>
      <c r="H44" s="490"/>
      <c r="I44" s="490"/>
      <c r="J44" s="490"/>
      <c r="K44" s="490"/>
      <c r="L44" s="492"/>
      <c r="M44" s="492"/>
      <c r="N44" s="492"/>
      <c r="O44" s="492"/>
      <c r="P44" s="492"/>
      <c r="Q44" s="150"/>
    </row>
    <row r="45" spans="1:18">
      <c r="A45" s="112">
        <f t="shared" si="0"/>
        <v>33</v>
      </c>
      <c r="C45" s="500" t="s">
        <v>435</v>
      </c>
      <c r="D45" s="490">
        <v>0</v>
      </c>
      <c r="E45" s="490">
        <v>0</v>
      </c>
      <c r="F45" s="490">
        <v>0</v>
      </c>
      <c r="G45" s="490">
        <v>0</v>
      </c>
      <c r="H45" s="490">
        <v>0</v>
      </c>
      <c r="I45" s="490">
        <v>0</v>
      </c>
      <c r="J45" s="490">
        <v>0</v>
      </c>
      <c r="K45" s="490">
        <v>0</v>
      </c>
      <c r="L45" s="490">
        <v>0</v>
      </c>
      <c r="M45" s="490">
        <v>0</v>
      </c>
      <c r="N45" s="490">
        <v>0</v>
      </c>
      <c r="O45" s="490">
        <v>0</v>
      </c>
      <c r="P45" s="490">
        <v>0</v>
      </c>
      <c r="Q45" s="492">
        <f>(SUM(D45:P45))/13</f>
        <v>0</v>
      </c>
    </row>
    <row r="46" spans="1:18">
      <c r="A46" s="112">
        <f t="shared" si="0"/>
        <v>34</v>
      </c>
      <c r="B46" s="863"/>
      <c r="C46" s="80"/>
      <c r="D46" s="69"/>
      <c r="E46" s="69"/>
      <c r="F46" s="69"/>
      <c r="G46" s="69"/>
      <c r="H46" s="69"/>
      <c r="I46" s="66"/>
      <c r="J46" s="66"/>
      <c r="K46" s="66"/>
      <c r="L46" s="323"/>
      <c r="M46" s="364"/>
      <c r="N46" s="364"/>
      <c r="O46" s="364"/>
      <c r="P46" s="364"/>
    </row>
    <row r="47" spans="1:18">
      <c r="A47" s="112">
        <f t="shared" si="0"/>
        <v>35</v>
      </c>
      <c r="C47" s="690" t="s">
        <v>434</v>
      </c>
      <c r="D47" s="1081">
        <f>SUM(D39:D46)</f>
        <v>-4241119</v>
      </c>
      <c r="E47" s="1081">
        <f t="shared" ref="E47:P47" si="4">SUM(E39:E46)</f>
        <v>-4241119</v>
      </c>
      <c r="F47" s="1081">
        <f t="shared" si="4"/>
        <v>-4241119</v>
      </c>
      <c r="G47" s="1081">
        <f t="shared" si="4"/>
        <v>-4374671</v>
      </c>
      <c r="H47" s="1081">
        <f t="shared" si="4"/>
        <v>-4374671</v>
      </c>
      <c r="I47" s="1081">
        <f t="shared" si="4"/>
        <v>-4374671</v>
      </c>
      <c r="J47" s="1081">
        <f t="shared" si="4"/>
        <v>-4542038</v>
      </c>
      <c r="K47" s="1081">
        <f t="shared" si="4"/>
        <v>-4548951.0119711403</v>
      </c>
      <c r="L47" s="1081">
        <f t="shared" si="4"/>
        <v>-4555863.9158757264</v>
      </c>
      <c r="M47" s="1081">
        <f t="shared" si="4"/>
        <v>-4562776.8247903548</v>
      </c>
      <c r="N47" s="1081">
        <f t="shared" si="4"/>
        <v>-4569689.7337049842</v>
      </c>
      <c r="O47" s="1081">
        <f t="shared" si="4"/>
        <v>-4576602.6426196136</v>
      </c>
      <c r="P47" s="1081">
        <f t="shared" si="4"/>
        <v>-4583515.5640092418</v>
      </c>
      <c r="Q47" s="1103">
        <f>(SUM(D47:P47))/13</f>
        <v>-4445139.0533054657</v>
      </c>
      <c r="R47" s="492"/>
    </row>
    <row r="48" spans="1:18">
      <c r="A48" s="112">
        <f t="shared" si="0"/>
        <v>36</v>
      </c>
      <c r="D48" s="66"/>
      <c r="E48" s="66"/>
      <c r="F48" s="66"/>
      <c r="G48" s="66"/>
      <c r="I48" s="66"/>
      <c r="J48" s="66"/>
      <c r="K48" s="66"/>
      <c r="L48" s="66"/>
      <c r="P48" s="364"/>
    </row>
    <row r="49" spans="1:17" ht="15.75" thickBot="1">
      <c r="A49" s="112">
        <f t="shared" si="0"/>
        <v>37</v>
      </c>
      <c r="B49" s="66"/>
      <c r="C49" s="73" t="s">
        <v>95</v>
      </c>
      <c r="D49" s="1059">
        <f>D47+D36+D28+D19</f>
        <v>534947389.72335553</v>
      </c>
      <c r="E49" s="1059">
        <f t="shared" ref="E49:P49" si="5">E47+E36+E28+E19</f>
        <v>534809585.64503014</v>
      </c>
      <c r="F49" s="1059">
        <f t="shared" si="5"/>
        <v>534671781.56670469</v>
      </c>
      <c r="G49" s="1059">
        <f t="shared" si="5"/>
        <v>522926011.35837924</v>
      </c>
      <c r="H49" s="1059">
        <f t="shared" si="5"/>
        <v>522788207.28005385</v>
      </c>
      <c r="I49" s="1059">
        <f t="shared" si="5"/>
        <v>522650403.20172828</v>
      </c>
      <c r="J49" s="1059">
        <f t="shared" si="5"/>
        <v>908381003.99340284</v>
      </c>
      <c r="K49" s="1059">
        <f t="shared" si="5"/>
        <v>907645089.09354985</v>
      </c>
      <c r="L49" s="1059">
        <f t="shared" si="5"/>
        <v>907036937.87526405</v>
      </c>
      <c r="M49" s="1059">
        <f t="shared" si="5"/>
        <v>906454608.78659761</v>
      </c>
      <c r="N49" s="1059">
        <f t="shared" si="5"/>
        <v>905992577.6542846</v>
      </c>
      <c r="O49" s="1059">
        <f t="shared" si="5"/>
        <v>905696043.1475625</v>
      </c>
      <c r="P49" s="1059">
        <f t="shared" si="5"/>
        <v>905242645.39211774</v>
      </c>
      <c r="Q49" s="1059">
        <f>(SUM(D49:P49))/13</f>
        <v>732249406.51677155</v>
      </c>
    </row>
    <row r="50" spans="1:17" ht="15.75" thickTop="1">
      <c r="A50" s="66"/>
      <c r="B50" s="66"/>
    </row>
    <row r="51" spans="1:17">
      <c r="A51" s="66"/>
      <c r="B51" s="66"/>
      <c r="C51" s="66" t="s">
        <v>679</v>
      </c>
    </row>
    <row r="52" spans="1:17">
      <c r="A52" s="66"/>
      <c r="B52" s="66"/>
      <c r="C52" s="66" t="s">
        <v>1654</v>
      </c>
    </row>
    <row r="53" spans="1:17">
      <c r="A53" s="66"/>
      <c r="B53" s="66"/>
    </row>
    <row r="54" spans="1:17">
      <c r="A54" s="66"/>
      <c r="B54" s="66"/>
    </row>
    <row r="55" spans="1:17">
      <c r="A55" s="66"/>
      <c r="B55" s="66"/>
    </row>
    <row r="56" spans="1:17">
      <c r="A56" s="66"/>
      <c r="B56" s="66"/>
    </row>
    <row r="57" spans="1:17">
      <c r="D57" s="544"/>
    </row>
    <row r="58" spans="1:17">
      <c r="D58" s="544"/>
    </row>
    <row r="59" spans="1:17">
      <c r="D59" s="544"/>
    </row>
    <row r="61" spans="1:17">
      <c r="H61" s="73"/>
    </row>
    <row r="62" spans="1:17">
      <c r="H62" s="73"/>
    </row>
    <row r="63" spans="1:17">
      <c r="H63" s="73"/>
    </row>
    <row r="64" spans="1:17">
      <c r="C64" s="95"/>
      <c r="H64" s="73"/>
    </row>
    <row r="65" spans="3:16">
      <c r="C65" s="150"/>
      <c r="H65" s="73"/>
    </row>
    <row r="66" spans="3:16">
      <c r="H66" s="73"/>
    </row>
    <row r="69" spans="3:16">
      <c r="H69" s="73"/>
    </row>
    <row r="70" spans="3:16">
      <c r="H70" s="73"/>
    </row>
    <row r="71" spans="3:16">
      <c r="H71" s="73"/>
    </row>
    <row r="72" spans="3:16">
      <c r="C72" s="95"/>
      <c r="H72" s="73"/>
    </row>
    <row r="74" spans="3:16">
      <c r="H74" s="73"/>
      <c r="K74" s="95"/>
      <c r="L74" s="95"/>
      <c r="M74" s="95"/>
      <c r="N74" s="95"/>
      <c r="O74" s="95"/>
      <c r="P74" s="95"/>
    </row>
    <row r="78" spans="3:16">
      <c r="K78" s="544"/>
    </row>
  </sheetData>
  <mergeCells count="4">
    <mergeCell ref="A1:Q1"/>
    <mergeCell ref="A2:Q2"/>
    <mergeCell ref="A3:Q3"/>
    <mergeCell ref="A4:Q4"/>
  </mergeCells>
  <phoneticPr fontId="21" type="noConversion"/>
  <printOptions horizontalCentered="1"/>
  <pageMargins left="0.33" right="0.33" top="0.93" bottom="1" header="0.5" footer="0.5"/>
  <pageSetup scale="42" orientation="landscape" verticalDpi="300" r:id="rId1"/>
  <headerFooter alignWithMargins="0">
    <oddFooter>&amp;R&amp;A
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AFEA4-A9A9-492C-940C-B2C1A48E33BD}">
  <dimension ref="A1:J36"/>
  <sheetViews>
    <sheetView view="pageBreakPreview" zoomScale="80" zoomScaleNormal="100" zoomScaleSheetLayoutView="80" workbookViewId="0">
      <selection sqref="A1:E1"/>
    </sheetView>
  </sheetViews>
  <sheetFormatPr defaultColWidth="8.88671875" defaultRowHeight="15"/>
  <cols>
    <col min="1" max="1" width="21" style="639" customWidth="1"/>
    <col min="2" max="2" width="8.109375" style="639" customWidth="1"/>
    <col min="3" max="3" width="16.33203125" style="639" bestFit="1" customWidth="1"/>
    <col min="4" max="4" width="31" style="639" bestFit="1" customWidth="1"/>
    <col min="5" max="5" width="24.21875" style="639" bestFit="1" customWidth="1"/>
    <col min="6" max="16384" width="8.88671875" style="639"/>
  </cols>
  <sheetData>
    <row r="1" spans="1:10">
      <c r="A1" s="1255" t="str">
        <f>'Table of Contents'!A1:C1</f>
        <v>Atmos Energy Corporation, Kentucky/Mid-States Division</v>
      </c>
      <c r="B1" s="1255"/>
      <c r="C1" s="1255"/>
      <c r="D1" s="1255"/>
      <c r="E1" s="1255"/>
    </row>
    <row r="2" spans="1:10">
      <c r="A2" s="1270" t="str">
        <f>'Table of Contents'!A2:C2</f>
        <v>Kentucky Jurisdiction Case No. 2021-00214</v>
      </c>
      <c r="B2" s="1270"/>
      <c r="C2" s="1270"/>
      <c r="D2" s="1270"/>
      <c r="E2" s="1270"/>
    </row>
    <row r="3" spans="1:10">
      <c r="A3" s="1253" t="str">
        <f>'Table of Contents'!A3:C3</f>
        <v>Base Period: Twelve Months Ended September 30, 2021</v>
      </c>
      <c r="B3" s="1253"/>
      <c r="C3" s="1253"/>
      <c r="D3" s="1253"/>
      <c r="E3" s="1253"/>
    </row>
    <row r="4" spans="1:10">
      <c r="A4" s="1253" t="str">
        <f>'Table of Contents'!A4:C4</f>
        <v>Forecasted Test Period: Twelve Months Ended December 31, 2022</v>
      </c>
      <c r="B4" s="1253"/>
      <c r="C4" s="1253"/>
      <c r="D4" s="1253"/>
      <c r="E4" s="1253"/>
    </row>
    <row r="5" spans="1:10">
      <c r="A5" s="1254" t="s">
        <v>1520</v>
      </c>
      <c r="B5" s="1254"/>
      <c r="C5" s="1254"/>
      <c r="D5" s="1254"/>
      <c r="E5" s="1254"/>
    </row>
    <row r="8" spans="1:10" ht="15.75">
      <c r="A8" s="923" t="s">
        <v>322</v>
      </c>
    </row>
    <row r="9" spans="1:10" ht="15.75">
      <c r="B9" s="923"/>
      <c r="D9" s="923" t="s">
        <v>1528</v>
      </c>
      <c r="E9" s="923" t="s">
        <v>1387</v>
      </c>
    </row>
    <row r="10" spans="1:10" ht="15.75">
      <c r="A10" s="94" t="s">
        <v>1521</v>
      </c>
      <c r="B10" s="924"/>
      <c r="C10" s="926">
        <v>44104</v>
      </c>
      <c r="D10" s="95">
        <f>-'[10]KY Reg Liability Accelerated'!E63</f>
        <v>-32236480.407764688</v>
      </c>
      <c r="E10" s="72"/>
    </row>
    <row r="11" spans="1:10" ht="15.75">
      <c r="A11" s="94" t="s">
        <v>1522</v>
      </c>
      <c r="B11" s="924"/>
      <c r="C11" s="1104">
        <f>EOMONTH(C10,1)</f>
        <v>44135</v>
      </c>
      <c r="D11" s="95">
        <f>-'[10]KY Reg Liability Accelerated'!E64</f>
        <v>-32114499.896417055</v>
      </c>
      <c r="E11" s="95">
        <f>-'[10]KY Reg Liability Accelerated'!L64</f>
        <v>121980.51134762984</v>
      </c>
      <c r="F11"/>
      <c r="G11" s="72"/>
      <c r="H11" s="72"/>
      <c r="I11" s="72"/>
      <c r="J11" s="72"/>
    </row>
    <row r="12" spans="1:10">
      <c r="B12" s="924"/>
      <c r="C12" s="1104">
        <f t="shared" ref="C12:C22" si="0">EOMONTH(C11,1)</f>
        <v>44165</v>
      </c>
      <c r="D12" s="95">
        <f>-'[10]KY Reg Liability Accelerated'!E65</f>
        <v>-31992519.385069422</v>
      </c>
      <c r="E12" s="95">
        <f>-'[10]KY Reg Liability Accelerated'!L65</f>
        <v>121980.51134762984</v>
      </c>
    </row>
    <row r="13" spans="1:10">
      <c r="B13" s="924"/>
      <c r="C13" s="1104">
        <f t="shared" si="0"/>
        <v>44196</v>
      </c>
      <c r="D13" s="95">
        <f>-'[10]KY Reg Liability Accelerated'!E66</f>
        <v>-31870538.873721793</v>
      </c>
      <c r="E13" s="95">
        <f>-'[10]KY Reg Liability Accelerated'!L66</f>
        <v>121980.51134762984</v>
      </c>
    </row>
    <row r="14" spans="1:10">
      <c r="B14" s="924"/>
      <c r="C14" s="1104">
        <f t="shared" si="0"/>
        <v>44227</v>
      </c>
      <c r="D14" s="95">
        <f>-'[10]KY Reg Liability Accelerated'!E67</f>
        <v>-31748558.362374164</v>
      </c>
      <c r="E14" s="95">
        <f>-'[10]KY Reg Liability Accelerated'!L67</f>
        <v>121980.51134762984</v>
      </c>
    </row>
    <row r="15" spans="1:10">
      <c r="B15" s="924"/>
      <c r="C15" s="1104">
        <f t="shared" si="0"/>
        <v>44255</v>
      </c>
      <c r="D15" s="95">
        <f>-'[10]KY Reg Liability Accelerated'!E68</f>
        <v>-31626577.851026531</v>
      </c>
      <c r="E15" s="95">
        <f>-'[10]KY Reg Liability Accelerated'!L68</f>
        <v>121980.51134762984</v>
      </c>
    </row>
    <row r="16" spans="1:10">
      <c r="B16" s="924"/>
      <c r="C16" s="1104">
        <f t="shared" si="0"/>
        <v>44286</v>
      </c>
      <c r="D16" s="95">
        <f>-'[10]KY Reg Liability Accelerated'!E69</f>
        <v>-31504597.339678898</v>
      </c>
      <c r="E16" s="95">
        <f>-'[10]KY Reg Liability Accelerated'!L69</f>
        <v>121980.51134762984</v>
      </c>
    </row>
    <row r="17" spans="2:5">
      <c r="B17" s="924"/>
      <c r="C17" s="1104">
        <f t="shared" si="0"/>
        <v>44316</v>
      </c>
      <c r="D17" s="95">
        <f>-'[10]KY Reg Liability Accelerated'!E70</f>
        <v>-31382616.828331269</v>
      </c>
      <c r="E17" s="95">
        <f>-'[10]KY Reg Liability Accelerated'!L70</f>
        <v>121980.51134762984</v>
      </c>
    </row>
    <row r="18" spans="2:5">
      <c r="B18" s="924"/>
      <c r="C18" s="1104">
        <f t="shared" si="0"/>
        <v>44347</v>
      </c>
      <c r="D18" s="95">
        <f>-'[10]KY Reg Liability Accelerated'!E71</f>
        <v>-31260636.31698364</v>
      </c>
      <c r="E18" s="95">
        <f>-'[10]KY Reg Liability Accelerated'!L71</f>
        <v>121980.51134762984</v>
      </c>
    </row>
    <row r="19" spans="2:5">
      <c r="B19" s="924"/>
      <c r="C19" s="1104">
        <f t="shared" si="0"/>
        <v>44377</v>
      </c>
      <c r="D19" s="95">
        <f>-'[10]KY Reg Liability Accelerated'!E72</f>
        <v>-31138655.805636007</v>
      </c>
      <c r="E19" s="95">
        <f>-'[10]KY Reg Liability Accelerated'!L72</f>
        <v>121980.51134762984</v>
      </c>
    </row>
    <row r="20" spans="2:5">
      <c r="B20" s="924"/>
      <c r="C20" s="1104">
        <f t="shared" si="0"/>
        <v>44408</v>
      </c>
      <c r="D20" s="95">
        <f>-'[10]KY Reg Liability Accelerated'!E73</f>
        <v>-31016675.294288374</v>
      </c>
      <c r="E20" s="95">
        <f>-'[10]KY Reg Liability Accelerated'!L73</f>
        <v>121980.51134762984</v>
      </c>
    </row>
    <row r="21" spans="2:5">
      <c r="B21" s="924"/>
      <c r="C21" s="1104">
        <f t="shared" si="0"/>
        <v>44439</v>
      </c>
      <c r="D21" s="95">
        <f>-'[10]KY Reg Liability Accelerated'!E74</f>
        <v>-30894694.782940745</v>
      </c>
      <c r="E21" s="95">
        <f>-'[10]KY Reg Liability Accelerated'!L74</f>
        <v>121980.51134762984</v>
      </c>
    </row>
    <row r="22" spans="2:5">
      <c r="B22" s="924"/>
      <c r="C22" s="1104">
        <f t="shared" si="0"/>
        <v>44469</v>
      </c>
      <c r="D22" s="95">
        <f>-'[10]KY Reg Liability Accelerated'!E75</f>
        <v>-30772714.271593116</v>
      </c>
      <c r="E22" s="95">
        <f>-'[10]KY Reg Liability Accelerated'!L75</f>
        <v>121980.51134762984</v>
      </c>
    </row>
    <row r="23" spans="2:5" ht="15.75">
      <c r="B23" s="924"/>
      <c r="C23" s="639" t="s">
        <v>1388</v>
      </c>
      <c r="D23" s="666">
        <f>AVERAGE(D10:D22)</f>
        <v>-31504597.339678898</v>
      </c>
      <c r="E23" s="666">
        <f>SUM(E11:E22)</f>
        <v>1463766.1361715582</v>
      </c>
    </row>
    <row r="24" spans="2:5">
      <c r="B24" s="924"/>
    </row>
    <row r="25" spans="2:5">
      <c r="B25" s="924"/>
    </row>
    <row r="26" spans="2:5">
      <c r="B26" s="924"/>
    </row>
    <row r="27" spans="2:5">
      <c r="B27" s="924"/>
    </row>
    <row r="28" spans="2:5">
      <c r="B28" s="924"/>
    </row>
    <row r="29" spans="2:5">
      <c r="B29" s="924"/>
    </row>
    <row r="30" spans="2:5">
      <c r="B30" s="924"/>
    </row>
    <row r="31" spans="2:5">
      <c r="B31" s="924"/>
    </row>
    <row r="32" spans="2:5">
      <c r="B32" s="924"/>
    </row>
    <row r="33" spans="1:2">
      <c r="B33" s="924"/>
    </row>
    <row r="35" spans="1:2">
      <c r="A35" s="66" t="s">
        <v>679</v>
      </c>
    </row>
    <row r="36" spans="1:2">
      <c r="A36" s="66" t="s">
        <v>1654</v>
      </c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landscape" r:id="rId1"/>
  <headerFooter>
    <oddFooter>&amp;RSchedule &amp;A
Page &amp;P of &amp;N</oddFooter>
  </headerFooter>
  <colBreaks count="1" manualBreakCount="1">
    <brk id="5" max="33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64">
    <pageSetUpPr fitToPage="1"/>
  </sheetPr>
  <dimension ref="A1:R74"/>
  <sheetViews>
    <sheetView view="pageBreakPreview" zoomScale="80" zoomScaleNormal="100" zoomScaleSheetLayoutView="80" workbookViewId="0">
      <selection sqref="A1:Q1"/>
    </sheetView>
  </sheetViews>
  <sheetFormatPr defaultColWidth="8.44140625" defaultRowHeight="15"/>
  <cols>
    <col min="1" max="1" width="5" style="73" customWidth="1"/>
    <col min="2" max="2" width="5.6640625" style="73" customWidth="1"/>
    <col min="3" max="3" width="49.33203125" style="73" bestFit="1" customWidth="1"/>
    <col min="4" max="5" width="14.77734375" style="73" bestFit="1" customWidth="1"/>
    <col min="6" max="6" width="14.5546875" style="73" bestFit="1" customWidth="1"/>
    <col min="7" max="7" width="14.77734375" style="73" bestFit="1" customWidth="1"/>
    <col min="8" max="8" width="14.77734375" style="66" bestFit="1" customWidth="1"/>
    <col min="9" max="9" width="14.88671875" style="73" bestFit="1" customWidth="1"/>
    <col min="10" max="11" width="14.77734375" style="73" bestFit="1" customWidth="1"/>
    <col min="12" max="15" width="14.88671875" style="73" bestFit="1" customWidth="1"/>
    <col min="16" max="17" width="14.77734375" style="73" bestFit="1" customWidth="1"/>
    <col min="18" max="18" width="9.33203125" style="73" bestFit="1" customWidth="1"/>
    <col min="19" max="16384" width="8.44140625" style="73"/>
  </cols>
  <sheetData>
    <row r="1" spans="1:17">
      <c r="A1" s="1260" t="str">
        <f>Allocation!A1</f>
        <v>Atmos Energy Corporation, Kentucky/Mid-States Division</v>
      </c>
      <c r="B1" s="1260"/>
      <c r="C1" s="1260"/>
      <c r="D1" s="1260"/>
      <c r="E1" s="1260"/>
      <c r="F1" s="1260"/>
      <c r="G1" s="1260"/>
      <c r="H1" s="1260"/>
      <c r="I1" s="1260"/>
      <c r="J1" s="1260"/>
      <c r="K1" s="1260"/>
      <c r="L1" s="1260"/>
      <c r="M1" s="1260"/>
      <c r="N1" s="1260"/>
      <c r="O1" s="1260"/>
      <c r="P1" s="1260"/>
      <c r="Q1" s="1260"/>
    </row>
    <row r="2" spans="1:17">
      <c r="A2" s="1260" t="str">
        <f>Allocation!A2</f>
        <v>Kentucky Jurisdiction Case No. 2021-00214</v>
      </c>
      <c r="B2" s="1260"/>
      <c r="C2" s="1260"/>
      <c r="D2" s="1260"/>
      <c r="E2" s="1260"/>
      <c r="F2" s="1260"/>
      <c r="G2" s="1260"/>
      <c r="H2" s="1260"/>
      <c r="I2" s="1260"/>
      <c r="J2" s="1260"/>
      <c r="K2" s="1260"/>
      <c r="L2" s="1260"/>
      <c r="M2" s="1260"/>
      <c r="N2" s="1260"/>
      <c r="O2" s="1260"/>
      <c r="P2" s="1260"/>
      <c r="Q2" s="1260"/>
    </row>
    <row r="3" spans="1:17">
      <c r="A3" s="1261" t="s">
        <v>506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1261"/>
      <c r="N3" s="1261"/>
      <c r="O3" s="1261"/>
      <c r="P3" s="1261"/>
      <c r="Q3" s="1261"/>
    </row>
    <row r="4" spans="1:17">
      <c r="A4" s="1260" t="str">
        <f>'WP B.4.1F'!A3:P3</f>
        <v>Forecasted Test Period: Twelve Months Ended December 31, 2022</v>
      </c>
      <c r="B4" s="1260"/>
      <c r="C4" s="1260"/>
      <c r="D4" s="1260"/>
      <c r="E4" s="1260"/>
      <c r="F4" s="1260"/>
      <c r="G4" s="1260"/>
      <c r="H4" s="1260"/>
      <c r="I4" s="1260"/>
      <c r="J4" s="1260"/>
      <c r="K4" s="1260"/>
      <c r="L4" s="1260"/>
      <c r="M4" s="1260"/>
      <c r="N4" s="1260"/>
      <c r="O4" s="1260"/>
      <c r="P4" s="1260"/>
      <c r="Q4" s="1260"/>
    </row>
    <row r="5" spans="1:17">
      <c r="A5" s="147"/>
      <c r="B5" s="133"/>
      <c r="C5" s="133"/>
      <c r="D5" s="133"/>
      <c r="E5" s="133"/>
      <c r="F5" s="133"/>
      <c r="G5" s="133"/>
      <c r="H5" s="317"/>
      <c r="I5" s="133"/>
      <c r="J5" s="133"/>
      <c r="K5" s="133"/>
    </row>
    <row r="6" spans="1:17">
      <c r="A6" s="674" t="str">
        <f>'B.1 F '!A6</f>
        <v>Data:______Base Period__X___Forecasted Period</v>
      </c>
      <c r="B6" s="826"/>
      <c r="C6" s="66"/>
      <c r="Q6" s="150" t="s">
        <v>1367</v>
      </c>
    </row>
    <row r="7" spans="1:17">
      <c r="A7" s="674" t="str">
        <f>'B.1 F '!A7</f>
        <v>Type of Filing:___X____Original________Updated ________Revised</v>
      </c>
      <c r="B7" s="66"/>
      <c r="C7" s="826"/>
      <c r="Q7" s="150" t="s">
        <v>1148</v>
      </c>
    </row>
    <row r="8" spans="1:17">
      <c r="A8" s="1061" t="str">
        <f>'B.1 F '!A8</f>
        <v>Workpaper Reference No(s).</v>
      </c>
      <c r="B8" s="134"/>
      <c r="C8" s="134"/>
      <c r="D8" s="134"/>
      <c r="E8" s="134"/>
      <c r="F8" s="134"/>
      <c r="G8" s="74"/>
      <c r="H8" s="74"/>
      <c r="I8" s="134"/>
      <c r="J8" s="134"/>
      <c r="K8" s="74"/>
      <c r="L8" s="134"/>
      <c r="M8" s="74"/>
      <c r="N8" s="74"/>
      <c r="O8" s="74"/>
      <c r="P8" s="74"/>
      <c r="Q8" s="74"/>
    </row>
    <row r="9" spans="1:17">
      <c r="D9" s="689"/>
      <c r="E9" s="68"/>
      <c r="F9" s="687"/>
      <c r="G9" s="687"/>
      <c r="H9" s="67"/>
      <c r="I9" s="687"/>
      <c r="J9" s="68"/>
      <c r="K9" s="687"/>
      <c r="Q9" s="1034" t="s">
        <v>314</v>
      </c>
    </row>
    <row r="10" spans="1:17">
      <c r="A10" s="687" t="s">
        <v>92</v>
      </c>
      <c r="B10" s="687" t="s">
        <v>93</v>
      </c>
      <c r="D10" s="686" t="s">
        <v>449</v>
      </c>
      <c r="E10" s="686" t="s">
        <v>449</v>
      </c>
      <c r="F10" s="686" t="s">
        <v>449</v>
      </c>
      <c r="G10" s="686" t="s">
        <v>449</v>
      </c>
      <c r="H10" s="686" t="s">
        <v>449</v>
      </c>
      <c r="I10" s="686" t="s">
        <v>1201</v>
      </c>
      <c r="J10" s="686" t="s">
        <v>1201</v>
      </c>
      <c r="K10" s="686" t="s">
        <v>1201</v>
      </c>
      <c r="L10" s="686" t="s">
        <v>1201</v>
      </c>
      <c r="M10" s="686" t="s">
        <v>1201</v>
      </c>
      <c r="N10" s="686" t="s">
        <v>1201</v>
      </c>
      <c r="O10" s="686" t="s">
        <v>1201</v>
      </c>
      <c r="P10" s="686" t="s">
        <v>1201</v>
      </c>
      <c r="Q10" s="777" t="s">
        <v>1665</v>
      </c>
    </row>
    <row r="11" spans="1:17">
      <c r="A11" s="368" t="s">
        <v>98</v>
      </c>
      <c r="B11" s="368" t="s">
        <v>99</v>
      </c>
      <c r="C11" s="134"/>
      <c r="D11" s="1098">
        <f>'WP B.4.1F'!C8</f>
        <v>44531</v>
      </c>
      <c r="E11" s="1098">
        <f>'WP B.4.1F'!D8</f>
        <v>44562</v>
      </c>
      <c r="F11" s="1098">
        <f>'WP B.4.1F'!E8</f>
        <v>44593</v>
      </c>
      <c r="G11" s="1098">
        <f>'WP B.4.1F'!F8</f>
        <v>44621</v>
      </c>
      <c r="H11" s="1098">
        <f>'WP B.4.1F'!G8</f>
        <v>44652</v>
      </c>
      <c r="I11" s="1098">
        <f>'WP B.4.1F'!H8</f>
        <v>44682</v>
      </c>
      <c r="J11" s="1098">
        <f>'WP B.4.1F'!I8</f>
        <v>44713</v>
      </c>
      <c r="K11" s="1098">
        <f>'WP B.4.1F'!J8</f>
        <v>44743</v>
      </c>
      <c r="L11" s="1098">
        <f>'WP B.4.1F'!K8</f>
        <v>44774</v>
      </c>
      <c r="M11" s="1098">
        <f>'WP B.4.1F'!L8</f>
        <v>44805</v>
      </c>
      <c r="N11" s="1098">
        <f>'WP B.4.1F'!M8</f>
        <v>44835</v>
      </c>
      <c r="O11" s="1098">
        <f>'WP B.4.1F'!N8</f>
        <v>44866</v>
      </c>
      <c r="P11" s="1098">
        <f>'WP B.4.1F'!O8</f>
        <v>44896</v>
      </c>
      <c r="Q11" s="436" t="s">
        <v>315</v>
      </c>
    </row>
    <row r="12" spans="1:17" ht="15.75">
      <c r="B12" s="744" t="s">
        <v>212</v>
      </c>
    </row>
    <row r="13" spans="1:17">
      <c r="A13" s="687">
        <v>1</v>
      </c>
      <c r="C13" s="500" t="s">
        <v>668</v>
      </c>
      <c r="D13" s="290">
        <f>'[10]ADIT 009'!T76</f>
        <v>16471318.335526835</v>
      </c>
      <c r="E13" s="290">
        <f>'[10]ADIT 009'!U76</f>
        <v>16368513.686001454</v>
      </c>
      <c r="F13" s="290">
        <f>'[10]ADIT 009'!V76</f>
        <v>16265709.036476072</v>
      </c>
      <c r="G13" s="290">
        <f>'[10]ADIT 009'!W76</f>
        <v>16162904.38695069</v>
      </c>
      <c r="H13" s="290">
        <f>'[10]ADIT 009'!X76</f>
        <v>16060099.737425309</v>
      </c>
      <c r="I13" s="290">
        <f>'[10]ADIT 009'!Y76</f>
        <v>15957295.087899927</v>
      </c>
      <c r="J13" s="290">
        <f>'[10]ADIT 009'!Z76</f>
        <v>15854490.438374545</v>
      </c>
      <c r="K13" s="290">
        <f>'[10]ADIT 009'!AA76</f>
        <v>15751685.788849164</v>
      </c>
      <c r="L13" s="290">
        <f>'[10]ADIT 009'!AB76</f>
        <v>15648881.139323782</v>
      </c>
      <c r="M13" s="290">
        <f>'[10]ADIT 009'!AC76</f>
        <v>15546076.489798401</v>
      </c>
      <c r="N13" s="290">
        <f>'[10]ADIT 009'!AD76</f>
        <v>15443271.840273019</v>
      </c>
      <c r="O13" s="290">
        <f>'[10]ADIT 009'!AE76</f>
        <v>15340467.190747637</v>
      </c>
      <c r="P13" s="290">
        <f>'[10]ADIT 009'!AF76</f>
        <v>15237662.541222256</v>
      </c>
      <c r="Q13" s="304">
        <f>P13</f>
        <v>15237662.541222256</v>
      </c>
    </row>
    <row r="14" spans="1:17" ht="14.25" customHeight="1">
      <c r="A14" s="112">
        <f>A13+1</f>
        <v>2</v>
      </c>
      <c r="B14" s="863"/>
      <c r="C14" s="80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64"/>
    </row>
    <row r="15" spans="1:17">
      <c r="A15" s="112">
        <f t="shared" ref="A15:A49" si="0">A14+1</f>
        <v>3</v>
      </c>
      <c r="C15" s="500" t="s">
        <v>669</v>
      </c>
      <c r="D15" s="323">
        <f>'[10]ADIT 009'!T77</f>
        <v>-111066015.11273651</v>
      </c>
      <c r="E15" s="323">
        <f>'[10]ADIT 009'!U77</f>
        <v>-111676497.76793647</v>
      </c>
      <c r="F15" s="323">
        <f>'[10]ADIT 009'!V77</f>
        <v>-112210418.22511077</v>
      </c>
      <c r="G15" s="323">
        <f>'[10]ADIT 009'!W77</f>
        <v>-112675528.34058081</v>
      </c>
      <c r="H15" s="323">
        <f>'[10]ADIT 009'!X77</f>
        <v>-113090288.41875339</v>
      </c>
      <c r="I15" s="323">
        <f>'[10]ADIT 009'!Y77</f>
        <v>-113464780.649922</v>
      </c>
      <c r="J15" s="323">
        <f>'[10]ADIT 009'!Z77</f>
        <v>-113780603.66272457</v>
      </c>
      <c r="K15" s="323">
        <f>'[10]ADIT 009'!AA77</f>
        <v>-114038592.61399545</v>
      </c>
      <c r="L15" s="323">
        <f>'[10]ADIT 009'!AB77</f>
        <v>-114235933.65118372</v>
      </c>
      <c r="M15" s="323">
        <f>'[10]ADIT 009'!AC77</f>
        <v>-114387433.51852311</v>
      </c>
      <c r="N15" s="323">
        <f>'[10]ADIT 009'!AD77</f>
        <v>-114446657.92222831</v>
      </c>
      <c r="O15" s="323">
        <f>'[10]ADIT 009'!AE77</f>
        <v>-114481743.41123761</v>
      </c>
      <c r="P15" s="323">
        <f>'[10]ADIT 009'!AF77</f>
        <v>-114494631.01138197</v>
      </c>
      <c r="Q15" s="364">
        <f>P15</f>
        <v>-114494631.01138197</v>
      </c>
    </row>
    <row r="16" spans="1:17" ht="14.25" customHeight="1">
      <c r="A16" s="112">
        <f t="shared" si="0"/>
        <v>4</v>
      </c>
      <c r="B16" s="863"/>
      <c r="C16" s="80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64"/>
    </row>
    <row r="17" spans="1:18">
      <c r="A17" s="112">
        <f t="shared" si="0"/>
        <v>5</v>
      </c>
      <c r="C17" s="500" t="s">
        <v>670</v>
      </c>
      <c r="D17" s="323">
        <f>'[10]ADIT 009'!T78</f>
        <v>-407942</v>
      </c>
      <c r="E17" s="323">
        <f>'[10]ADIT 009'!U78</f>
        <v>-407942</v>
      </c>
      <c r="F17" s="323">
        <f>'[10]ADIT 009'!V78</f>
        <v>-407942</v>
      </c>
      <c r="G17" s="323">
        <f>'[10]ADIT 009'!W78</f>
        <v>-407942</v>
      </c>
      <c r="H17" s="323">
        <f>'[10]ADIT 009'!X78</f>
        <v>-407942</v>
      </c>
      <c r="I17" s="323">
        <f>'[10]ADIT 009'!Y78</f>
        <v>-407942</v>
      </c>
      <c r="J17" s="323">
        <f>'[10]ADIT 009'!Z78</f>
        <v>-407942</v>
      </c>
      <c r="K17" s="323">
        <f>'[10]ADIT 009'!AA78</f>
        <v>-407942</v>
      </c>
      <c r="L17" s="323">
        <f>'[10]ADIT 009'!AB78</f>
        <v>-407942</v>
      </c>
      <c r="M17" s="323">
        <f>'[10]ADIT 009'!AC78</f>
        <v>-407942</v>
      </c>
      <c r="N17" s="323">
        <f>'[10]ADIT 009'!AD78</f>
        <v>-407942</v>
      </c>
      <c r="O17" s="323">
        <f>'[10]ADIT 009'!AE78</f>
        <v>-407942</v>
      </c>
      <c r="P17" s="323">
        <f>'[10]ADIT 009'!AF78</f>
        <v>-407942</v>
      </c>
      <c r="Q17" s="364">
        <f>P17</f>
        <v>-407942</v>
      </c>
    </row>
    <row r="18" spans="1:18" ht="14.25" customHeight="1">
      <c r="A18" s="112">
        <f t="shared" si="0"/>
        <v>6</v>
      </c>
      <c r="B18" s="863"/>
      <c r="C18" s="80"/>
      <c r="D18" s="323"/>
      <c r="E18" s="323"/>
      <c r="F18" s="323"/>
      <c r="G18" s="323"/>
      <c r="H18" s="323"/>
      <c r="I18" s="326"/>
      <c r="J18" s="326"/>
      <c r="K18" s="326"/>
      <c r="L18" s="323"/>
      <c r="M18" s="364"/>
      <c r="N18" s="364"/>
      <c r="O18" s="364"/>
      <c r="P18" s="364"/>
      <c r="Q18" s="364"/>
    </row>
    <row r="19" spans="1:18">
      <c r="A19" s="112">
        <f t="shared" si="0"/>
        <v>7</v>
      </c>
      <c r="C19" s="690" t="s">
        <v>31</v>
      </c>
      <c r="D19" s="1081">
        <f t="shared" ref="D19:P19" si="1">SUM(D13:D17)</f>
        <v>-95002638.777209669</v>
      </c>
      <c r="E19" s="1081">
        <f t="shared" si="1"/>
        <v>-95715926.081935018</v>
      </c>
      <c r="F19" s="1081">
        <f t="shared" si="1"/>
        <v>-96352651.188634694</v>
      </c>
      <c r="G19" s="1081">
        <f t="shared" si="1"/>
        <v>-96920565.95363012</v>
      </c>
      <c r="H19" s="1081">
        <f t="shared" si="1"/>
        <v>-97438130.681328073</v>
      </c>
      <c r="I19" s="1081">
        <f t="shared" si="1"/>
        <v>-97915427.562022075</v>
      </c>
      <c r="J19" s="1081">
        <f t="shared" si="1"/>
        <v>-98334055.22435002</v>
      </c>
      <c r="K19" s="1081">
        <f t="shared" si="1"/>
        <v>-98694848.825146288</v>
      </c>
      <c r="L19" s="1081">
        <f t="shared" si="1"/>
        <v>-98994994.511859939</v>
      </c>
      <c r="M19" s="1081">
        <f t="shared" si="1"/>
        <v>-99249299.028724715</v>
      </c>
      <c r="N19" s="1081">
        <f t="shared" si="1"/>
        <v>-99411328.081955284</v>
      </c>
      <c r="O19" s="1081">
        <f t="shared" si="1"/>
        <v>-99549218.220489979</v>
      </c>
      <c r="P19" s="1081">
        <f t="shared" si="1"/>
        <v>-99664910.470159709</v>
      </c>
      <c r="Q19" s="1103">
        <f>P19</f>
        <v>-99664910.470159709</v>
      </c>
      <c r="R19" s="492"/>
    </row>
    <row r="20" spans="1:18" ht="14.25" customHeight="1">
      <c r="A20" s="112">
        <f t="shared" si="0"/>
        <v>8</v>
      </c>
      <c r="B20" s="863"/>
      <c r="C20" s="80"/>
      <c r="D20" s="323"/>
      <c r="E20" s="323"/>
      <c r="F20" s="323"/>
      <c r="G20" s="323"/>
      <c r="H20" s="323"/>
      <c r="I20" s="326"/>
      <c r="J20" s="326"/>
      <c r="K20" s="326"/>
      <c r="L20" s="323"/>
      <c r="M20" s="364"/>
      <c r="N20" s="364"/>
      <c r="O20" s="364"/>
      <c r="P20" s="364"/>
      <c r="Q20" s="364"/>
    </row>
    <row r="21" spans="1:18" ht="15.75">
      <c r="A21" s="112">
        <f t="shared" si="0"/>
        <v>9</v>
      </c>
      <c r="B21" s="744" t="s">
        <v>213</v>
      </c>
      <c r="D21" s="326"/>
      <c r="E21" s="326"/>
      <c r="F21" s="326"/>
      <c r="G21" s="326"/>
      <c r="H21" s="326"/>
      <c r="I21" s="326"/>
      <c r="J21" s="326"/>
      <c r="K21" s="326"/>
      <c r="L21" s="326"/>
      <c r="M21" s="364"/>
      <c r="N21" s="364"/>
      <c r="O21" s="364"/>
      <c r="P21" s="364"/>
      <c r="Q21" s="364"/>
    </row>
    <row r="22" spans="1:18">
      <c r="A22" s="112">
        <f t="shared" si="0"/>
        <v>10</v>
      </c>
      <c r="C22" s="500" t="s">
        <v>668</v>
      </c>
      <c r="D22" s="290">
        <f>'[10]ADIT 002'!T76</f>
        <v>1003364749</v>
      </c>
      <c r="E22" s="290">
        <f>'[10]ADIT 002'!U76</f>
        <v>1003364749</v>
      </c>
      <c r="F22" s="290">
        <f>'[10]ADIT 002'!V76</f>
        <v>1003364749</v>
      </c>
      <c r="G22" s="290">
        <f>'[10]ADIT 002'!W76</f>
        <v>1003364749</v>
      </c>
      <c r="H22" s="290">
        <f>'[10]ADIT 002'!X76</f>
        <v>1003364749</v>
      </c>
      <c r="I22" s="290">
        <f>'[10]ADIT 002'!Y76</f>
        <v>1003364749</v>
      </c>
      <c r="J22" s="290">
        <f>'[10]ADIT 002'!Z76</f>
        <v>1003364749</v>
      </c>
      <c r="K22" s="290">
        <f>'[10]ADIT 002'!AA76</f>
        <v>1003364749</v>
      </c>
      <c r="L22" s="290">
        <f>'[10]ADIT 002'!AB76</f>
        <v>1003364749</v>
      </c>
      <c r="M22" s="290">
        <f>'[10]ADIT 002'!AC76</f>
        <v>1003364749</v>
      </c>
      <c r="N22" s="290">
        <f>'[10]ADIT 002'!AD76</f>
        <v>1003364749</v>
      </c>
      <c r="O22" s="290">
        <f>'[10]ADIT 002'!AE76</f>
        <v>1003364749</v>
      </c>
      <c r="P22" s="290">
        <f>'[10]ADIT 002'!AF76</f>
        <v>1003364749</v>
      </c>
      <c r="Q22" s="304">
        <f>P22</f>
        <v>1003364749</v>
      </c>
    </row>
    <row r="23" spans="1:18">
      <c r="A23" s="112">
        <f t="shared" si="0"/>
        <v>11</v>
      </c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64"/>
    </row>
    <row r="24" spans="1:18">
      <c r="A24" s="112">
        <f t="shared" si="0"/>
        <v>12</v>
      </c>
      <c r="C24" s="500" t="s">
        <v>669</v>
      </c>
      <c r="D24" s="323">
        <f>'[10]ADIT 002'!T77</f>
        <v>-19370913.198232818</v>
      </c>
      <c r="E24" s="323">
        <f>'[10]ADIT 002'!U77</f>
        <v>-19309490.402119536</v>
      </c>
      <c r="F24" s="323">
        <f>'[10]ADIT 002'!V77</f>
        <v>-19266157.897851486</v>
      </c>
      <c r="G24" s="323">
        <f>'[10]ADIT 002'!W77</f>
        <v>-19225743.312602736</v>
      </c>
      <c r="H24" s="323">
        <f>'[10]ADIT 002'!X77</f>
        <v>-19308082.323729638</v>
      </c>
      <c r="I24" s="323">
        <f>'[10]ADIT 002'!Y77</f>
        <v>-19367747.986940611</v>
      </c>
      <c r="J24" s="323">
        <f>'[10]ADIT 002'!Z77</f>
        <v>-19405967.971021533</v>
      </c>
      <c r="K24" s="323">
        <f>'[10]ADIT 002'!AA77</f>
        <v>-19438363.584506359</v>
      </c>
      <c r="L24" s="323">
        <f>'[10]ADIT 002'!AB77</f>
        <v>-19456292.751136247</v>
      </c>
      <c r="M24" s="323">
        <f>'[10]ADIT 002'!AC77</f>
        <v>-19474523.364474706</v>
      </c>
      <c r="N24" s="323">
        <f>'[10]ADIT 002'!AD77</f>
        <v>-19556558.571609706</v>
      </c>
      <c r="O24" s="323">
        <f>'[10]ADIT 002'!AE77</f>
        <v>-19569789.359498441</v>
      </c>
      <c r="P24" s="323">
        <f>'[10]ADIT 002'!AF77</f>
        <v>-19590408.37466174</v>
      </c>
      <c r="Q24" s="364">
        <f>P24</f>
        <v>-19590408.37466174</v>
      </c>
    </row>
    <row r="25" spans="1:18" ht="14.25" customHeight="1">
      <c r="A25" s="112">
        <f t="shared" si="0"/>
        <v>13</v>
      </c>
      <c r="B25" s="863"/>
      <c r="C25" s="80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64"/>
    </row>
    <row r="26" spans="1:18">
      <c r="A26" s="112">
        <f t="shared" si="0"/>
        <v>14</v>
      </c>
      <c r="C26" s="500" t="s">
        <v>670</v>
      </c>
      <c r="D26" s="323">
        <f>'[10]ADIT 002'!T78</f>
        <v>30739755.205077421</v>
      </c>
      <c r="E26" s="323">
        <f>'[10]ADIT 002'!U78</f>
        <v>30739755.205077421</v>
      </c>
      <c r="F26" s="323">
        <f>'[10]ADIT 002'!V78</f>
        <v>30739755.205077421</v>
      </c>
      <c r="G26" s="323">
        <f>'[10]ADIT 002'!W78</f>
        <v>30739755.205077421</v>
      </c>
      <c r="H26" s="323">
        <f>'[10]ADIT 002'!X78</f>
        <v>30739755.205077421</v>
      </c>
      <c r="I26" s="323">
        <f>'[10]ADIT 002'!Y78</f>
        <v>30739755.205077421</v>
      </c>
      <c r="J26" s="323">
        <f>'[10]ADIT 002'!Z78</f>
        <v>30739755.205077421</v>
      </c>
      <c r="K26" s="323">
        <f>'[10]ADIT 002'!AA78</f>
        <v>30739755.205077421</v>
      </c>
      <c r="L26" s="323">
        <f>'[10]ADIT 002'!AB78</f>
        <v>30739755.205077421</v>
      </c>
      <c r="M26" s="323">
        <f>'[10]ADIT 002'!AC78</f>
        <v>30739755.205077421</v>
      </c>
      <c r="N26" s="323">
        <f>'[10]ADIT 002'!AD78</f>
        <v>30739755.205077421</v>
      </c>
      <c r="O26" s="323">
        <f>'[10]ADIT 002'!AE78</f>
        <v>30739755.205077421</v>
      </c>
      <c r="P26" s="323">
        <f>'[10]ADIT 002'!AF78</f>
        <v>30739755.205077421</v>
      </c>
      <c r="Q26" s="364">
        <f>P26</f>
        <v>30739755.205077421</v>
      </c>
    </row>
    <row r="27" spans="1:18" ht="14.25" customHeight="1">
      <c r="A27" s="112">
        <f t="shared" si="0"/>
        <v>15</v>
      </c>
      <c r="B27" s="863"/>
      <c r="C27" s="80"/>
      <c r="D27" s="323"/>
      <c r="E27" s="323"/>
      <c r="F27" s="323"/>
      <c r="G27" s="323"/>
      <c r="H27" s="323"/>
      <c r="I27" s="326"/>
      <c r="J27" s="326"/>
      <c r="K27" s="326"/>
      <c r="L27" s="323"/>
      <c r="M27" s="364"/>
      <c r="N27" s="364"/>
      <c r="O27" s="364"/>
      <c r="P27" s="364"/>
      <c r="Q27" s="364"/>
    </row>
    <row r="28" spans="1:18">
      <c r="A28" s="112">
        <f t="shared" si="0"/>
        <v>16</v>
      </c>
      <c r="C28" s="690" t="s">
        <v>67</v>
      </c>
      <c r="D28" s="1081">
        <f t="shared" ref="D28:P28" si="2">SUM(D22:D26)</f>
        <v>1014733591.0068446</v>
      </c>
      <c r="E28" s="1081">
        <f t="shared" si="2"/>
        <v>1014795013.8029579</v>
      </c>
      <c r="F28" s="1081">
        <f t="shared" si="2"/>
        <v>1014838346.3072259</v>
      </c>
      <c r="G28" s="1081">
        <f t="shared" si="2"/>
        <v>1014878760.8924747</v>
      </c>
      <c r="H28" s="1081">
        <f t="shared" si="2"/>
        <v>1014796421.8813478</v>
      </c>
      <c r="I28" s="1081">
        <f t="shared" si="2"/>
        <v>1014736756.2181368</v>
      </c>
      <c r="J28" s="1081">
        <f t="shared" si="2"/>
        <v>1014698536.2340559</v>
      </c>
      <c r="K28" s="1081">
        <f t="shared" si="2"/>
        <v>1014666140.620571</v>
      </c>
      <c r="L28" s="1081">
        <f t="shared" si="2"/>
        <v>1014648211.4539411</v>
      </c>
      <c r="M28" s="1081">
        <f t="shared" si="2"/>
        <v>1014629980.8406028</v>
      </c>
      <c r="N28" s="1081">
        <f t="shared" si="2"/>
        <v>1014547945.6334677</v>
      </c>
      <c r="O28" s="1081">
        <f t="shared" si="2"/>
        <v>1014534714.8455789</v>
      </c>
      <c r="P28" s="1081">
        <f t="shared" si="2"/>
        <v>1014514095.8304157</v>
      </c>
      <c r="Q28" s="1103">
        <f>P28</f>
        <v>1014514095.8304157</v>
      </c>
      <c r="R28" s="492"/>
    </row>
    <row r="29" spans="1:18" ht="15.75">
      <c r="A29" s="112">
        <f t="shared" si="0"/>
        <v>17</v>
      </c>
      <c r="B29" s="744" t="s">
        <v>1098</v>
      </c>
      <c r="C29" s="690"/>
      <c r="D29" s="327"/>
      <c r="E29" s="327"/>
      <c r="F29" s="327"/>
      <c r="G29" s="328"/>
      <c r="H29" s="328"/>
      <c r="I29" s="328"/>
      <c r="J29" s="328"/>
      <c r="K29" s="328"/>
      <c r="L29" s="323"/>
      <c r="M29" s="364"/>
      <c r="N29" s="364"/>
      <c r="O29" s="364"/>
      <c r="P29" s="364"/>
      <c r="Q29" s="364"/>
    </row>
    <row r="30" spans="1:18">
      <c r="A30" s="112">
        <f t="shared" si="0"/>
        <v>18</v>
      </c>
      <c r="C30" s="500" t="s">
        <v>668</v>
      </c>
      <c r="D30" s="290">
        <f>'[10]ADIT 012'!T76</f>
        <v>-469726</v>
      </c>
      <c r="E30" s="290">
        <f>'[10]ADIT 012'!U76</f>
        <v>-469726</v>
      </c>
      <c r="F30" s="290">
        <f>'[10]ADIT 012'!V76</f>
        <v>-469726</v>
      </c>
      <c r="G30" s="290">
        <f>'[10]ADIT 012'!W76</f>
        <v>-469726</v>
      </c>
      <c r="H30" s="290">
        <f>'[10]ADIT 012'!X76</f>
        <v>-469726</v>
      </c>
      <c r="I30" s="290">
        <f>'[10]ADIT 012'!Y76</f>
        <v>-469726</v>
      </c>
      <c r="J30" s="290">
        <f>'[10]ADIT 012'!Z76</f>
        <v>-469726</v>
      </c>
      <c r="K30" s="290">
        <f>'[10]ADIT 012'!AA76</f>
        <v>-469726</v>
      </c>
      <c r="L30" s="290">
        <f>'[10]ADIT 012'!AB76</f>
        <v>-469726</v>
      </c>
      <c r="M30" s="290">
        <f>'[10]ADIT 012'!AC76</f>
        <v>-469726</v>
      </c>
      <c r="N30" s="290">
        <f>'[10]ADIT 012'!AD76</f>
        <v>-469726</v>
      </c>
      <c r="O30" s="290">
        <f>'[10]ADIT 012'!AE76</f>
        <v>-469726</v>
      </c>
      <c r="P30" s="290">
        <f>'[10]ADIT 012'!AF76</f>
        <v>-469726</v>
      </c>
      <c r="Q30" s="304">
        <f>P30</f>
        <v>-469726</v>
      </c>
    </row>
    <row r="31" spans="1:18">
      <c r="A31" s="112">
        <f t="shared" si="0"/>
        <v>19</v>
      </c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64"/>
    </row>
    <row r="32" spans="1:18">
      <c r="A32" s="112">
        <f t="shared" si="0"/>
        <v>20</v>
      </c>
      <c r="C32" s="500" t="s">
        <v>669</v>
      </c>
      <c r="D32" s="323">
        <f>'[10]ADIT 012'!T77</f>
        <v>-12025452.002340958</v>
      </c>
      <c r="E32" s="323">
        <f>'[10]ADIT 012'!U77</f>
        <v>-11849276.32520867</v>
      </c>
      <c r="F32" s="323">
        <f>'[10]ADIT 012'!V77</f>
        <v>-11707515.943750102</v>
      </c>
      <c r="G32" s="323">
        <f>'[10]ADIT 012'!W77</f>
        <v>-11561140.063861307</v>
      </c>
      <c r="H32" s="323">
        <f>'[10]ADIT 012'!X77</f>
        <v>-11432842.185323792</v>
      </c>
      <c r="I32" s="323">
        <f>'[10]ADIT 012'!Y77</f>
        <v>-11318392.675336812</v>
      </c>
      <c r="J32" s="323">
        <f>'[10]ADIT 012'!Z77</f>
        <v>-11219292.896402361</v>
      </c>
      <c r="K32" s="323">
        <f>'[10]ADIT 012'!AA77</f>
        <v>-11135088.848390456</v>
      </c>
      <c r="L32" s="323">
        <f>'[10]ADIT 012'!AB77</f>
        <v>-11066300.949247286</v>
      </c>
      <c r="M32" s="323">
        <f>'[10]ADIT 012'!AC77</f>
        <v>-11012547.645771392</v>
      </c>
      <c r="N32" s="323">
        <f>'[10]ADIT 012'!AD77</f>
        <v>-10975372.608281903</v>
      </c>
      <c r="O32" s="323">
        <f>'[10]ADIT 012'!AE77</f>
        <v>-10952678.359237906</v>
      </c>
      <c r="P32" s="323">
        <f>'[10]ADIT 012'!AF77</f>
        <v>-10946260.540675491</v>
      </c>
      <c r="Q32" s="364">
        <f>P32</f>
        <v>-10946260.540675491</v>
      </c>
    </row>
    <row r="33" spans="1:18">
      <c r="A33" s="112">
        <f t="shared" si="0"/>
        <v>21</v>
      </c>
      <c r="B33" s="863"/>
      <c r="C33" s="80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64"/>
    </row>
    <row r="34" spans="1:18">
      <c r="A34" s="112">
        <f t="shared" si="0"/>
        <v>22</v>
      </c>
      <c r="C34" s="500" t="s">
        <v>670</v>
      </c>
      <c r="D34" s="323">
        <f>'[10]ADIT 012'!T78</f>
        <v>195</v>
      </c>
      <c r="E34" s="323">
        <f>'[10]ADIT 012'!U78</f>
        <v>195</v>
      </c>
      <c r="F34" s="323">
        <f>'[10]ADIT 012'!V78</f>
        <v>195</v>
      </c>
      <c r="G34" s="323">
        <f>'[10]ADIT 012'!W78</f>
        <v>195</v>
      </c>
      <c r="H34" s="323">
        <f>'[10]ADIT 012'!X78</f>
        <v>195</v>
      </c>
      <c r="I34" s="323">
        <f>'[10]ADIT 012'!Y78</f>
        <v>195</v>
      </c>
      <c r="J34" s="323">
        <f>'[10]ADIT 012'!Z78</f>
        <v>195</v>
      </c>
      <c r="K34" s="323">
        <f>'[10]ADIT 012'!AA78</f>
        <v>195</v>
      </c>
      <c r="L34" s="323">
        <f>'[10]ADIT 012'!AB78</f>
        <v>195</v>
      </c>
      <c r="M34" s="323">
        <f>'[10]ADIT 012'!AC78</f>
        <v>195</v>
      </c>
      <c r="N34" s="323">
        <f>'[10]ADIT 012'!AD78</f>
        <v>195</v>
      </c>
      <c r="O34" s="323">
        <f>'[10]ADIT 012'!AE78</f>
        <v>195</v>
      </c>
      <c r="P34" s="323">
        <f>'[10]ADIT 012'!AF78</f>
        <v>195</v>
      </c>
      <c r="Q34" s="364">
        <f>P34</f>
        <v>195</v>
      </c>
    </row>
    <row r="35" spans="1:18">
      <c r="A35" s="112">
        <f t="shared" si="0"/>
        <v>23</v>
      </c>
      <c r="B35" s="863"/>
      <c r="C35" s="80"/>
      <c r="D35" s="323"/>
      <c r="E35" s="323"/>
      <c r="F35" s="323"/>
      <c r="G35" s="323"/>
      <c r="H35" s="323"/>
      <c r="I35" s="326"/>
      <c r="J35" s="326"/>
      <c r="K35" s="326"/>
      <c r="L35" s="323"/>
      <c r="M35" s="364"/>
      <c r="N35" s="364"/>
      <c r="O35" s="364"/>
      <c r="P35" s="364"/>
      <c r="Q35" s="364"/>
    </row>
    <row r="36" spans="1:18">
      <c r="A36" s="112">
        <f t="shared" si="0"/>
        <v>24</v>
      </c>
      <c r="C36" s="690" t="s">
        <v>713</v>
      </c>
      <c r="D36" s="1081">
        <f t="shared" ref="D36:P36" si="3">SUM(D30:D34)</f>
        <v>-12494983.002340958</v>
      </c>
      <c r="E36" s="1081">
        <f t="shared" si="3"/>
        <v>-12318807.32520867</v>
      </c>
      <c r="F36" s="1081">
        <f t="shared" si="3"/>
        <v>-12177046.943750102</v>
      </c>
      <c r="G36" s="1081">
        <f t="shared" si="3"/>
        <v>-12030671.063861307</v>
      </c>
      <c r="H36" s="1081">
        <f t="shared" si="3"/>
        <v>-11902373.185323792</v>
      </c>
      <c r="I36" s="1081">
        <f t="shared" si="3"/>
        <v>-11787923.675336812</v>
      </c>
      <c r="J36" s="1081">
        <f t="shared" si="3"/>
        <v>-11688823.896402361</v>
      </c>
      <c r="K36" s="1081">
        <f t="shared" si="3"/>
        <v>-11604619.848390456</v>
      </c>
      <c r="L36" s="1081">
        <f t="shared" si="3"/>
        <v>-11535831.949247286</v>
      </c>
      <c r="M36" s="1081">
        <f t="shared" si="3"/>
        <v>-11482078.645771392</v>
      </c>
      <c r="N36" s="1081">
        <f t="shared" si="3"/>
        <v>-11444903.608281903</v>
      </c>
      <c r="O36" s="1081">
        <f t="shared" si="3"/>
        <v>-11422209.359237906</v>
      </c>
      <c r="P36" s="1081">
        <f t="shared" si="3"/>
        <v>-11415791.540675491</v>
      </c>
      <c r="Q36" s="1103">
        <f>P36</f>
        <v>-11415791.540675491</v>
      </c>
      <c r="R36" s="492"/>
    </row>
    <row r="37" spans="1:18">
      <c r="A37" s="112">
        <f t="shared" si="0"/>
        <v>25</v>
      </c>
      <c r="C37" s="690"/>
      <c r="D37" s="323"/>
      <c r="E37" s="323"/>
      <c r="F37" s="323"/>
      <c r="G37" s="326"/>
      <c r="H37" s="326"/>
      <c r="I37" s="326"/>
      <c r="J37" s="326"/>
      <c r="K37" s="326"/>
      <c r="L37" s="323"/>
      <c r="M37" s="364"/>
      <c r="N37" s="364"/>
      <c r="O37" s="364"/>
      <c r="P37" s="364"/>
      <c r="Q37" s="364"/>
    </row>
    <row r="38" spans="1:18" ht="15.75">
      <c r="A38" s="112">
        <f t="shared" si="0"/>
        <v>26</v>
      </c>
      <c r="B38" s="744" t="s">
        <v>671</v>
      </c>
      <c r="D38" s="326"/>
      <c r="E38" s="326"/>
      <c r="F38" s="326"/>
      <c r="G38" s="326"/>
      <c r="H38" s="326"/>
      <c r="I38" s="326"/>
      <c r="J38" s="326"/>
      <c r="K38" s="326"/>
      <c r="L38" s="326"/>
      <c r="M38" s="364"/>
      <c r="N38" s="364"/>
      <c r="O38" s="364"/>
      <c r="P38" s="364"/>
      <c r="Q38" s="364"/>
    </row>
    <row r="39" spans="1:18">
      <c r="A39" s="112">
        <f t="shared" si="0"/>
        <v>27</v>
      </c>
      <c r="C39" s="500" t="s">
        <v>668</v>
      </c>
      <c r="D39" s="290">
        <f>'[10]ADIT 091'!T76</f>
        <v>-2447669</v>
      </c>
      <c r="E39" s="290">
        <f>'[10]ADIT 091'!U76</f>
        <v>-2447669</v>
      </c>
      <c r="F39" s="290">
        <f>'[10]ADIT 091'!V76</f>
        <v>-2447669</v>
      </c>
      <c r="G39" s="290">
        <f>'[10]ADIT 091'!W76</f>
        <v>-2447669</v>
      </c>
      <c r="H39" s="290">
        <f>'[10]ADIT 091'!X76</f>
        <v>-2447669</v>
      </c>
      <c r="I39" s="290">
        <f>'[10]ADIT 091'!Y76</f>
        <v>-2447669</v>
      </c>
      <c r="J39" s="290">
        <f>'[10]ADIT 091'!Z76</f>
        <v>-2447669</v>
      </c>
      <c r="K39" s="290">
        <f>'[10]ADIT 091'!AA76</f>
        <v>-2447669</v>
      </c>
      <c r="L39" s="290">
        <f>'[10]ADIT 091'!AB76</f>
        <v>-2447669</v>
      </c>
      <c r="M39" s="290">
        <f>'[10]ADIT 091'!AC76</f>
        <v>-2447669</v>
      </c>
      <c r="N39" s="290">
        <f>'[10]ADIT 091'!AD76</f>
        <v>-2447669</v>
      </c>
      <c r="O39" s="290">
        <f>'[10]ADIT 091'!AE76</f>
        <v>-2447669</v>
      </c>
      <c r="P39" s="290">
        <f>'[10]ADIT 091'!AF76</f>
        <v>-2447669</v>
      </c>
      <c r="Q39" s="304">
        <f>P39</f>
        <v>-2447669</v>
      </c>
    </row>
    <row r="40" spans="1:18">
      <c r="A40" s="112">
        <f t="shared" si="0"/>
        <v>28</v>
      </c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64"/>
    </row>
    <row r="41" spans="1:18">
      <c r="A41" s="112">
        <f t="shared" si="0"/>
        <v>29</v>
      </c>
      <c r="C41" s="500" t="s">
        <v>669</v>
      </c>
      <c r="D41" s="323">
        <f>'[10]ADIT 091'!T77</f>
        <v>-844746.88372479402</v>
      </c>
      <c r="E41" s="323">
        <f>'[10]ADIT 091'!U77</f>
        <v>-849682.35639394692</v>
      </c>
      <c r="F41" s="323">
        <f>'[10]ADIT 091'!V77</f>
        <v>-854194.18334042584</v>
      </c>
      <c r="G41" s="323">
        <f>'[10]ADIT 091'!W77</f>
        <v>-858268.24304014142</v>
      </c>
      <c r="H41" s="323">
        <f>'[10]ADIT 091'!X77</f>
        <v>-861904.53549309378</v>
      </c>
      <c r="I41" s="323">
        <f>'[10]ADIT 091'!Y77</f>
        <v>-865145.42214660509</v>
      </c>
      <c r="J41" s="323">
        <f>'[10]ADIT 091'!Z77</f>
        <v>-867948.54468919872</v>
      </c>
      <c r="K41" s="323">
        <f>'[10]ADIT 091'!AA77</f>
        <v>-870328.02150747087</v>
      </c>
      <c r="L41" s="323">
        <f>'[10]ADIT 091'!AB77</f>
        <v>-872269.73107727757</v>
      </c>
      <c r="M41" s="323">
        <f>'[10]ADIT 091'!AC77</f>
        <v>-873787.79858214874</v>
      </c>
      <c r="N41" s="323">
        <f>'[10]ADIT 091'!AD77</f>
        <v>-874971.38801466185</v>
      </c>
      <c r="O41" s="323">
        <f>'[10]ADIT 091'!AE77</f>
        <v>-875620.83315723611</v>
      </c>
      <c r="P41" s="323">
        <f>'[10]ADIT 091'!AF77</f>
        <v>-875857.58701797551</v>
      </c>
      <c r="Q41" s="364">
        <f>P41</f>
        <v>-875857.58701797551</v>
      </c>
    </row>
    <row r="42" spans="1:18">
      <c r="A42" s="112">
        <f t="shared" si="0"/>
        <v>30</v>
      </c>
      <c r="B42" s="687"/>
      <c r="C42" s="80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64"/>
    </row>
    <row r="43" spans="1:18">
      <c r="A43" s="112">
        <f t="shared" si="0"/>
        <v>31</v>
      </c>
      <c r="C43" s="500" t="s">
        <v>670</v>
      </c>
      <c r="D43" s="323">
        <f>'[10]ADIT 091'!T78</f>
        <v>-1307420</v>
      </c>
      <c r="E43" s="323">
        <f>'[10]ADIT 091'!U78</f>
        <v>-1307420</v>
      </c>
      <c r="F43" s="323">
        <f>'[10]ADIT 091'!V78</f>
        <v>-1307420</v>
      </c>
      <c r="G43" s="323">
        <f>'[10]ADIT 091'!W78</f>
        <v>-1307420</v>
      </c>
      <c r="H43" s="323">
        <f>'[10]ADIT 091'!X78</f>
        <v>-1307420</v>
      </c>
      <c r="I43" s="323">
        <f>'[10]ADIT 091'!Y78</f>
        <v>-1307420</v>
      </c>
      <c r="J43" s="323">
        <f>'[10]ADIT 091'!Z78</f>
        <v>-1307420</v>
      </c>
      <c r="K43" s="323">
        <f>'[10]ADIT 091'!AA78</f>
        <v>-1307420</v>
      </c>
      <c r="L43" s="323">
        <f>'[10]ADIT 091'!AB78</f>
        <v>-1307420</v>
      </c>
      <c r="M43" s="323">
        <f>'[10]ADIT 091'!AC78</f>
        <v>-1307420</v>
      </c>
      <c r="N43" s="323">
        <f>'[10]ADIT 091'!AD78</f>
        <v>-1307420</v>
      </c>
      <c r="O43" s="323">
        <f>'[10]ADIT 091'!AE78</f>
        <v>-1307420</v>
      </c>
      <c r="P43" s="323">
        <f>'[10]ADIT 091'!AF78</f>
        <v>-1307420</v>
      </c>
      <c r="Q43" s="364">
        <f>P43</f>
        <v>-1307420</v>
      </c>
    </row>
    <row r="44" spans="1:18">
      <c r="A44" s="112">
        <f t="shared" si="0"/>
        <v>32</v>
      </c>
      <c r="D44" s="323"/>
      <c r="E44" s="323"/>
      <c r="F44" s="323"/>
      <c r="G44" s="323"/>
      <c r="H44" s="323"/>
      <c r="I44" s="323"/>
      <c r="J44" s="323"/>
      <c r="K44" s="323"/>
      <c r="L44" s="323"/>
      <c r="M44" s="364"/>
      <c r="N44" s="364"/>
      <c r="O44" s="364"/>
      <c r="P44" s="364"/>
      <c r="Q44" s="364"/>
    </row>
    <row r="45" spans="1:18">
      <c r="A45" s="112">
        <f t="shared" si="0"/>
        <v>33</v>
      </c>
      <c r="C45" s="500" t="s">
        <v>435</v>
      </c>
      <c r="D45" s="323">
        <f>'WP B.5 B'!P45</f>
        <v>0</v>
      </c>
      <c r="E45" s="323">
        <f>D45</f>
        <v>0</v>
      </c>
      <c r="F45" s="323">
        <f t="shared" ref="F45:J45" si="4">E45</f>
        <v>0</v>
      </c>
      <c r="G45" s="323">
        <f t="shared" si="4"/>
        <v>0</v>
      </c>
      <c r="H45" s="323">
        <f t="shared" si="4"/>
        <v>0</v>
      </c>
      <c r="I45" s="323">
        <f t="shared" si="4"/>
        <v>0</v>
      </c>
      <c r="J45" s="323">
        <f t="shared" si="4"/>
        <v>0</v>
      </c>
      <c r="K45" s="323">
        <f t="shared" ref="K45:P45" si="5">J45</f>
        <v>0</v>
      </c>
      <c r="L45" s="323">
        <f t="shared" si="5"/>
        <v>0</v>
      </c>
      <c r="M45" s="323">
        <f t="shared" si="5"/>
        <v>0</v>
      </c>
      <c r="N45" s="323">
        <f t="shared" si="5"/>
        <v>0</v>
      </c>
      <c r="O45" s="323">
        <f t="shared" si="5"/>
        <v>0</v>
      </c>
      <c r="P45" s="323">
        <f t="shared" si="5"/>
        <v>0</v>
      </c>
      <c r="Q45" s="364">
        <f>0</f>
        <v>0</v>
      </c>
    </row>
    <row r="46" spans="1:18">
      <c r="A46" s="112">
        <f t="shared" si="0"/>
        <v>34</v>
      </c>
      <c r="B46" s="863"/>
      <c r="C46" s="80"/>
      <c r="D46" s="323"/>
      <c r="E46" s="323"/>
      <c r="F46" s="323"/>
      <c r="G46" s="323"/>
      <c r="H46" s="323"/>
      <c r="I46" s="326"/>
      <c r="J46" s="326"/>
      <c r="K46" s="326"/>
      <c r="L46" s="323"/>
      <c r="M46" s="364"/>
      <c r="N46" s="364"/>
      <c r="O46" s="364"/>
      <c r="P46" s="364"/>
      <c r="Q46" s="364"/>
    </row>
    <row r="47" spans="1:18">
      <c r="A47" s="112">
        <f t="shared" si="0"/>
        <v>35</v>
      </c>
      <c r="C47" s="690" t="s">
        <v>434</v>
      </c>
      <c r="D47" s="1081">
        <f>SUM(D39:D45)</f>
        <v>-4599835.8837247938</v>
      </c>
      <c r="E47" s="1081">
        <f t="shared" ref="E47:P47" si="6">SUM(E39:E45)</f>
        <v>-4604771.3563939463</v>
      </c>
      <c r="F47" s="1081">
        <f t="shared" si="6"/>
        <v>-4609283.1833404256</v>
      </c>
      <c r="G47" s="1081">
        <f t="shared" si="6"/>
        <v>-4613357.2430401416</v>
      </c>
      <c r="H47" s="1081">
        <f t="shared" si="6"/>
        <v>-4616993.5354930935</v>
      </c>
      <c r="I47" s="1081">
        <f t="shared" si="6"/>
        <v>-4620234.4221466053</v>
      </c>
      <c r="J47" s="1081">
        <f t="shared" si="6"/>
        <v>-4623037.544689199</v>
      </c>
      <c r="K47" s="1081">
        <f t="shared" si="6"/>
        <v>-4625417.0215074709</v>
      </c>
      <c r="L47" s="1081">
        <f t="shared" si="6"/>
        <v>-4627358.731077278</v>
      </c>
      <c r="M47" s="1081">
        <f t="shared" si="6"/>
        <v>-4628876.7985821487</v>
      </c>
      <c r="N47" s="1081">
        <f t="shared" si="6"/>
        <v>-4630060.3880146621</v>
      </c>
      <c r="O47" s="1081">
        <f t="shared" si="6"/>
        <v>-4630709.8331572358</v>
      </c>
      <c r="P47" s="1081">
        <f t="shared" si="6"/>
        <v>-4630946.5870179757</v>
      </c>
      <c r="Q47" s="1103">
        <f>P47</f>
        <v>-4630946.5870179757</v>
      </c>
      <c r="R47" s="492"/>
    </row>
    <row r="48" spans="1:18">
      <c r="A48" s="112">
        <f t="shared" si="0"/>
        <v>36</v>
      </c>
      <c r="D48" s="326"/>
      <c r="E48" s="326"/>
      <c r="F48" s="326"/>
      <c r="G48" s="326"/>
      <c r="H48" s="326"/>
      <c r="I48" s="326"/>
      <c r="J48" s="326"/>
      <c r="K48" s="326"/>
      <c r="L48" s="326"/>
      <c r="M48" s="364"/>
      <c r="N48" s="364"/>
      <c r="O48" s="364"/>
      <c r="P48" s="364"/>
      <c r="Q48" s="364"/>
    </row>
    <row r="49" spans="1:17" ht="15.75" thickBot="1">
      <c r="A49" s="112">
        <f t="shared" si="0"/>
        <v>37</v>
      </c>
      <c r="B49" s="66"/>
      <c r="C49" s="73" t="s">
        <v>95</v>
      </c>
      <c r="D49" s="1059">
        <f>D47+D36+D28+D19</f>
        <v>902636133.34356928</v>
      </c>
      <c r="E49" s="1059">
        <f t="shared" ref="E49:P49" si="7">E47+E36+E28+E19</f>
        <v>902155509.03942025</v>
      </c>
      <c r="F49" s="1059">
        <f t="shared" si="7"/>
        <v>901699364.99150062</v>
      </c>
      <c r="G49" s="1059">
        <f t="shared" si="7"/>
        <v>901314166.63194311</v>
      </c>
      <c r="H49" s="1059">
        <f t="shared" si="7"/>
        <v>900838924.47920287</v>
      </c>
      <c r="I49" s="1059">
        <f t="shared" si="7"/>
        <v>900413170.5586313</v>
      </c>
      <c r="J49" s="1059">
        <f t="shared" si="7"/>
        <v>900052619.56861436</v>
      </c>
      <c r="K49" s="1059">
        <f t="shared" si="7"/>
        <v>899741254.92552674</v>
      </c>
      <c r="L49" s="1059">
        <f t="shared" si="7"/>
        <v>899490026.26175666</v>
      </c>
      <c r="M49" s="1059">
        <f t="shared" si="7"/>
        <v>899269726.3675245</v>
      </c>
      <c r="N49" s="1059">
        <f t="shared" si="7"/>
        <v>899061653.55521584</v>
      </c>
      <c r="O49" s="1059">
        <f t="shared" si="7"/>
        <v>898932577.43269384</v>
      </c>
      <c r="P49" s="1059">
        <f t="shared" si="7"/>
        <v>898802447.23256254</v>
      </c>
      <c r="Q49" s="1059">
        <f>P49</f>
        <v>898802447.23256254</v>
      </c>
    </row>
    <row r="50" spans="1:17" ht="15.75" thickTop="1">
      <c r="A50" s="66"/>
      <c r="B50" s="66"/>
    </row>
    <row r="51" spans="1:17">
      <c r="A51" s="66"/>
      <c r="B51" s="66"/>
      <c r="C51" s="66" t="s">
        <v>679</v>
      </c>
    </row>
    <row r="52" spans="1:17">
      <c r="A52" s="66"/>
      <c r="B52" s="66"/>
      <c r="C52" s="1028" t="s">
        <v>1654</v>
      </c>
      <c r="D52" s="544"/>
    </row>
    <row r="53" spans="1:17">
      <c r="A53" s="66"/>
      <c r="B53" s="66"/>
    </row>
    <row r="58" spans="1:17">
      <c r="D58" s="665"/>
    </row>
    <row r="59" spans="1:17">
      <c r="C59" s="95"/>
      <c r="D59" s="665"/>
    </row>
    <row r="60" spans="1:17">
      <c r="C60" s="95"/>
      <c r="D60" s="864"/>
      <c r="H60" s="646"/>
    </row>
    <row r="61" spans="1:17">
      <c r="D61" s="665"/>
    </row>
    <row r="62" spans="1:17">
      <c r="C62" s="95"/>
      <c r="E62" s="95"/>
    </row>
    <row r="65" spans="3:4">
      <c r="C65" s="72"/>
    </row>
    <row r="66" spans="3:4">
      <c r="C66" s="72"/>
    </row>
    <row r="67" spans="3:4">
      <c r="C67" s="72"/>
    </row>
    <row r="68" spans="3:4">
      <c r="C68" s="72"/>
      <c r="D68" s="865"/>
    </row>
    <row r="69" spans="3:4">
      <c r="C69" s="72"/>
    </row>
    <row r="70" spans="3:4">
      <c r="C70" s="72"/>
      <c r="D70" s="864"/>
    </row>
    <row r="71" spans="3:4">
      <c r="C71" s="72"/>
    </row>
    <row r="72" spans="3:4">
      <c r="C72" s="72"/>
      <c r="D72" s="865"/>
    </row>
    <row r="73" spans="3:4">
      <c r="C73" s="72"/>
    </row>
    <row r="74" spans="3:4">
      <c r="C74" s="72"/>
    </row>
  </sheetData>
  <mergeCells count="4">
    <mergeCell ref="A1:Q1"/>
    <mergeCell ref="A2:Q2"/>
    <mergeCell ref="A3:Q3"/>
    <mergeCell ref="A4:Q4"/>
  </mergeCells>
  <phoneticPr fontId="21" type="noConversion"/>
  <printOptions horizontalCentered="1"/>
  <pageMargins left="0.38" right="0.34" top="0.84" bottom="1" header="0.5" footer="0.5"/>
  <pageSetup scale="41" orientation="landscape" verticalDpi="300" r:id="rId1"/>
  <headerFooter alignWithMargins="0">
    <oddFooter>&amp;R&amp;A
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382"/>
  <sheetViews>
    <sheetView view="pageBreakPreview" zoomScale="80" zoomScaleNormal="90" zoomScaleSheetLayoutView="80" workbookViewId="0">
      <selection sqref="A1:J1"/>
    </sheetView>
  </sheetViews>
  <sheetFormatPr defaultColWidth="8.88671875" defaultRowHeight="15"/>
  <cols>
    <col min="1" max="1" width="29.6640625" style="56" bestFit="1" customWidth="1"/>
    <col min="2" max="2" width="7.88671875" style="56" bestFit="1" customWidth="1"/>
    <col min="3" max="5" width="16.77734375" style="56" customWidth="1"/>
    <col min="6" max="6" width="2.77734375" style="56" customWidth="1"/>
    <col min="7" max="10" width="10.77734375" style="56" customWidth="1"/>
    <col min="11" max="16384" width="8.88671875" style="56"/>
  </cols>
  <sheetData>
    <row r="1" spans="1:10">
      <c r="A1" s="1272" t="str">
        <f>'Table of Contents'!A1:C1</f>
        <v>Atmos Energy Corporation, Kentucky/Mid-States Division</v>
      </c>
      <c r="B1" s="1272"/>
      <c r="C1" s="1272"/>
      <c r="D1" s="1272"/>
      <c r="E1" s="1272"/>
      <c r="F1" s="1272"/>
      <c r="G1" s="1272"/>
      <c r="H1" s="1272"/>
      <c r="I1" s="1272"/>
      <c r="J1" s="1272"/>
    </row>
    <row r="2" spans="1:10">
      <c r="A2" s="1273" t="str">
        <f>'Table of Contents'!A2:C2</f>
        <v>Kentucky Jurisdiction Case No. 2021-00214</v>
      </c>
      <c r="B2" s="1273"/>
      <c r="C2" s="1273"/>
      <c r="D2" s="1273"/>
      <c r="E2" s="1273"/>
      <c r="F2" s="1273"/>
      <c r="G2" s="1273"/>
      <c r="H2" s="1273"/>
      <c r="I2" s="1273"/>
      <c r="J2" s="1273"/>
    </row>
    <row r="3" spans="1:10">
      <c r="A3" s="1276" t="str">
        <f>'Table of Contents'!A3:C3</f>
        <v>Base Period: Twelve Months Ended September 30, 2021</v>
      </c>
      <c r="B3" s="1276"/>
      <c r="C3" s="1276"/>
      <c r="D3" s="1276"/>
      <c r="E3" s="1276"/>
      <c r="F3" s="1276"/>
      <c r="G3" s="1276"/>
      <c r="H3" s="1276"/>
      <c r="I3" s="1276"/>
      <c r="J3" s="1276"/>
    </row>
    <row r="4" spans="1:10">
      <c r="A4" s="1276" t="str">
        <f>'Table of Contents'!A4:C4</f>
        <v>Forecasted Test Period: Twelve Months Ended December 31, 2022</v>
      </c>
      <c r="B4" s="1276"/>
      <c r="C4" s="1276"/>
      <c r="D4" s="1276"/>
      <c r="E4" s="1276"/>
      <c r="F4" s="1276"/>
      <c r="G4" s="1276"/>
      <c r="H4" s="1276"/>
      <c r="I4" s="1276"/>
      <c r="J4" s="1276"/>
    </row>
    <row r="5" spans="1:10">
      <c r="A5" s="1276" t="s">
        <v>1520</v>
      </c>
      <c r="B5" s="1276"/>
      <c r="C5" s="1276"/>
      <c r="D5" s="1276"/>
      <c r="E5" s="1276"/>
      <c r="F5" s="1276"/>
      <c r="G5" s="1276"/>
      <c r="H5" s="1276"/>
      <c r="I5" s="1276"/>
      <c r="J5" s="1276"/>
    </row>
    <row r="7" spans="1:10" ht="15.75">
      <c r="B7" s="923"/>
      <c r="F7" s="923"/>
    </row>
    <row r="8" spans="1:10" ht="15.75">
      <c r="A8" s="94" t="s">
        <v>1521</v>
      </c>
      <c r="B8" s="1039"/>
      <c r="C8" s="1040"/>
      <c r="D8" s="941"/>
      <c r="E8" s="88"/>
      <c r="F8" s="88"/>
    </row>
    <row r="9" spans="1:10" ht="15.75">
      <c r="A9" s="94" t="s">
        <v>1522</v>
      </c>
      <c r="B9" s="1039"/>
      <c r="C9" s="1040"/>
      <c r="D9" s="941"/>
      <c r="E9" s="941"/>
      <c r="F9" s="941"/>
    </row>
    <row r="10" spans="1:10">
      <c r="C10" s="1040"/>
      <c r="F10" s="941"/>
    </row>
    <row r="11" spans="1:10" ht="15.75">
      <c r="A11" s="923" t="s">
        <v>1392</v>
      </c>
      <c r="B11" s="923"/>
      <c r="C11" s="1040"/>
      <c r="F11" s="941"/>
    </row>
    <row r="12" spans="1:10" ht="31.5">
      <c r="B12" s="1039"/>
      <c r="C12" s="1038" t="s">
        <v>1676</v>
      </c>
      <c r="D12" s="1038" t="s">
        <v>1677</v>
      </c>
      <c r="E12" s="1038" t="s">
        <v>1678</v>
      </c>
      <c r="F12" s="941"/>
    </row>
    <row r="13" spans="1:10">
      <c r="C13" s="1044">
        <f>E75</f>
        <v>-25000033.050892994</v>
      </c>
      <c r="D13" s="1105">
        <f>AVERAGE(E63:E75)</f>
        <v>-27703402.894221611</v>
      </c>
      <c r="E13" s="1105">
        <f>SUM(J64:J75)</f>
        <v>5406739.6866572108</v>
      </c>
      <c r="F13" s="941"/>
    </row>
    <row r="14" spans="1:10">
      <c r="B14" s="1039"/>
      <c r="D14" s="941"/>
      <c r="E14" s="941"/>
      <c r="F14" s="941"/>
    </row>
    <row r="15" spans="1:10">
      <c r="B15" s="1039"/>
      <c r="C15" s="1040"/>
      <c r="D15" s="941"/>
      <c r="E15" s="941"/>
      <c r="F15" s="941"/>
    </row>
    <row r="16" spans="1:10" ht="15.75">
      <c r="A16" s="1052" t="s">
        <v>1667</v>
      </c>
      <c r="B16" s="1039"/>
    </row>
    <row r="17" spans="1:10" ht="15.75">
      <c r="A17" s="94"/>
      <c r="B17" s="1039"/>
      <c r="C17" s="1274" t="s">
        <v>104</v>
      </c>
      <c r="D17" s="1274"/>
      <c r="E17" s="1274"/>
      <c r="G17" s="1274" t="s">
        <v>1544</v>
      </c>
      <c r="H17" s="1274"/>
      <c r="I17" s="1274"/>
      <c r="J17" s="1274"/>
    </row>
    <row r="18" spans="1:10" ht="30">
      <c r="B18" s="1039"/>
      <c r="C18" s="1045" t="s">
        <v>1670</v>
      </c>
      <c r="D18" s="1045" t="s">
        <v>1671</v>
      </c>
      <c r="E18" s="1041" t="s">
        <v>1673</v>
      </c>
      <c r="F18" s="1042"/>
      <c r="G18" s="1041" t="s">
        <v>1670</v>
      </c>
      <c r="H18" s="1041" t="s">
        <v>1671</v>
      </c>
      <c r="I18" s="1041" t="s">
        <v>1669</v>
      </c>
      <c r="J18" s="1041" t="s">
        <v>95</v>
      </c>
    </row>
    <row r="19" spans="1:10" ht="15.75">
      <c r="A19" s="1275" t="s">
        <v>1668</v>
      </c>
      <c r="B19" s="1275"/>
      <c r="C19" s="1044">
        <f>-'[10]KY Reg Liability Accelerated'!$C$34</f>
        <v>-5565572.5675896592</v>
      </c>
      <c r="D19" s="1044">
        <f>-'[10]KY Reg Liability Accelerated'!$D$34</f>
        <v>-30215187.485404596</v>
      </c>
      <c r="E19" s="1044">
        <f>C19+D19</f>
        <v>-35780760.052994251</v>
      </c>
    </row>
    <row r="20" spans="1:10">
      <c r="B20" s="1043">
        <v>43251</v>
      </c>
      <c r="C20" s="56">
        <f>C19+G20</f>
        <v>-5544490.8535192218</v>
      </c>
      <c r="D20" s="56">
        <f>D19+H20+I20</f>
        <v>-30113666.432113923</v>
      </c>
      <c r="E20" s="56">
        <f>C20+D20</f>
        <v>-35658157.285633147</v>
      </c>
      <c r="G20" s="56">
        <f>-'[10]KY Reg Liability Accelerated'!I35</f>
        <v>21081.714070437138</v>
      </c>
      <c r="H20" s="56">
        <f>-'[10]KY Reg Liability Accelerated'!J35</f>
        <v>101521.05329067397</v>
      </c>
      <c r="J20" s="56">
        <f>SUM(G20:I20)</f>
        <v>122602.76736111111</v>
      </c>
    </row>
    <row r="21" spans="1:10">
      <c r="B21" s="1043">
        <f>EOMONTH(B20,1)</f>
        <v>43281</v>
      </c>
      <c r="C21" s="56">
        <f t="shared" ref="C21:C84" si="0">C20+G21</f>
        <v>-5523409.1394487843</v>
      </c>
      <c r="D21" s="56">
        <f t="shared" ref="D21:D84" si="1">D20+H21+I21</f>
        <v>-30012145.378823251</v>
      </c>
      <c r="E21" s="56">
        <f t="shared" ref="E21:E84" si="2">C21+D21</f>
        <v>-35535554.518272035</v>
      </c>
      <c r="G21" s="56">
        <f>-'[10]KY Reg Liability Accelerated'!I36</f>
        <v>21081.714070437138</v>
      </c>
      <c r="H21" s="56">
        <f>-'[10]KY Reg Liability Accelerated'!J36</f>
        <v>101521.05329067397</v>
      </c>
      <c r="J21" s="56">
        <f t="shared" ref="J21:J84" si="3">SUM(G21:I21)</f>
        <v>122602.76736111111</v>
      </c>
    </row>
    <row r="22" spans="1:10">
      <c r="B22" s="1043">
        <f t="shared" ref="B22:B85" si="4">EOMONTH(B21,1)</f>
        <v>43312</v>
      </c>
      <c r="C22" s="56">
        <f t="shared" si="0"/>
        <v>-5502327.4253783468</v>
      </c>
      <c r="D22" s="56">
        <f t="shared" si="1"/>
        <v>-29910624.325532578</v>
      </c>
      <c r="E22" s="56">
        <f t="shared" si="2"/>
        <v>-35412951.750910923</v>
      </c>
      <c r="G22" s="56">
        <f>-'[10]KY Reg Liability Accelerated'!I37</f>
        <v>21081.714070437138</v>
      </c>
      <c r="H22" s="56">
        <f>-'[10]KY Reg Liability Accelerated'!J37</f>
        <v>101521.05329067397</v>
      </c>
      <c r="J22" s="56">
        <f t="shared" si="3"/>
        <v>122602.76736111111</v>
      </c>
    </row>
    <row r="23" spans="1:10">
      <c r="B23" s="1043">
        <f t="shared" si="4"/>
        <v>43343</v>
      </c>
      <c r="C23" s="56">
        <f t="shared" si="0"/>
        <v>-5481245.7113079093</v>
      </c>
      <c r="D23" s="56">
        <f t="shared" si="1"/>
        <v>-29809103.272241905</v>
      </c>
      <c r="E23" s="56">
        <f t="shared" si="2"/>
        <v>-35290348.983549818</v>
      </c>
      <c r="G23" s="56">
        <f>-'[10]KY Reg Liability Accelerated'!I38</f>
        <v>21081.714070437138</v>
      </c>
      <c r="H23" s="56">
        <f>-'[10]KY Reg Liability Accelerated'!J38</f>
        <v>101521.05329067397</v>
      </c>
      <c r="J23" s="56">
        <f t="shared" si="3"/>
        <v>122602.76736111111</v>
      </c>
    </row>
    <row r="24" spans="1:10">
      <c r="B24" s="1043">
        <f t="shared" si="4"/>
        <v>43373</v>
      </c>
      <c r="C24" s="56">
        <f t="shared" si="0"/>
        <v>-5460163.9972374719</v>
      </c>
      <c r="D24" s="56">
        <f t="shared" si="1"/>
        <v>-29707582.218951233</v>
      </c>
      <c r="E24" s="56">
        <f t="shared" si="2"/>
        <v>-35167746.216188706</v>
      </c>
      <c r="G24" s="56">
        <f>-'[10]KY Reg Liability Accelerated'!I39</f>
        <v>21081.714070437138</v>
      </c>
      <c r="H24" s="56">
        <f>-'[10]KY Reg Liability Accelerated'!J39</f>
        <v>101521.05329067397</v>
      </c>
      <c r="J24" s="56">
        <f t="shared" si="3"/>
        <v>122602.76736111111</v>
      </c>
    </row>
    <row r="25" spans="1:10">
      <c r="B25" s="1043">
        <f t="shared" si="4"/>
        <v>43404</v>
      </c>
      <c r="C25" s="56">
        <f t="shared" si="0"/>
        <v>-5439082.2831670344</v>
      </c>
      <c r="D25" s="56">
        <f t="shared" si="1"/>
        <v>-29606061.16566056</v>
      </c>
      <c r="E25" s="56">
        <f t="shared" si="2"/>
        <v>-35045143.448827595</v>
      </c>
      <c r="G25" s="56">
        <f>-'[10]KY Reg Liability Accelerated'!I40</f>
        <v>21081.714070437138</v>
      </c>
      <c r="H25" s="56">
        <f>-'[10]KY Reg Liability Accelerated'!J40</f>
        <v>101521.05329067397</v>
      </c>
      <c r="J25" s="56">
        <f t="shared" si="3"/>
        <v>122602.76736111111</v>
      </c>
    </row>
    <row r="26" spans="1:10">
      <c r="B26" s="1043">
        <f t="shared" si="4"/>
        <v>43434</v>
      </c>
      <c r="C26" s="56">
        <f t="shared" si="0"/>
        <v>-5418000.5690965969</v>
      </c>
      <c r="D26" s="56">
        <f t="shared" si="1"/>
        <v>-29504540.112369888</v>
      </c>
      <c r="E26" s="56">
        <f t="shared" si="2"/>
        <v>-34922540.681466483</v>
      </c>
      <c r="G26" s="56">
        <f>-'[10]KY Reg Liability Accelerated'!I41</f>
        <v>21081.714070437138</v>
      </c>
      <c r="H26" s="56">
        <f>-'[10]KY Reg Liability Accelerated'!J41</f>
        <v>101521.05329067397</v>
      </c>
      <c r="J26" s="56">
        <f t="shared" si="3"/>
        <v>122602.76736111111</v>
      </c>
    </row>
    <row r="27" spans="1:10">
      <c r="B27" s="1043">
        <f t="shared" si="4"/>
        <v>43465</v>
      </c>
      <c r="C27" s="56">
        <f t="shared" si="0"/>
        <v>-5396918.8550261594</v>
      </c>
      <c r="D27" s="56">
        <f t="shared" si="1"/>
        <v>-29403019.059079215</v>
      </c>
      <c r="E27" s="56">
        <f t="shared" si="2"/>
        <v>-34799937.914105371</v>
      </c>
      <c r="G27" s="56">
        <f>-'[10]KY Reg Liability Accelerated'!I42</f>
        <v>21081.714070437138</v>
      </c>
      <c r="H27" s="56">
        <f>-'[10]KY Reg Liability Accelerated'!J42</f>
        <v>101521.05329067397</v>
      </c>
      <c r="J27" s="56">
        <f t="shared" si="3"/>
        <v>122602.76736111111</v>
      </c>
    </row>
    <row r="28" spans="1:10">
      <c r="B28" s="1043">
        <f t="shared" si="4"/>
        <v>43496</v>
      </c>
      <c r="C28" s="56">
        <f t="shared" si="0"/>
        <v>-5375837.140955722</v>
      </c>
      <c r="D28" s="56">
        <f t="shared" si="1"/>
        <v>-29301498.005788542</v>
      </c>
      <c r="E28" s="56">
        <f t="shared" si="2"/>
        <v>-34677335.146744266</v>
      </c>
      <c r="G28" s="56">
        <f>-'[10]KY Reg Liability Accelerated'!I43</f>
        <v>21081.714070437138</v>
      </c>
      <c r="H28" s="56">
        <f>-'[10]KY Reg Liability Accelerated'!J43</f>
        <v>101521.05329067397</v>
      </c>
      <c r="J28" s="56">
        <f t="shared" si="3"/>
        <v>122602.76736111111</v>
      </c>
    </row>
    <row r="29" spans="1:10">
      <c r="B29" s="1043">
        <f t="shared" si="4"/>
        <v>43524</v>
      </c>
      <c r="C29" s="56">
        <f t="shared" si="0"/>
        <v>-5354755.4268852845</v>
      </c>
      <c r="D29" s="56">
        <f t="shared" si="1"/>
        <v>-29199976.95249787</v>
      </c>
      <c r="E29" s="56">
        <f t="shared" si="2"/>
        <v>-34554732.379383154</v>
      </c>
      <c r="G29" s="56">
        <f>-'[10]KY Reg Liability Accelerated'!I44</f>
        <v>21081.714070437138</v>
      </c>
      <c r="H29" s="56">
        <f>-'[10]KY Reg Liability Accelerated'!J44</f>
        <v>101521.05329067397</v>
      </c>
      <c r="J29" s="56">
        <f t="shared" si="3"/>
        <v>122602.76736111111</v>
      </c>
    </row>
    <row r="30" spans="1:10">
      <c r="B30" s="1043">
        <f t="shared" si="4"/>
        <v>43555</v>
      </c>
      <c r="C30" s="56">
        <f t="shared" si="0"/>
        <v>-5333673.712814847</v>
      </c>
      <c r="D30" s="56">
        <f t="shared" si="1"/>
        <v>-29098455.899207197</v>
      </c>
      <c r="E30" s="56">
        <f t="shared" si="2"/>
        <v>-34432129.612022042</v>
      </c>
      <c r="G30" s="56">
        <f>-'[10]KY Reg Liability Accelerated'!I45</f>
        <v>21081.714070437138</v>
      </c>
      <c r="H30" s="56">
        <f>-'[10]KY Reg Liability Accelerated'!J45</f>
        <v>101521.05329067397</v>
      </c>
      <c r="J30" s="56">
        <f t="shared" si="3"/>
        <v>122602.76736111111</v>
      </c>
    </row>
    <row r="31" spans="1:10">
      <c r="A31" s="1051" t="s">
        <v>1674</v>
      </c>
      <c r="B31" s="1048">
        <f t="shared" si="4"/>
        <v>43585</v>
      </c>
      <c r="C31" s="1049">
        <f t="shared" si="0"/>
        <v>-5312591.9987444095</v>
      </c>
      <c r="D31" s="1049">
        <f t="shared" si="1"/>
        <v>-28997557.101930004</v>
      </c>
      <c r="E31" s="1049">
        <f t="shared" si="2"/>
        <v>-34310149.100674413</v>
      </c>
      <c r="F31" s="1049"/>
      <c r="G31" s="1049">
        <f>-'[10]KY Reg Liability Accelerated'!I46</f>
        <v>21081.714070437138</v>
      </c>
      <c r="H31" s="1049">
        <f>-'[10]KY Reg Liability Accelerated'!J46</f>
        <v>100898.7972771927</v>
      </c>
      <c r="I31" s="1049"/>
      <c r="J31" s="1049">
        <f t="shared" si="3"/>
        <v>121980.51134762984</v>
      </c>
    </row>
    <row r="32" spans="1:10">
      <c r="B32" s="1043">
        <f t="shared" si="4"/>
        <v>43616</v>
      </c>
      <c r="C32" s="56">
        <f t="shared" si="0"/>
        <v>-5291510.2846739721</v>
      </c>
      <c r="D32" s="56">
        <f t="shared" si="1"/>
        <v>-28896658.30465281</v>
      </c>
      <c r="E32" s="56">
        <f t="shared" si="2"/>
        <v>-34188168.589326784</v>
      </c>
      <c r="G32" s="56">
        <f>-'[10]KY Reg Liability Accelerated'!I47</f>
        <v>21081.714070437138</v>
      </c>
      <c r="H32" s="56">
        <f>-'[10]KY Reg Liability Accelerated'!J47</f>
        <v>100898.7972771927</v>
      </c>
      <c r="J32" s="56">
        <f t="shared" si="3"/>
        <v>121980.51134762984</v>
      </c>
    </row>
    <row r="33" spans="2:10">
      <c r="B33" s="1043">
        <f t="shared" si="4"/>
        <v>43646</v>
      </c>
      <c r="C33" s="56">
        <f t="shared" si="0"/>
        <v>-5270428.5706035346</v>
      </c>
      <c r="D33" s="56">
        <f t="shared" si="1"/>
        <v>-28795759.507375617</v>
      </c>
      <c r="E33" s="56">
        <f t="shared" si="2"/>
        <v>-34066188.077979147</v>
      </c>
      <c r="G33" s="56">
        <f>-'[10]KY Reg Liability Accelerated'!I48</f>
        <v>21081.714070437138</v>
      </c>
      <c r="H33" s="56">
        <f>-'[10]KY Reg Liability Accelerated'!J48</f>
        <v>100898.7972771927</v>
      </c>
      <c r="J33" s="56">
        <f t="shared" si="3"/>
        <v>121980.51134762984</v>
      </c>
    </row>
    <row r="34" spans="2:10">
      <c r="B34" s="1043">
        <f t="shared" si="4"/>
        <v>43677</v>
      </c>
      <c r="C34" s="56">
        <f t="shared" si="0"/>
        <v>-5249346.8565330971</v>
      </c>
      <c r="D34" s="56">
        <f t="shared" si="1"/>
        <v>-28694860.710098423</v>
      </c>
      <c r="E34" s="56">
        <f t="shared" si="2"/>
        <v>-33944207.566631518</v>
      </c>
      <c r="G34" s="56">
        <f>-'[10]KY Reg Liability Accelerated'!I49</f>
        <v>21081.714070437138</v>
      </c>
      <c r="H34" s="56">
        <f>-'[10]KY Reg Liability Accelerated'!J49</f>
        <v>100898.7972771927</v>
      </c>
      <c r="J34" s="56">
        <f t="shared" si="3"/>
        <v>121980.51134762984</v>
      </c>
    </row>
    <row r="35" spans="2:10">
      <c r="B35" s="1043">
        <f t="shared" si="4"/>
        <v>43708</v>
      </c>
      <c r="C35" s="56">
        <f t="shared" si="0"/>
        <v>-5228265.1424626596</v>
      </c>
      <c r="D35" s="56">
        <f t="shared" si="1"/>
        <v>-28593961.91282123</v>
      </c>
      <c r="E35" s="56">
        <f t="shared" si="2"/>
        <v>-33822227.055283889</v>
      </c>
      <c r="G35" s="56">
        <f>-'[10]KY Reg Liability Accelerated'!I50</f>
        <v>21081.714070437138</v>
      </c>
      <c r="H35" s="56">
        <f>-'[10]KY Reg Liability Accelerated'!J50</f>
        <v>100898.7972771927</v>
      </c>
      <c r="J35" s="56">
        <f t="shared" si="3"/>
        <v>121980.51134762984</v>
      </c>
    </row>
    <row r="36" spans="2:10">
      <c r="B36" s="1043">
        <f t="shared" si="4"/>
        <v>43738</v>
      </c>
      <c r="C36" s="56">
        <f t="shared" si="0"/>
        <v>-5207183.4283922222</v>
      </c>
      <c r="D36" s="56">
        <f t="shared" si="1"/>
        <v>-28493063.115544036</v>
      </c>
      <c r="E36" s="56">
        <f t="shared" si="2"/>
        <v>-33700246.54393626</v>
      </c>
      <c r="G36" s="56">
        <f>-'[10]KY Reg Liability Accelerated'!I51</f>
        <v>21081.714070437138</v>
      </c>
      <c r="H36" s="56">
        <f>-'[10]KY Reg Liability Accelerated'!J51</f>
        <v>100898.7972771927</v>
      </c>
      <c r="J36" s="56">
        <f t="shared" si="3"/>
        <v>121980.51134762984</v>
      </c>
    </row>
    <row r="37" spans="2:10">
      <c r="B37" s="1043">
        <f t="shared" si="4"/>
        <v>43769</v>
      </c>
      <c r="C37" s="56">
        <f t="shared" si="0"/>
        <v>-5186101.7143217847</v>
      </c>
      <c r="D37" s="56">
        <f t="shared" si="1"/>
        <v>-28392164.318266843</v>
      </c>
      <c r="E37" s="56">
        <f t="shared" si="2"/>
        <v>-33578266.032588631</v>
      </c>
      <c r="G37" s="56">
        <f>-'[10]KY Reg Liability Accelerated'!I52</f>
        <v>21081.714070437138</v>
      </c>
      <c r="H37" s="56">
        <f>-'[10]KY Reg Liability Accelerated'!J52</f>
        <v>100898.7972771927</v>
      </c>
      <c r="J37" s="56">
        <f t="shared" si="3"/>
        <v>121980.51134762984</v>
      </c>
    </row>
    <row r="38" spans="2:10">
      <c r="B38" s="1043">
        <f t="shared" si="4"/>
        <v>43799</v>
      </c>
      <c r="C38" s="56">
        <f t="shared" si="0"/>
        <v>-5165020.0002513472</v>
      </c>
      <c r="D38" s="56">
        <f t="shared" si="1"/>
        <v>-28291265.520989649</v>
      </c>
      <c r="E38" s="56">
        <f t="shared" si="2"/>
        <v>-33456285.521240994</v>
      </c>
      <c r="G38" s="56">
        <f>-'[10]KY Reg Liability Accelerated'!I53</f>
        <v>21081.714070437138</v>
      </c>
      <c r="H38" s="56">
        <f>-'[10]KY Reg Liability Accelerated'!J53</f>
        <v>100898.7972771927</v>
      </c>
      <c r="J38" s="56">
        <f t="shared" si="3"/>
        <v>121980.51134762984</v>
      </c>
    </row>
    <row r="39" spans="2:10">
      <c r="B39" s="1043">
        <f t="shared" si="4"/>
        <v>43830</v>
      </c>
      <c r="C39" s="56">
        <f t="shared" si="0"/>
        <v>-5143938.2861809097</v>
      </c>
      <c r="D39" s="56">
        <f t="shared" si="1"/>
        <v>-28190366.723712455</v>
      </c>
      <c r="E39" s="56">
        <f t="shared" si="2"/>
        <v>-33334305.009893365</v>
      </c>
      <c r="G39" s="56">
        <f>-'[10]KY Reg Liability Accelerated'!I54</f>
        <v>21081.714070437138</v>
      </c>
      <c r="H39" s="56">
        <f>-'[10]KY Reg Liability Accelerated'!J54</f>
        <v>100898.7972771927</v>
      </c>
      <c r="J39" s="56">
        <f t="shared" si="3"/>
        <v>121980.51134762984</v>
      </c>
    </row>
    <row r="40" spans="2:10">
      <c r="B40" s="1043">
        <f t="shared" si="4"/>
        <v>43861</v>
      </c>
      <c r="C40" s="56">
        <f t="shared" si="0"/>
        <v>-5122856.5721104722</v>
      </c>
      <c r="D40" s="56">
        <f t="shared" si="1"/>
        <v>-28089467.926435262</v>
      </c>
      <c r="E40" s="56">
        <f t="shared" si="2"/>
        <v>-33212324.498545736</v>
      </c>
      <c r="G40" s="56">
        <f>-'[10]KY Reg Liability Accelerated'!I55</f>
        <v>21081.714070437138</v>
      </c>
      <c r="H40" s="56">
        <f>-'[10]KY Reg Liability Accelerated'!J55</f>
        <v>100898.7972771927</v>
      </c>
      <c r="J40" s="56">
        <f t="shared" si="3"/>
        <v>121980.51134762984</v>
      </c>
    </row>
    <row r="41" spans="2:10">
      <c r="B41" s="1043">
        <f t="shared" si="4"/>
        <v>43890</v>
      </c>
      <c r="C41" s="56">
        <f t="shared" si="0"/>
        <v>-5101774.8580400348</v>
      </c>
      <c r="D41" s="56">
        <f t="shared" si="1"/>
        <v>-27988569.129158068</v>
      </c>
      <c r="E41" s="56">
        <f t="shared" si="2"/>
        <v>-33090343.987198103</v>
      </c>
      <c r="G41" s="56">
        <f>-'[10]KY Reg Liability Accelerated'!I56</f>
        <v>21081.714070437138</v>
      </c>
      <c r="H41" s="56">
        <f>-'[10]KY Reg Liability Accelerated'!J56</f>
        <v>100898.7972771927</v>
      </c>
      <c r="J41" s="56">
        <f t="shared" si="3"/>
        <v>121980.51134762984</v>
      </c>
    </row>
    <row r="42" spans="2:10">
      <c r="B42" s="1043">
        <f t="shared" si="4"/>
        <v>43921</v>
      </c>
      <c r="C42" s="56">
        <f t="shared" si="0"/>
        <v>-5080693.1439695973</v>
      </c>
      <c r="D42" s="56">
        <f t="shared" si="1"/>
        <v>-27887670.331880875</v>
      </c>
      <c r="E42" s="56">
        <f t="shared" si="2"/>
        <v>-32968363.47585047</v>
      </c>
      <c r="G42" s="56">
        <f>-'[10]KY Reg Liability Accelerated'!I57</f>
        <v>21081.714070437138</v>
      </c>
      <c r="H42" s="56">
        <f>-'[10]KY Reg Liability Accelerated'!J57</f>
        <v>100898.7972771927</v>
      </c>
      <c r="J42" s="56">
        <f t="shared" si="3"/>
        <v>121980.51134762984</v>
      </c>
    </row>
    <row r="43" spans="2:10">
      <c r="B43" s="1043">
        <f t="shared" si="4"/>
        <v>43951</v>
      </c>
      <c r="C43" s="56">
        <f t="shared" si="0"/>
        <v>-5059611.4298991598</v>
      </c>
      <c r="D43" s="56">
        <f t="shared" si="1"/>
        <v>-27786771.534603681</v>
      </c>
      <c r="E43" s="56">
        <f t="shared" si="2"/>
        <v>-32846382.964502841</v>
      </c>
      <c r="G43" s="56">
        <f>-'[10]KY Reg Liability Accelerated'!I58</f>
        <v>21081.714070437138</v>
      </c>
      <c r="H43" s="56">
        <f>-'[10]KY Reg Liability Accelerated'!J58</f>
        <v>100898.7972771927</v>
      </c>
      <c r="J43" s="56">
        <f t="shared" si="3"/>
        <v>121980.51134762984</v>
      </c>
    </row>
    <row r="44" spans="2:10">
      <c r="B44" s="1043">
        <f t="shared" si="4"/>
        <v>43982</v>
      </c>
      <c r="C44" s="56">
        <f t="shared" si="0"/>
        <v>-5038529.7158287223</v>
      </c>
      <c r="D44" s="56">
        <f t="shared" si="1"/>
        <v>-27685872.737326488</v>
      </c>
      <c r="E44" s="56">
        <f t="shared" si="2"/>
        <v>-32724402.453155212</v>
      </c>
      <c r="G44" s="56">
        <f>-'[10]KY Reg Liability Accelerated'!I59</f>
        <v>21081.714070437138</v>
      </c>
      <c r="H44" s="56">
        <f>-'[10]KY Reg Liability Accelerated'!J59</f>
        <v>100898.7972771927</v>
      </c>
      <c r="J44" s="56">
        <f t="shared" si="3"/>
        <v>121980.51134762984</v>
      </c>
    </row>
    <row r="45" spans="2:10">
      <c r="B45" s="1043">
        <f t="shared" si="4"/>
        <v>44012</v>
      </c>
      <c r="C45" s="56">
        <f t="shared" si="0"/>
        <v>-5017448.0017582849</v>
      </c>
      <c r="D45" s="56">
        <f t="shared" si="1"/>
        <v>-27584973.940049294</v>
      </c>
      <c r="E45" s="56">
        <f t="shared" si="2"/>
        <v>-32602421.941807579</v>
      </c>
      <c r="G45" s="56">
        <f>-'[10]KY Reg Liability Accelerated'!I60</f>
        <v>21081.714070437138</v>
      </c>
      <c r="H45" s="56">
        <f>-'[10]KY Reg Liability Accelerated'!J60</f>
        <v>100898.7972771927</v>
      </c>
      <c r="J45" s="56">
        <f t="shared" si="3"/>
        <v>121980.51134762984</v>
      </c>
    </row>
    <row r="46" spans="2:10">
      <c r="B46" s="1043">
        <f t="shared" si="4"/>
        <v>44043</v>
      </c>
      <c r="C46" s="56">
        <f t="shared" si="0"/>
        <v>-4996366.2876878474</v>
      </c>
      <c r="D46" s="56">
        <f t="shared" si="1"/>
        <v>-27484075.142772101</v>
      </c>
      <c r="E46" s="56">
        <f t="shared" si="2"/>
        <v>-32480441.430459946</v>
      </c>
      <c r="G46" s="56">
        <f>-'[10]KY Reg Liability Accelerated'!I61</f>
        <v>21081.714070437138</v>
      </c>
      <c r="H46" s="56">
        <f>-'[10]KY Reg Liability Accelerated'!J61</f>
        <v>100898.7972771927</v>
      </c>
      <c r="J46" s="56">
        <f t="shared" si="3"/>
        <v>121980.51134762984</v>
      </c>
    </row>
    <row r="47" spans="2:10">
      <c r="B47" s="1043">
        <f t="shared" si="4"/>
        <v>44074</v>
      </c>
      <c r="C47" s="56">
        <f t="shared" si="0"/>
        <v>-4975284.5736174099</v>
      </c>
      <c r="D47" s="56">
        <f t="shared" si="1"/>
        <v>-27383176.345494907</v>
      </c>
      <c r="E47" s="56">
        <f t="shared" si="2"/>
        <v>-32358460.919112317</v>
      </c>
      <c r="G47" s="56">
        <f>-'[10]KY Reg Liability Accelerated'!I62</f>
        <v>21081.714070437138</v>
      </c>
      <c r="H47" s="56">
        <f>-'[10]KY Reg Liability Accelerated'!J62</f>
        <v>100898.7972771927</v>
      </c>
      <c r="J47" s="56">
        <f t="shared" si="3"/>
        <v>121980.51134762984</v>
      </c>
    </row>
    <row r="48" spans="2:10">
      <c r="B48" s="1043">
        <f t="shared" si="4"/>
        <v>44104</v>
      </c>
      <c r="C48" s="56">
        <f t="shared" si="0"/>
        <v>-4954202.8595469724</v>
      </c>
      <c r="D48" s="56">
        <f t="shared" si="1"/>
        <v>-27282277.548217714</v>
      </c>
      <c r="E48" s="56">
        <f t="shared" si="2"/>
        <v>-32236480.407764688</v>
      </c>
      <c r="G48" s="56">
        <f>-'[10]KY Reg Liability Accelerated'!I63</f>
        <v>21081.714070437138</v>
      </c>
      <c r="H48" s="56">
        <f>-'[10]KY Reg Liability Accelerated'!J63</f>
        <v>100898.7972771927</v>
      </c>
      <c r="J48" s="56">
        <f t="shared" si="3"/>
        <v>121980.51134762984</v>
      </c>
    </row>
    <row r="49" spans="1:10">
      <c r="B49" s="1043">
        <f t="shared" si="4"/>
        <v>44135</v>
      </c>
      <c r="C49" s="56">
        <f t="shared" si="0"/>
        <v>-4933121.145476535</v>
      </c>
      <c r="D49" s="56">
        <f t="shared" si="1"/>
        <v>-27181378.75094052</v>
      </c>
      <c r="E49" s="56">
        <f t="shared" si="2"/>
        <v>-32114499.896417055</v>
      </c>
      <c r="G49" s="56">
        <f>-'[10]KY Reg Liability Accelerated'!I64</f>
        <v>21081.714070437138</v>
      </c>
      <c r="H49" s="56">
        <f>-'[10]KY Reg Liability Accelerated'!J64</f>
        <v>100898.7972771927</v>
      </c>
      <c r="J49" s="56">
        <f t="shared" si="3"/>
        <v>121980.51134762984</v>
      </c>
    </row>
    <row r="50" spans="1:10">
      <c r="B50" s="1043">
        <f t="shared" si="4"/>
        <v>44165</v>
      </c>
      <c r="C50" s="56">
        <f t="shared" si="0"/>
        <v>-4912039.4314060975</v>
      </c>
      <c r="D50" s="56">
        <f t="shared" si="1"/>
        <v>-27080479.953663327</v>
      </c>
      <c r="E50" s="56">
        <f t="shared" si="2"/>
        <v>-31992519.385069422</v>
      </c>
      <c r="G50" s="56">
        <f>-'[10]KY Reg Liability Accelerated'!I65</f>
        <v>21081.714070437138</v>
      </c>
      <c r="H50" s="56">
        <f>-'[10]KY Reg Liability Accelerated'!J65</f>
        <v>100898.7972771927</v>
      </c>
      <c r="J50" s="56">
        <f t="shared" si="3"/>
        <v>121980.51134762984</v>
      </c>
    </row>
    <row r="51" spans="1:10">
      <c r="B51" s="1043">
        <f t="shared" si="4"/>
        <v>44196</v>
      </c>
      <c r="C51" s="56">
        <f t="shared" si="0"/>
        <v>-4890957.71733566</v>
      </c>
      <c r="D51" s="56">
        <f t="shared" si="1"/>
        <v>-26979581.156386133</v>
      </c>
      <c r="E51" s="56">
        <f t="shared" si="2"/>
        <v>-31870538.873721793</v>
      </c>
      <c r="G51" s="56">
        <f>-'[10]KY Reg Liability Accelerated'!I66</f>
        <v>21081.714070437138</v>
      </c>
      <c r="H51" s="56">
        <f>-'[10]KY Reg Liability Accelerated'!J66</f>
        <v>100898.7972771927</v>
      </c>
      <c r="J51" s="56">
        <f t="shared" si="3"/>
        <v>121980.51134762984</v>
      </c>
    </row>
    <row r="52" spans="1:10">
      <c r="B52" s="1043">
        <f t="shared" si="4"/>
        <v>44227</v>
      </c>
      <c r="C52" s="56">
        <f t="shared" si="0"/>
        <v>-4869876.0032652225</v>
      </c>
      <c r="D52" s="56">
        <f t="shared" si="1"/>
        <v>-26878682.35910894</v>
      </c>
      <c r="E52" s="56">
        <f t="shared" si="2"/>
        <v>-31748558.362374164</v>
      </c>
      <c r="G52" s="56">
        <f>-'[10]KY Reg Liability Accelerated'!I67</f>
        <v>21081.714070437138</v>
      </c>
      <c r="H52" s="56">
        <f>-'[10]KY Reg Liability Accelerated'!J67</f>
        <v>100898.7972771927</v>
      </c>
      <c r="J52" s="56">
        <f t="shared" si="3"/>
        <v>121980.51134762984</v>
      </c>
    </row>
    <row r="53" spans="1:10">
      <c r="B53" s="1043">
        <f t="shared" si="4"/>
        <v>44255</v>
      </c>
      <c r="C53" s="56">
        <f t="shared" si="0"/>
        <v>-4848794.2891947851</v>
      </c>
      <c r="D53" s="56">
        <f t="shared" si="1"/>
        <v>-26777783.561831746</v>
      </c>
      <c r="E53" s="56">
        <f t="shared" si="2"/>
        <v>-31626577.851026531</v>
      </c>
      <c r="G53" s="56">
        <f>-'[10]KY Reg Liability Accelerated'!I68</f>
        <v>21081.714070437138</v>
      </c>
      <c r="H53" s="56">
        <f>-'[10]KY Reg Liability Accelerated'!J68</f>
        <v>100898.7972771927</v>
      </c>
      <c r="J53" s="56">
        <f t="shared" si="3"/>
        <v>121980.51134762984</v>
      </c>
    </row>
    <row r="54" spans="1:10">
      <c r="B54" s="1043">
        <f t="shared" si="4"/>
        <v>44286</v>
      </c>
      <c r="C54" s="56">
        <f t="shared" si="0"/>
        <v>-4827712.5751243476</v>
      </c>
      <c r="D54" s="56">
        <f t="shared" si="1"/>
        <v>-26676884.764554553</v>
      </c>
      <c r="E54" s="56">
        <f t="shared" si="2"/>
        <v>-31504597.339678898</v>
      </c>
      <c r="G54" s="56">
        <f>-'[10]KY Reg Liability Accelerated'!I69</f>
        <v>21081.714070437138</v>
      </c>
      <c r="H54" s="56">
        <f>-'[10]KY Reg Liability Accelerated'!J69</f>
        <v>100898.7972771927</v>
      </c>
      <c r="J54" s="56">
        <f t="shared" si="3"/>
        <v>121980.51134762984</v>
      </c>
    </row>
    <row r="55" spans="1:10">
      <c r="B55" s="1043">
        <f t="shared" si="4"/>
        <v>44316</v>
      </c>
      <c r="C55" s="56">
        <f t="shared" si="0"/>
        <v>-4806630.8610539101</v>
      </c>
      <c r="D55" s="56">
        <f t="shared" si="1"/>
        <v>-26575985.967277359</v>
      </c>
      <c r="E55" s="56">
        <f t="shared" si="2"/>
        <v>-31382616.828331269</v>
      </c>
      <c r="G55" s="56">
        <f>-'[10]KY Reg Liability Accelerated'!I70</f>
        <v>21081.714070437138</v>
      </c>
      <c r="H55" s="56">
        <f>-'[10]KY Reg Liability Accelerated'!J70</f>
        <v>100898.7972771927</v>
      </c>
      <c r="J55" s="56">
        <f t="shared" si="3"/>
        <v>121980.51134762984</v>
      </c>
    </row>
    <row r="56" spans="1:10">
      <c r="B56" s="1043">
        <f t="shared" si="4"/>
        <v>44347</v>
      </c>
      <c r="C56" s="56">
        <f t="shared" si="0"/>
        <v>-4785549.1469834726</v>
      </c>
      <c r="D56" s="56">
        <f t="shared" si="1"/>
        <v>-26475087.170000166</v>
      </c>
      <c r="E56" s="56">
        <f t="shared" si="2"/>
        <v>-31260636.31698364</v>
      </c>
      <c r="G56" s="56">
        <f>-'[10]KY Reg Liability Accelerated'!I71</f>
        <v>21081.714070437138</v>
      </c>
      <c r="H56" s="56">
        <f>-'[10]KY Reg Liability Accelerated'!J71</f>
        <v>100898.7972771927</v>
      </c>
      <c r="J56" s="56">
        <f t="shared" si="3"/>
        <v>121980.51134762984</v>
      </c>
    </row>
    <row r="57" spans="1:10">
      <c r="B57" s="1043">
        <f t="shared" si="4"/>
        <v>44377</v>
      </c>
      <c r="C57" s="56">
        <f t="shared" si="0"/>
        <v>-4764467.4329130352</v>
      </c>
      <c r="D57" s="56">
        <f t="shared" si="1"/>
        <v>-26374188.372722972</v>
      </c>
      <c r="E57" s="56">
        <f t="shared" si="2"/>
        <v>-31138655.805636007</v>
      </c>
      <c r="G57" s="56">
        <f>-'[10]KY Reg Liability Accelerated'!I72</f>
        <v>21081.714070437138</v>
      </c>
      <c r="H57" s="56">
        <f>-'[10]KY Reg Liability Accelerated'!J72</f>
        <v>100898.7972771927</v>
      </c>
      <c r="J57" s="56">
        <f t="shared" si="3"/>
        <v>121980.51134762984</v>
      </c>
    </row>
    <row r="58" spans="1:10">
      <c r="B58" s="1043">
        <f t="shared" si="4"/>
        <v>44408</v>
      </c>
      <c r="C58" s="56">
        <f t="shared" si="0"/>
        <v>-4743385.7188425977</v>
      </c>
      <c r="D58" s="56">
        <f t="shared" si="1"/>
        <v>-26273289.575445779</v>
      </c>
      <c r="E58" s="56">
        <f t="shared" si="2"/>
        <v>-31016675.294288374</v>
      </c>
      <c r="G58" s="56">
        <f>-'[10]KY Reg Liability Accelerated'!I73</f>
        <v>21081.714070437138</v>
      </c>
      <c r="H58" s="56">
        <f>-'[10]KY Reg Liability Accelerated'!J73</f>
        <v>100898.7972771927</v>
      </c>
      <c r="J58" s="56">
        <f t="shared" si="3"/>
        <v>121980.51134762984</v>
      </c>
    </row>
    <row r="59" spans="1:10">
      <c r="B59" s="1043">
        <f t="shared" si="4"/>
        <v>44439</v>
      </c>
      <c r="C59" s="56">
        <f t="shared" si="0"/>
        <v>-4722304.0047721602</v>
      </c>
      <c r="D59" s="56">
        <f t="shared" si="1"/>
        <v>-26172390.778168585</v>
      </c>
      <c r="E59" s="56">
        <f t="shared" si="2"/>
        <v>-30894694.782940745</v>
      </c>
      <c r="G59" s="56">
        <f>-'[10]KY Reg Liability Accelerated'!I74</f>
        <v>21081.714070437138</v>
      </c>
      <c r="H59" s="56">
        <f>-'[10]KY Reg Liability Accelerated'!J74</f>
        <v>100898.7972771927</v>
      </c>
      <c r="J59" s="56">
        <f t="shared" si="3"/>
        <v>121980.51134762984</v>
      </c>
    </row>
    <row r="60" spans="1:10">
      <c r="B60" s="1043">
        <f t="shared" si="4"/>
        <v>44469</v>
      </c>
      <c r="C60" s="56">
        <f t="shared" si="0"/>
        <v>-4701222.2907017227</v>
      </c>
      <c r="D60" s="56">
        <f t="shared" si="1"/>
        <v>-26071491.980891392</v>
      </c>
      <c r="E60" s="56">
        <f t="shared" si="2"/>
        <v>-30772714.271593116</v>
      </c>
      <c r="G60" s="56">
        <f>-'[10]KY Reg Liability Accelerated'!I75</f>
        <v>21081.714070437138</v>
      </c>
      <c r="H60" s="56">
        <f>-'[10]KY Reg Liability Accelerated'!J75</f>
        <v>100898.7972771927</v>
      </c>
      <c r="J60" s="56">
        <f t="shared" si="3"/>
        <v>121980.51134762984</v>
      </c>
    </row>
    <row r="61" spans="1:10">
      <c r="B61" s="1043">
        <f t="shared" si="4"/>
        <v>44500</v>
      </c>
      <c r="C61" s="56">
        <f t="shared" si="0"/>
        <v>-4680140.5766312853</v>
      </c>
      <c r="D61" s="56">
        <f t="shared" si="1"/>
        <v>-25970593.183614198</v>
      </c>
      <c r="E61" s="56">
        <f t="shared" si="2"/>
        <v>-30650733.760245483</v>
      </c>
      <c r="G61" s="56">
        <f>-'[10]KY Reg Liability Accelerated'!I76</f>
        <v>21081.714070437138</v>
      </c>
      <c r="H61" s="56">
        <f>-'[10]KY Reg Liability Accelerated'!J76</f>
        <v>100898.7972771927</v>
      </c>
      <c r="J61" s="56">
        <f t="shared" si="3"/>
        <v>121980.51134762984</v>
      </c>
    </row>
    <row r="62" spans="1:10">
      <c r="B62" s="1043">
        <f t="shared" si="4"/>
        <v>44530</v>
      </c>
      <c r="C62" s="56">
        <f t="shared" si="0"/>
        <v>-4659058.8625608478</v>
      </c>
      <c r="D62" s="56">
        <f t="shared" si="1"/>
        <v>-25869694.386337005</v>
      </c>
      <c r="E62" s="56">
        <f t="shared" si="2"/>
        <v>-30528753.248897851</v>
      </c>
      <c r="G62" s="56">
        <f>-'[10]KY Reg Liability Accelerated'!I77</f>
        <v>21081.714070437138</v>
      </c>
      <c r="H62" s="56">
        <f>-'[10]KY Reg Liability Accelerated'!J77</f>
        <v>100898.7972771927</v>
      </c>
      <c r="J62" s="56">
        <f t="shared" si="3"/>
        <v>121980.51134762984</v>
      </c>
    </row>
    <row r="63" spans="1:10">
      <c r="B63" s="1043">
        <f t="shared" si="4"/>
        <v>44561</v>
      </c>
      <c r="C63" s="56">
        <f t="shared" si="0"/>
        <v>-4637977.1484904103</v>
      </c>
      <c r="D63" s="56">
        <f t="shared" si="1"/>
        <v>-25768795.589059811</v>
      </c>
      <c r="E63" s="56">
        <f t="shared" si="2"/>
        <v>-30406772.737550221</v>
      </c>
      <c r="G63" s="56">
        <f>-'[10]KY Reg Liability Accelerated'!I78</f>
        <v>21081.714070437138</v>
      </c>
      <c r="H63" s="56">
        <f>-'[10]KY Reg Liability Accelerated'!J78</f>
        <v>100898.7972771927</v>
      </c>
      <c r="J63" s="56">
        <f t="shared" si="3"/>
        <v>121980.51134762984</v>
      </c>
    </row>
    <row r="64" spans="1:10">
      <c r="A64" s="1050" t="s">
        <v>1672</v>
      </c>
      <c r="B64" s="1046">
        <f t="shared" si="4"/>
        <v>44592</v>
      </c>
      <c r="C64" s="1047">
        <f t="shared" si="0"/>
        <v>-4616895.4344199728</v>
      </c>
      <c r="D64" s="1047">
        <f t="shared" si="1"/>
        <v>-25339315.66257548</v>
      </c>
      <c r="E64" s="1047">
        <f t="shared" si="2"/>
        <v>-29956211.096995451</v>
      </c>
      <c r="F64" s="1047"/>
      <c r="G64" s="1047">
        <f>-'[10]KY Reg Liability Accelerated'!I79</f>
        <v>21081.714070437138</v>
      </c>
      <c r="H64" s="1047"/>
      <c r="I64" s="1047">
        <f>-'[10]KY Reg Liability Accelerated'!K79</f>
        <v>429479.92648433044</v>
      </c>
      <c r="J64" s="1047">
        <f t="shared" si="3"/>
        <v>450561.64055476757</v>
      </c>
    </row>
    <row r="65" spans="2:10">
      <c r="B65" s="1043">
        <f t="shared" si="4"/>
        <v>44620</v>
      </c>
      <c r="C65" s="56">
        <f t="shared" si="0"/>
        <v>-4595813.7203495353</v>
      </c>
      <c r="D65" s="56">
        <f t="shared" si="1"/>
        <v>-24909835.736091148</v>
      </c>
      <c r="E65" s="56">
        <f t="shared" si="2"/>
        <v>-29505649.456440683</v>
      </c>
      <c r="G65" s="56">
        <f>-'[10]KY Reg Liability Accelerated'!I80</f>
        <v>21081.714070437138</v>
      </c>
      <c r="I65" s="56">
        <f>-'[10]KY Reg Liability Accelerated'!K80</f>
        <v>429479.92648433044</v>
      </c>
      <c r="J65" s="56">
        <f t="shared" si="3"/>
        <v>450561.64055476757</v>
      </c>
    </row>
    <row r="66" spans="2:10">
      <c r="B66" s="1043">
        <f t="shared" si="4"/>
        <v>44651</v>
      </c>
      <c r="C66" s="56">
        <f t="shared" si="0"/>
        <v>-4574732.0062790979</v>
      </c>
      <c r="D66" s="56">
        <f t="shared" si="1"/>
        <v>-24480355.809606817</v>
      </c>
      <c r="E66" s="56">
        <f t="shared" si="2"/>
        <v>-29055087.815885916</v>
      </c>
      <c r="G66" s="56">
        <f>-'[10]KY Reg Liability Accelerated'!I81</f>
        <v>21081.714070437138</v>
      </c>
      <c r="I66" s="56">
        <f>-'[10]KY Reg Liability Accelerated'!K81</f>
        <v>429479.92648433044</v>
      </c>
      <c r="J66" s="56">
        <f t="shared" si="3"/>
        <v>450561.64055476757</v>
      </c>
    </row>
    <row r="67" spans="2:10">
      <c r="B67" s="1043">
        <f t="shared" si="4"/>
        <v>44681</v>
      </c>
      <c r="C67" s="56">
        <f t="shared" si="0"/>
        <v>-4553650.2922086604</v>
      </c>
      <c r="D67" s="56">
        <f t="shared" si="1"/>
        <v>-24050875.883122485</v>
      </c>
      <c r="E67" s="56">
        <f t="shared" si="2"/>
        <v>-28604526.175331146</v>
      </c>
      <c r="G67" s="56">
        <f>-'[10]KY Reg Liability Accelerated'!I82</f>
        <v>21081.714070437138</v>
      </c>
      <c r="I67" s="56">
        <f>-'[10]KY Reg Liability Accelerated'!K82</f>
        <v>429479.92648433044</v>
      </c>
      <c r="J67" s="56">
        <f t="shared" si="3"/>
        <v>450561.64055476757</v>
      </c>
    </row>
    <row r="68" spans="2:10">
      <c r="B68" s="1043">
        <f t="shared" si="4"/>
        <v>44712</v>
      </c>
      <c r="C68" s="56">
        <f t="shared" si="0"/>
        <v>-4532568.5781382229</v>
      </c>
      <c r="D68" s="56">
        <f t="shared" si="1"/>
        <v>-23621395.956638154</v>
      </c>
      <c r="E68" s="56">
        <f t="shared" si="2"/>
        <v>-28153964.534776375</v>
      </c>
      <c r="G68" s="56">
        <f>-'[10]KY Reg Liability Accelerated'!I83</f>
        <v>21081.714070437138</v>
      </c>
      <c r="I68" s="56">
        <f>-'[10]KY Reg Liability Accelerated'!K83</f>
        <v>429479.92648433044</v>
      </c>
      <c r="J68" s="56">
        <f t="shared" si="3"/>
        <v>450561.64055476757</v>
      </c>
    </row>
    <row r="69" spans="2:10">
      <c r="B69" s="1043">
        <f t="shared" si="4"/>
        <v>44742</v>
      </c>
      <c r="C69" s="56">
        <f t="shared" si="0"/>
        <v>-4511486.8640677854</v>
      </c>
      <c r="D69" s="56">
        <f t="shared" si="1"/>
        <v>-23191916.030153822</v>
      </c>
      <c r="E69" s="56">
        <f t="shared" si="2"/>
        <v>-27703402.894221608</v>
      </c>
      <c r="G69" s="56">
        <f>-'[10]KY Reg Liability Accelerated'!I84</f>
        <v>21081.714070437138</v>
      </c>
      <c r="I69" s="56">
        <f>-'[10]KY Reg Liability Accelerated'!K84</f>
        <v>429479.92648433044</v>
      </c>
      <c r="J69" s="56">
        <f t="shared" si="3"/>
        <v>450561.64055476757</v>
      </c>
    </row>
    <row r="70" spans="2:10">
      <c r="B70" s="1043">
        <f t="shared" si="4"/>
        <v>44773</v>
      </c>
      <c r="C70" s="56">
        <f t="shared" si="0"/>
        <v>-4490405.149997348</v>
      </c>
      <c r="D70" s="56">
        <f t="shared" si="1"/>
        <v>-22762436.103669491</v>
      </c>
      <c r="E70" s="56">
        <f t="shared" si="2"/>
        <v>-27252841.25366684</v>
      </c>
      <c r="G70" s="56">
        <f>-'[10]KY Reg Liability Accelerated'!I85</f>
        <v>21081.714070437138</v>
      </c>
      <c r="I70" s="56">
        <f>-'[10]KY Reg Liability Accelerated'!K85</f>
        <v>429479.92648433044</v>
      </c>
      <c r="J70" s="56">
        <f t="shared" si="3"/>
        <v>450561.64055476757</v>
      </c>
    </row>
    <row r="71" spans="2:10">
      <c r="B71" s="1043">
        <f t="shared" si="4"/>
        <v>44804</v>
      </c>
      <c r="C71" s="56">
        <f t="shared" si="0"/>
        <v>-4469323.4359269105</v>
      </c>
      <c r="D71" s="56">
        <f t="shared" si="1"/>
        <v>-22332956.177185159</v>
      </c>
      <c r="E71" s="56">
        <f t="shared" si="2"/>
        <v>-26802279.61311207</v>
      </c>
      <c r="G71" s="56">
        <f>-'[10]KY Reg Liability Accelerated'!I86</f>
        <v>21081.714070437138</v>
      </c>
      <c r="I71" s="56">
        <f>-'[10]KY Reg Liability Accelerated'!K86</f>
        <v>429479.92648433044</v>
      </c>
      <c r="J71" s="56">
        <f t="shared" si="3"/>
        <v>450561.64055476757</v>
      </c>
    </row>
    <row r="72" spans="2:10">
      <c r="B72" s="1043">
        <f t="shared" si="4"/>
        <v>44834</v>
      </c>
      <c r="C72" s="56">
        <f t="shared" si="0"/>
        <v>-4448241.721856473</v>
      </c>
      <c r="D72" s="56">
        <f t="shared" si="1"/>
        <v>-21903476.250700828</v>
      </c>
      <c r="E72" s="56">
        <f t="shared" si="2"/>
        <v>-26351717.972557299</v>
      </c>
      <c r="G72" s="56">
        <f>-'[10]KY Reg Liability Accelerated'!I87</f>
        <v>21081.714070437138</v>
      </c>
      <c r="I72" s="56">
        <f>-'[10]KY Reg Liability Accelerated'!K87</f>
        <v>429479.92648433044</v>
      </c>
      <c r="J72" s="56">
        <f t="shared" si="3"/>
        <v>450561.64055476757</v>
      </c>
    </row>
    <row r="73" spans="2:10">
      <c r="B73" s="1043">
        <f t="shared" si="4"/>
        <v>44865</v>
      </c>
      <c r="C73" s="56">
        <f t="shared" si="0"/>
        <v>-4427160.0077860355</v>
      </c>
      <c r="D73" s="56">
        <f t="shared" si="1"/>
        <v>-21473996.324216496</v>
      </c>
      <c r="E73" s="56">
        <f t="shared" si="2"/>
        <v>-25901156.332002532</v>
      </c>
      <c r="G73" s="56">
        <f>-'[10]KY Reg Liability Accelerated'!I88</f>
        <v>21081.714070437138</v>
      </c>
      <c r="I73" s="56">
        <f>-'[10]KY Reg Liability Accelerated'!K88</f>
        <v>429479.92648433044</v>
      </c>
      <c r="J73" s="56">
        <f t="shared" si="3"/>
        <v>450561.64055476757</v>
      </c>
    </row>
    <row r="74" spans="2:10">
      <c r="B74" s="1043">
        <f t="shared" si="4"/>
        <v>44895</v>
      </c>
      <c r="C74" s="56">
        <f t="shared" si="0"/>
        <v>-4406078.2937155981</v>
      </c>
      <c r="D74" s="56">
        <f t="shared" si="1"/>
        <v>-21044516.397732165</v>
      </c>
      <c r="E74" s="56">
        <f t="shared" si="2"/>
        <v>-25450594.691447765</v>
      </c>
      <c r="G74" s="56">
        <f>-'[10]KY Reg Liability Accelerated'!I89</f>
        <v>21081.714070437138</v>
      </c>
      <c r="I74" s="56">
        <f>-'[10]KY Reg Liability Accelerated'!K89</f>
        <v>429479.92648433044</v>
      </c>
      <c r="J74" s="56">
        <f t="shared" si="3"/>
        <v>450561.64055476757</v>
      </c>
    </row>
    <row r="75" spans="2:10">
      <c r="B75" s="1043">
        <f t="shared" si="4"/>
        <v>44926</v>
      </c>
      <c r="C75" s="56">
        <f t="shared" si="0"/>
        <v>-4384996.5796451606</v>
      </c>
      <c r="D75" s="56">
        <f t="shared" si="1"/>
        <v>-20615036.471247833</v>
      </c>
      <c r="E75" s="56">
        <f t="shared" si="2"/>
        <v>-25000033.050892994</v>
      </c>
      <c r="G75" s="56">
        <f>-'[10]KY Reg Liability Accelerated'!I90</f>
        <v>21081.714070437138</v>
      </c>
      <c r="I75" s="56">
        <f>-'[10]KY Reg Liability Accelerated'!K90</f>
        <v>429479.92648433044</v>
      </c>
      <c r="J75" s="56">
        <f t="shared" si="3"/>
        <v>450561.64055476757</v>
      </c>
    </row>
    <row r="76" spans="2:10">
      <c r="B76" s="1043">
        <f t="shared" si="4"/>
        <v>44957</v>
      </c>
      <c r="C76" s="56">
        <f t="shared" si="0"/>
        <v>-4363914.8655747231</v>
      </c>
      <c r="D76" s="56">
        <f t="shared" si="1"/>
        <v>-20185556.544763502</v>
      </c>
      <c r="E76" s="56">
        <f t="shared" si="2"/>
        <v>-24549471.410338223</v>
      </c>
      <c r="G76" s="56">
        <f>-'[10]KY Reg Liability Accelerated'!I91</f>
        <v>21081.714070437138</v>
      </c>
      <c r="I76" s="56">
        <f>-'[10]KY Reg Liability Accelerated'!K91</f>
        <v>429479.92648433044</v>
      </c>
      <c r="J76" s="56">
        <f t="shared" si="3"/>
        <v>450561.64055476757</v>
      </c>
    </row>
    <row r="77" spans="2:10">
      <c r="B77" s="1043">
        <f t="shared" si="4"/>
        <v>44985</v>
      </c>
      <c r="C77" s="56">
        <f t="shared" si="0"/>
        <v>-4342833.1515042856</v>
      </c>
      <c r="D77" s="56">
        <f t="shared" si="1"/>
        <v>-19756076.61827917</v>
      </c>
      <c r="E77" s="56">
        <f t="shared" si="2"/>
        <v>-24098909.769783456</v>
      </c>
      <c r="G77" s="56">
        <f>-'[10]KY Reg Liability Accelerated'!I92</f>
        <v>21081.714070437138</v>
      </c>
      <c r="I77" s="56">
        <f>-'[10]KY Reg Liability Accelerated'!K92</f>
        <v>429479.92648433044</v>
      </c>
      <c r="J77" s="56">
        <f t="shared" si="3"/>
        <v>450561.64055476757</v>
      </c>
    </row>
    <row r="78" spans="2:10">
      <c r="B78" s="1043">
        <f t="shared" si="4"/>
        <v>45016</v>
      </c>
      <c r="C78" s="56">
        <f t="shared" si="0"/>
        <v>-4321751.4374338482</v>
      </c>
      <c r="D78" s="56">
        <f t="shared" si="1"/>
        <v>-19326596.691794839</v>
      </c>
      <c r="E78" s="56">
        <f t="shared" si="2"/>
        <v>-23648348.129228689</v>
      </c>
      <c r="G78" s="56">
        <f>-'[10]KY Reg Liability Accelerated'!I93</f>
        <v>21081.714070437138</v>
      </c>
      <c r="I78" s="56">
        <f>-'[10]KY Reg Liability Accelerated'!K93</f>
        <v>429479.92648433044</v>
      </c>
      <c r="J78" s="56">
        <f t="shared" si="3"/>
        <v>450561.64055476757</v>
      </c>
    </row>
    <row r="79" spans="2:10">
      <c r="B79" s="1043">
        <f t="shared" si="4"/>
        <v>45046</v>
      </c>
      <c r="C79" s="56">
        <f t="shared" si="0"/>
        <v>-4300669.7233634107</v>
      </c>
      <c r="D79" s="56">
        <f t="shared" si="1"/>
        <v>-18897116.765310507</v>
      </c>
      <c r="E79" s="56">
        <f t="shared" si="2"/>
        <v>-23197786.488673918</v>
      </c>
      <c r="G79" s="56">
        <f>-'[10]KY Reg Liability Accelerated'!I94</f>
        <v>21081.714070437138</v>
      </c>
      <c r="I79" s="56">
        <f>-'[10]KY Reg Liability Accelerated'!K94</f>
        <v>429479.92648433044</v>
      </c>
      <c r="J79" s="56">
        <f t="shared" si="3"/>
        <v>450561.64055476757</v>
      </c>
    </row>
    <row r="80" spans="2:10">
      <c r="B80" s="1043">
        <f t="shared" si="4"/>
        <v>45077</v>
      </c>
      <c r="C80" s="56">
        <f t="shared" si="0"/>
        <v>-4279588.0092929732</v>
      </c>
      <c r="D80" s="56">
        <f t="shared" si="1"/>
        <v>-18467636.838826176</v>
      </c>
      <c r="E80" s="56">
        <f t="shared" si="2"/>
        <v>-22747224.848119147</v>
      </c>
      <c r="G80" s="56">
        <f>-'[10]KY Reg Liability Accelerated'!I95</f>
        <v>21081.714070437138</v>
      </c>
      <c r="I80" s="56">
        <f>-'[10]KY Reg Liability Accelerated'!K95</f>
        <v>429479.92648433044</v>
      </c>
      <c r="J80" s="56">
        <f t="shared" si="3"/>
        <v>450561.64055476757</v>
      </c>
    </row>
    <row r="81" spans="2:10">
      <c r="B81" s="1043">
        <f t="shared" si="4"/>
        <v>45107</v>
      </c>
      <c r="C81" s="56">
        <f t="shared" si="0"/>
        <v>-4258506.2952225357</v>
      </c>
      <c r="D81" s="56">
        <f t="shared" si="1"/>
        <v>-18038156.912341844</v>
      </c>
      <c r="E81" s="56">
        <f t="shared" si="2"/>
        <v>-22296663.20756438</v>
      </c>
      <c r="G81" s="56">
        <f>-'[10]KY Reg Liability Accelerated'!I96</f>
        <v>21081.714070437138</v>
      </c>
      <c r="I81" s="56">
        <f>-'[10]KY Reg Liability Accelerated'!K96</f>
        <v>429479.92648433044</v>
      </c>
      <c r="J81" s="56">
        <f t="shared" si="3"/>
        <v>450561.64055476757</v>
      </c>
    </row>
    <row r="82" spans="2:10">
      <c r="B82" s="1043">
        <f t="shared" si="4"/>
        <v>45138</v>
      </c>
      <c r="C82" s="56">
        <f t="shared" si="0"/>
        <v>-4237424.5811520983</v>
      </c>
      <c r="D82" s="56">
        <f t="shared" si="1"/>
        <v>-17608676.985857513</v>
      </c>
      <c r="E82" s="56">
        <f t="shared" si="2"/>
        <v>-21846101.567009613</v>
      </c>
      <c r="G82" s="56">
        <f>-'[10]KY Reg Liability Accelerated'!I97</f>
        <v>21081.714070437138</v>
      </c>
      <c r="I82" s="56">
        <f>-'[10]KY Reg Liability Accelerated'!K97</f>
        <v>429479.92648433044</v>
      </c>
      <c r="J82" s="56">
        <f t="shared" si="3"/>
        <v>450561.64055476757</v>
      </c>
    </row>
    <row r="83" spans="2:10">
      <c r="B83" s="1043">
        <f t="shared" si="4"/>
        <v>45169</v>
      </c>
      <c r="C83" s="56">
        <f t="shared" si="0"/>
        <v>-4216342.8670816608</v>
      </c>
      <c r="D83" s="56">
        <f t="shared" si="1"/>
        <v>-17179197.059373181</v>
      </c>
      <c r="E83" s="56">
        <f t="shared" si="2"/>
        <v>-21395539.926454842</v>
      </c>
      <c r="G83" s="56">
        <f>-'[10]KY Reg Liability Accelerated'!I98</f>
        <v>21081.714070437138</v>
      </c>
      <c r="I83" s="56">
        <f>-'[10]KY Reg Liability Accelerated'!K98</f>
        <v>429479.92648433044</v>
      </c>
      <c r="J83" s="56">
        <f t="shared" si="3"/>
        <v>450561.64055476757</v>
      </c>
    </row>
    <row r="84" spans="2:10">
      <c r="B84" s="1043">
        <f t="shared" si="4"/>
        <v>45199</v>
      </c>
      <c r="C84" s="56">
        <f t="shared" si="0"/>
        <v>-4195261.1530112233</v>
      </c>
      <c r="D84" s="56">
        <f t="shared" si="1"/>
        <v>-16749717.132888852</v>
      </c>
      <c r="E84" s="56">
        <f t="shared" si="2"/>
        <v>-20944978.285900075</v>
      </c>
      <c r="G84" s="56">
        <f>-'[10]KY Reg Liability Accelerated'!I99</f>
        <v>21081.714070437138</v>
      </c>
      <c r="I84" s="56">
        <f>-'[10]KY Reg Liability Accelerated'!K99</f>
        <v>429479.92648433044</v>
      </c>
      <c r="J84" s="56">
        <f t="shared" si="3"/>
        <v>450561.64055476757</v>
      </c>
    </row>
    <row r="85" spans="2:10">
      <c r="B85" s="1043">
        <f t="shared" si="4"/>
        <v>45230</v>
      </c>
      <c r="C85" s="56">
        <f t="shared" ref="C85:C148" si="5">C84+G85</f>
        <v>-4174179.4389407863</v>
      </c>
      <c r="D85" s="56">
        <f t="shared" ref="D85:D148" si="6">D84+H85+I85</f>
        <v>-16320237.206404522</v>
      </c>
      <c r="E85" s="56">
        <f t="shared" ref="E85:E148" si="7">C85+D85</f>
        <v>-20494416.645345308</v>
      </c>
      <c r="G85" s="56">
        <f>-'[10]KY Reg Liability Accelerated'!I100</f>
        <v>21081.714070437138</v>
      </c>
      <c r="I85" s="56">
        <f>-'[10]KY Reg Liability Accelerated'!K100</f>
        <v>429479.92648433044</v>
      </c>
      <c r="J85" s="56">
        <f t="shared" ref="J85:J148" si="8">SUM(G85:I85)</f>
        <v>450561.64055476757</v>
      </c>
    </row>
    <row r="86" spans="2:10">
      <c r="B86" s="1043">
        <f t="shared" ref="B86:B149" si="9">EOMONTH(B85,1)</f>
        <v>45260</v>
      </c>
      <c r="C86" s="56">
        <f t="shared" si="5"/>
        <v>-4153097.7248703493</v>
      </c>
      <c r="D86" s="56">
        <f t="shared" si="6"/>
        <v>-15890757.279920192</v>
      </c>
      <c r="E86" s="56">
        <f t="shared" si="7"/>
        <v>-20043855.004790541</v>
      </c>
      <c r="G86" s="56">
        <f>-'[10]KY Reg Liability Accelerated'!I101</f>
        <v>21081.714070437138</v>
      </c>
      <c r="I86" s="56">
        <f>-'[10]KY Reg Liability Accelerated'!K101</f>
        <v>429479.92648433044</v>
      </c>
      <c r="J86" s="56">
        <f t="shared" si="8"/>
        <v>450561.64055476757</v>
      </c>
    </row>
    <row r="87" spans="2:10">
      <c r="B87" s="1043">
        <f t="shared" si="9"/>
        <v>45291</v>
      </c>
      <c r="C87" s="56">
        <f t="shared" si="5"/>
        <v>-4132016.0107999123</v>
      </c>
      <c r="D87" s="56">
        <f t="shared" si="6"/>
        <v>-15461277.353435863</v>
      </c>
      <c r="E87" s="56">
        <f t="shared" si="7"/>
        <v>-19593293.364235774</v>
      </c>
      <c r="G87" s="56">
        <f>-'[10]KY Reg Liability Accelerated'!I102</f>
        <v>21081.714070437138</v>
      </c>
      <c r="I87" s="56">
        <f>-'[10]KY Reg Liability Accelerated'!K102</f>
        <v>429479.92648433044</v>
      </c>
      <c r="J87" s="56">
        <f t="shared" si="8"/>
        <v>450561.64055476757</v>
      </c>
    </row>
    <row r="88" spans="2:10">
      <c r="B88" s="1043">
        <f t="shared" si="9"/>
        <v>45322</v>
      </c>
      <c r="C88" s="56">
        <f t="shared" si="5"/>
        <v>-4110934.2967294753</v>
      </c>
      <c r="D88" s="56">
        <f t="shared" si="6"/>
        <v>-15031797.426951533</v>
      </c>
      <c r="E88" s="56">
        <f t="shared" si="7"/>
        <v>-19142731.72368101</v>
      </c>
      <c r="G88" s="56">
        <f>-'[10]KY Reg Liability Accelerated'!I103</f>
        <v>21081.714070437138</v>
      </c>
      <c r="I88" s="56">
        <f>-'[10]KY Reg Liability Accelerated'!K103</f>
        <v>429479.92648433044</v>
      </c>
      <c r="J88" s="56">
        <f t="shared" si="8"/>
        <v>450561.64055476757</v>
      </c>
    </row>
    <row r="89" spans="2:10">
      <c r="B89" s="1043">
        <f t="shared" si="9"/>
        <v>45351</v>
      </c>
      <c r="C89" s="56">
        <f t="shared" si="5"/>
        <v>-4089852.5826590382</v>
      </c>
      <c r="D89" s="56">
        <f t="shared" si="6"/>
        <v>-14602317.500467204</v>
      </c>
      <c r="E89" s="56">
        <f t="shared" si="7"/>
        <v>-18692170.083126243</v>
      </c>
      <c r="G89" s="56">
        <f>-'[10]KY Reg Liability Accelerated'!I104</f>
        <v>21081.714070437138</v>
      </c>
      <c r="I89" s="56">
        <f>-'[10]KY Reg Liability Accelerated'!K104</f>
        <v>429479.92648433044</v>
      </c>
      <c r="J89" s="56">
        <f t="shared" si="8"/>
        <v>450561.64055476757</v>
      </c>
    </row>
    <row r="90" spans="2:10">
      <c r="B90" s="1043">
        <f t="shared" si="9"/>
        <v>45382</v>
      </c>
      <c r="C90" s="56">
        <f t="shared" si="5"/>
        <v>-4068770.8685886012</v>
      </c>
      <c r="D90" s="56">
        <f t="shared" si="6"/>
        <v>-14172837.573982874</v>
      </c>
      <c r="E90" s="56">
        <f t="shared" si="7"/>
        <v>-18241608.442571476</v>
      </c>
      <c r="G90" s="56">
        <f>-'[10]KY Reg Liability Accelerated'!I105</f>
        <v>21081.714070437138</v>
      </c>
      <c r="I90" s="56">
        <f>-'[10]KY Reg Liability Accelerated'!K105</f>
        <v>429479.92648433044</v>
      </c>
      <c r="J90" s="56">
        <f t="shared" si="8"/>
        <v>450561.64055476757</v>
      </c>
    </row>
    <row r="91" spans="2:10">
      <c r="B91" s="1043">
        <f t="shared" si="9"/>
        <v>45412</v>
      </c>
      <c r="C91" s="56">
        <f t="shared" si="5"/>
        <v>-4047689.1545181642</v>
      </c>
      <c r="D91" s="56">
        <f t="shared" si="6"/>
        <v>-13743357.647498544</v>
      </c>
      <c r="E91" s="56">
        <f t="shared" si="7"/>
        <v>-17791046.802016709</v>
      </c>
      <c r="G91" s="56">
        <f>-'[10]KY Reg Liability Accelerated'!I106</f>
        <v>21081.714070437138</v>
      </c>
      <c r="I91" s="56">
        <f>-'[10]KY Reg Liability Accelerated'!K106</f>
        <v>429479.92648433044</v>
      </c>
      <c r="J91" s="56">
        <f t="shared" si="8"/>
        <v>450561.64055476757</v>
      </c>
    </row>
    <row r="92" spans="2:10">
      <c r="B92" s="1043">
        <f t="shared" si="9"/>
        <v>45443</v>
      </c>
      <c r="C92" s="56">
        <f t="shared" si="5"/>
        <v>-4026607.4404477272</v>
      </c>
      <c r="D92" s="56">
        <f t="shared" si="6"/>
        <v>-13313877.721014215</v>
      </c>
      <c r="E92" s="56">
        <f t="shared" si="7"/>
        <v>-17340485.161461942</v>
      </c>
      <c r="G92" s="56">
        <f>-'[10]KY Reg Liability Accelerated'!I107</f>
        <v>21081.714070437138</v>
      </c>
      <c r="I92" s="56">
        <f>-'[10]KY Reg Liability Accelerated'!K107</f>
        <v>429479.92648433044</v>
      </c>
      <c r="J92" s="56">
        <f t="shared" si="8"/>
        <v>450561.64055476757</v>
      </c>
    </row>
    <row r="93" spans="2:10">
      <c r="B93" s="1043">
        <f t="shared" si="9"/>
        <v>45473</v>
      </c>
      <c r="C93" s="56">
        <f t="shared" si="5"/>
        <v>-4005525.7263772902</v>
      </c>
      <c r="D93" s="56">
        <f t="shared" si="6"/>
        <v>-12884397.794529885</v>
      </c>
      <c r="E93" s="56">
        <f t="shared" si="7"/>
        <v>-16889923.520907175</v>
      </c>
      <c r="G93" s="56">
        <f>-'[10]KY Reg Liability Accelerated'!I108</f>
        <v>21081.714070437138</v>
      </c>
      <c r="I93" s="56">
        <f>-'[10]KY Reg Liability Accelerated'!K108</f>
        <v>429479.92648433044</v>
      </c>
      <c r="J93" s="56">
        <f t="shared" si="8"/>
        <v>450561.64055476757</v>
      </c>
    </row>
    <row r="94" spans="2:10">
      <c r="B94" s="1043">
        <f t="shared" si="9"/>
        <v>45504</v>
      </c>
      <c r="C94" s="56">
        <f t="shared" si="5"/>
        <v>-3984444.0123068532</v>
      </c>
      <c r="D94" s="56">
        <f t="shared" si="6"/>
        <v>-12454917.868045555</v>
      </c>
      <c r="E94" s="56">
        <f t="shared" si="7"/>
        <v>-16439361.880352408</v>
      </c>
      <c r="G94" s="56">
        <f>-'[10]KY Reg Liability Accelerated'!I109</f>
        <v>21081.714070437138</v>
      </c>
      <c r="I94" s="56">
        <f>-'[10]KY Reg Liability Accelerated'!K109</f>
        <v>429479.92648433044</v>
      </c>
      <c r="J94" s="56">
        <f t="shared" si="8"/>
        <v>450561.64055476757</v>
      </c>
    </row>
    <row r="95" spans="2:10">
      <c r="B95" s="1043">
        <f t="shared" si="9"/>
        <v>45535</v>
      </c>
      <c r="C95" s="56">
        <f t="shared" si="5"/>
        <v>-3963362.2982364162</v>
      </c>
      <c r="D95" s="56">
        <f t="shared" si="6"/>
        <v>-12025437.941561226</v>
      </c>
      <c r="E95" s="56">
        <f t="shared" si="7"/>
        <v>-15988800.239797642</v>
      </c>
      <c r="G95" s="56">
        <f>-'[10]KY Reg Liability Accelerated'!I110</f>
        <v>21081.714070437138</v>
      </c>
      <c r="I95" s="56">
        <f>-'[10]KY Reg Liability Accelerated'!K110</f>
        <v>429479.92648433044</v>
      </c>
      <c r="J95" s="56">
        <f t="shared" si="8"/>
        <v>450561.64055476757</v>
      </c>
    </row>
    <row r="96" spans="2:10">
      <c r="B96" s="1043">
        <f t="shared" si="9"/>
        <v>45565</v>
      </c>
      <c r="C96" s="56">
        <f t="shared" si="5"/>
        <v>-3942280.5841659792</v>
      </c>
      <c r="D96" s="56">
        <f t="shared" si="6"/>
        <v>-11595958.015076896</v>
      </c>
      <c r="E96" s="56">
        <f t="shared" si="7"/>
        <v>-15538238.599242875</v>
      </c>
      <c r="G96" s="56">
        <f>-'[10]KY Reg Liability Accelerated'!I111</f>
        <v>21081.714070437138</v>
      </c>
      <c r="I96" s="56">
        <f>-'[10]KY Reg Liability Accelerated'!K111</f>
        <v>429479.92648433044</v>
      </c>
      <c r="J96" s="56">
        <f t="shared" si="8"/>
        <v>450561.64055476757</v>
      </c>
    </row>
    <row r="97" spans="2:10">
      <c r="B97" s="1043">
        <f t="shared" si="9"/>
        <v>45596</v>
      </c>
      <c r="C97" s="56">
        <f t="shared" si="5"/>
        <v>-3921198.8700955422</v>
      </c>
      <c r="D97" s="56">
        <f t="shared" si="6"/>
        <v>-11166478.088592567</v>
      </c>
      <c r="E97" s="56">
        <f t="shared" si="7"/>
        <v>-15087676.958688108</v>
      </c>
      <c r="G97" s="56">
        <f>-'[10]KY Reg Liability Accelerated'!I112</f>
        <v>21081.714070437138</v>
      </c>
      <c r="I97" s="56">
        <f>-'[10]KY Reg Liability Accelerated'!K112</f>
        <v>429479.92648433044</v>
      </c>
      <c r="J97" s="56">
        <f t="shared" si="8"/>
        <v>450561.64055476757</v>
      </c>
    </row>
    <row r="98" spans="2:10">
      <c r="B98" s="1043">
        <f t="shared" si="9"/>
        <v>45626</v>
      </c>
      <c r="C98" s="56">
        <f t="shared" si="5"/>
        <v>-3900117.1560251052</v>
      </c>
      <c r="D98" s="56">
        <f t="shared" si="6"/>
        <v>-10736998.162108237</v>
      </c>
      <c r="E98" s="56">
        <f t="shared" si="7"/>
        <v>-14637115.318133343</v>
      </c>
      <c r="G98" s="56">
        <f>-'[10]KY Reg Liability Accelerated'!I113</f>
        <v>21081.714070437138</v>
      </c>
      <c r="I98" s="56">
        <f>-'[10]KY Reg Liability Accelerated'!K113</f>
        <v>429479.92648433044</v>
      </c>
      <c r="J98" s="56">
        <f t="shared" si="8"/>
        <v>450561.64055476757</v>
      </c>
    </row>
    <row r="99" spans="2:10">
      <c r="B99" s="1043">
        <f t="shared" si="9"/>
        <v>45657</v>
      </c>
      <c r="C99" s="56">
        <f t="shared" si="5"/>
        <v>-3879035.4419546681</v>
      </c>
      <c r="D99" s="56">
        <f t="shared" si="6"/>
        <v>-10307518.235623907</v>
      </c>
      <c r="E99" s="56">
        <f t="shared" si="7"/>
        <v>-14186553.677578576</v>
      </c>
      <c r="G99" s="56">
        <f>-'[10]KY Reg Liability Accelerated'!I114</f>
        <v>21081.714070437138</v>
      </c>
      <c r="I99" s="56">
        <f>-'[10]KY Reg Liability Accelerated'!K114</f>
        <v>429479.92648433044</v>
      </c>
      <c r="J99" s="56">
        <f t="shared" si="8"/>
        <v>450561.64055476757</v>
      </c>
    </row>
    <row r="100" spans="2:10">
      <c r="B100" s="1043">
        <f t="shared" si="9"/>
        <v>45688</v>
      </c>
      <c r="C100" s="56">
        <f t="shared" si="5"/>
        <v>-3857953.7278842311</v>
      </c>
      <c r="D100" s="56">
        <f t="shared" si="6"/>
        <v>-9878038.3091395777</v>
      </c>
      <c r="E100" s="56">
        <f t="shared" si="7"/>
        <v>-13735992.037023809</v>
      </c>
      <c r="G100" s="56">
        <f>-'[10]KY Reg Liability Accelerated'!I115</f>
        <v>21081.714070437138</v>
      </c>
      <c r="I100" s="56">
        <f>-'[10]KY Reg Liability Accelerated'!K115</f>
        <v>429479.92648433044</v>
      </c>
      <c r="J100" s="56">
        <f t="shared" si="8"/>
        <v>450561.64055476757</v>
      </c>
    </row>
    <row r="101" spans="2:10">
      <c r="B101" s="1043">
        <f t="shared" si="9"/>
        <v>45716</v>
      </c>
      <c r="C101" s="56">
        <f t="shared" si="5"/>
        <v>-3836872.0138137941</v>
      </c>
      <c r="D101" s="56">
        <f t="shared" si="6"/>
        <v>-9448558.382655248</v>
      </c>
      <c r="E101" s="56">
        <f t="shared" si="7"/>
        <v>-13285430.396469042</v>
      </c>
      <c r="G101" s="56">
        <f>-'[10]KY Reg Liability Accelerated'!I116</f>
        <v>21081.714070437138</v>
      </c>
      <c r="I101" s="56">
        <f>-'[10]KY Reg Liability Accelerated'!K116</f>
        <v>429479.92648433044</v>
      </c>
      <c r="J101" s="56">
        <f t="shared" si="8"/>
        <v>450561.64055476757</v>
      </c>
    </row>
    <row r="102" spans="2:10">
      <c r="B102" s="1043">
        <f t="shared" si="9"/>
        <v>45747</v>
      </c>
      <c r="C102" s="56">
        <f t="shared" si="5"/>
        <v>-3815790.2997433571</v>
      </c>
      <c r="D102" s="56">
        <f t="shared" si="6"/>
        <v>-9019078.4561709184</v>
      </c>
      <c r="E102" s="56">
        <f t="shared" si="7"/>
        <v>-12834868.755914275</v>
      </c>
      <c r="G102" s="56">
        <f>-'[10]KY Reg Liability Accelerated'!I117</f>
        <v>21081.714070437138</v>
      </c>
      <c r="I102" s="56">
        <f>-'[10]KY Reg Liability Accelerated'!K117</f>
        <v>429479.92648433044</v>
      </c>
      <c r="J102" s="56">
        <f t="shared" si="8"/>
        <v>450561.64055476757</v>
      </c>
    </row>
    <row r="103" spans="2:10">
      <c r="B103" s="1043">
        <f t="shared" si="9"/>
        <v>45777</v>
      </c>
      <c r="C103" s="56">
        <f t="shared" si="5"/>
        <v>-3794708.5856729201</v>
      </c>
      <c r="D103" s="56">
        <f t="shared" si="6"/>
        <v>-8589598.5296865888</v>
      </c>
      <c r="E103" s="56">
        <f t="shared" si="7"/>
        <v>-12384307.115359509</v>
      </c>
      <c r="G103" s="56">
        <f>-'[10]KY Reg Liability Accelerated'!I118</f>
        <v>21081.714070437138</v>
      </c>
      <c r="I103" s="56">
        <f>-'[10]KY Reg Liability Accelerated'!K118</f>
        <v>429479.92648433044</v>
      </c>
      <c r="J103" s="56">
        <f t="shared" si="8"/>
        <v>450561.64055476757</v>
      </c>
    </row>
    <row r="104" spans="2:10">
      <c r="B104" s="1043">
        <f t="shared" si="9"/>
        <v>45808</v>
      </c>
      <c r="C104" s="56">
        <f t="shared" si="5"/>
        <v>-3773626.8716024831</v>
      </c>
      <c r="D104" s="56">
        <f t="shared" si="6"/>
        <v>-8160118.6032022582</v>
      </c>
      <c r="E104" s="56">
        <f t="shared" si="7"/>
        <v>-11933745.47480474</v>
      </c>
      <c r="G104" s="56">
        <f>-'[10]KY Reg Liability Accelerated'!I119</f>
        <v>21081.714070437138</v>
      </c>
      <c r="I104" s="56">
        <f>-'[10]KY Reg Liability Accelerated'!K119</f>
        <v>429479.92648433044</v>
      </c>
      <c r="J104" s="56">
        <f t="shared" si="8"/>
        <v>450561.64055476757</v>
      </c>
    </row>
    <row r="105" spans="2:10">
      <c r="B105" s="1043">
        <f t="shared" si="9"/>
        <v>45838</v>
      </c>
      <c r="C105" s="56">
        <f t="shared" si="5"/>
        <v>-3752545.1575320461</v>
      </c>
      <c r="D105" s="56">
        <f t="shared" si="6"/>
        <v>-7730638.6767179277</v>
      </c>
      <c r="E105" s="56">
        <f t="shared" si="7"/>
        <v>-11483183.834249973</v>
      </c>
      <c r="G105" s="56">
        <f>-'[10]KY Reg Liability Accelerated'!I120</f>
        <v>21081.714070437138</v>
      </c>
      <c r="I105" s="56">
        <f>-'[10]KY Reg Liability Accelerated'!K120</f>
        <v>429479.92648433044</v>
      </c>
      <c r="J105" s="56">
        <f t="shared" si="8"/>
        <v>450561.64055476757</v>
      </c>
    </row>
    <row r="106" spans="2:10">
      <c r="B106" s="1043">
        <f t="shared" si="9"/>
        <v>45869</v>
      </c>
      <c r="C106" s="56">
        <f t="shared" si="5"/>
        <v>-3731463.4434616091</v>
      </c>
      <c r="D106" s="56">
        <f t="shared" si="6"/>
        <v>-7301158.7502335971</v>
      </c>
      <c r="E106" s="56">
        <f t="shared" si="7"/>
        <v>-11032622.193695206</v>
      </c>
      <c r="G106" s="56">
        <f>-'[10]KY Reg Liability Accelerated'!I121</f>
        <v>21081.714070437138</v>
      </c>
      <c r="I106" s="56">
        <f>-'[10]KY Reg Liability Accelerated'!K121</f>
        <v>429479.92648433044</v>
      </c>
      <c r="J106" s="56">
        <f t="shared" si="8"/>
        <v>450561.64055476757</v>
      </c>
    </row>
    <row r="107" spans="2:10">
      <c r="B107" s="1043">
        <f t="shared" si="9"/>
        <v>45900</v>
      </c>
      <c r="C107" s="56">
        <f t="shared" si="5"/>
        <v>-3710381.7293911721</v>
      </c>
      <c r="D107" s="56">
        <f t="shared" si="6"/>
        <v>-6871678.8237492666</v>
      </c>
      <c r="E107" s="56">
        <f t="shared" si="7"/>
        <v>-10582060.553140439</v>
      </c>
      <c r="G107" s="56">
        <f>-'[10]KY Reg Liability Accelerated'!I122</f>
        <v>21081.714070437138</v>
      </c>
      <c r="I107" s="56">
        <f>-'[10]KY Reg Liability Accelerated'!K122</f>
        <v>429479.92648433044</v>
      </c>
      <c r="J107" s="56">
        <f t="shared" si="8"/>
        <v>450561.64055476757</v>
      </c>
    </row>
    <row r="108" spans="2:10">
      <c r="B108" s="1043">
        <f t="shared" si="9"/>
        <v>45930</v>
      </c>
      <c r="C108" s="56">
        <f t="shared" si="5"/>
        <v>-3689300.0153207351</v>
      </c>
      <c r="D108" s="56">
        <f t="shared" si="6"/>
        <v>-6442198.897264936</v>
      </c>
      <c r="E108" s="56">
        <f t="shared" si="7"/>
        <v>-10131498.912585672</v>
      </c>
      <c r="G108" s="56">
        <f>-'[10]KY Reg Liability Accelerated'!I123</f>
        <v>21081.714070437138</v>
      </c>
      <c r="I108" s="56">
        <f>-'[10]KY Reg Liability Accelerated'!K123</f>
        <v>429479.92648433044</v>
      </c>
      <c r="J108" s="56">
        <f t="shared" si="8"/>
        <v>450561.64055476757</v>
      </c>
    </row>
    <row r="109" spans="2:10">
      <c r="B109" s="1043">
        <f t="shared" si="9"/>
        <v>45961</v>
      </c>
      <c r="C109" s="56">
        <f t="shared" si="5"/>
        <v>-3668218.301250298</v>
      </c>
      <c r="D109" s="56">
        <f t="shared" si="6"/>
        <v>-6012718.9707806055</v>
      </c>
      <c r="E109" s="56">
        <f t="shared" si="7"/>
        <v>-9680937.272030903</v>
      </c>
      <c r="G109" s="56">
        <f>-'[10]KY Reg Liability Accelerated'!I124</f>
        <v>21081.714070437138</v>
      </c>
      <c r="I109" s="56">
        <f>-'[10]KY Reg Liability Accelerated'!K124</f>
        <v>429479.92648433044</v>
      </c>
      <c r="J109" s="56">
        <f t="shared" si="8"/>
        <v>450561.64055476757</v>
      </c>
    </row>
    <row r="110" spans="2:10">
      <c r="B110" s="1043">
        <f t="shared" si="9"/>
        <v>45991</v>
      </c>
      <c r="C110" s="56">
        <f t="shared" si="5"/>
        <v>-3647136.587179861</v>
      </c>
      <c r="D110" s="56">
        <f t="shared" si="6"/>
        <v>-5583239.0442962749</v>
      </c>
      <c r="E110" s="56">
        <f t="shared" si="7"/>
        <v>-9230375.6314761359</v>
      </c>
      <c r="G110" s="56">
        <f>-'[10]KY Reg Liability Accelerated'!I125</f>
        <v>21081.714070437138</v>
      </c>
      <c r="I110" s="56">
        <f>-'[10]KY Reg Liability Accelerated'!K125</f>
        <v>429479.92648433044</v>
      </c>
      <c r="J110" s="56">
        <f t="shared" si="8"/>
        <v>450561.64055476757</v>
      </c>
    </row>
    <row r="111" spans="2:10">
      <c r="B111" s="1043">
        <f t="shared" si="9"/>
        <v>46022</v>
      </c>
      <c r="C111" s="56">
        <f t="shared" si="5"/>
        <v>-3626054.873109424</v>
      </c>
      <c r="D111" s="56">
        <f t="shared" si="6"/>
        <v>-5153759.1178119443</v>
      </c>
      <c r="E111" s="56">
        <f t="shared" si="7"/>
        <v>-8779813.9909213688</v>
      </c>
      <c r="G111" s="56">
        <f>-'[10]KY Reg Liability Accelerated'!I126</f>
        <v>21081.714070437138</v>
      </c>
      <c r="I111" s="56">
        <f>-'[10]KY Reg Liability Accelerated'!K126</f>
        <v>429479.92648433044</v>
      </c>
      <c r="J111" s="56">
        <f t="shared" si="8"/>
        <v>450561.64055476757</v>
      </c>
    </row>
    <row r="112" spans="2:10">
      <c r="B112" s="1043">
        <f t="shared" si="9"/>
        <v>46053</v>
      </c>
      <c r="C112" s="56">
        <f t="shared" si="5"/>
        <v>-3604973.159038987</v>
      </c>
      <c r="D112" s="56">
        <f t="shared" si="6"/>
        <v>-4724279.1913276138</v>
      </c>
      <c r="E112" s="56">
        <f t="shared" si="7"/>
        <v>-8329252.3503666008</v>
      </c>
      <c r="G112" s="56">
        <f>-'[10]KY Reg Liability Accelerated'!I127</f>
        <v>21081.714070437138</v>
      </c>
      <c r="I112" s="56">
        <f>-'[10]KY Reg Liability Accelerated'!K127</f>
        <v>429479.92648433044</v>
      </c>
      <c r="J112" s="56">
        <f t="shared" si="8"/>
        <v>450561.64055476757</v>
      </c>
    </row>
    <row r="113" spans="1:10">
      <c r="B113" s="1043">
        <f t="shared" si="9"/>
        <v>46081</v>
      </c>
      <c r="C113" s="56">
        <f t="shared" si="5"/>
        <v>-3583891.44496855</v>
      </c>
      <c r="D113" s="56">
        <f t="shared" si="6"/>
        <v>-4294799.2648432832</v>
      </c>
      <c r="E113" s="56">
        <f t="shared" si="7"/>
        <v>-7878690.7098118328</v>
      </c>
      <c r="G113" s="56">
        <f>-'[10]KY Reg Liability Accelerated'!I128</f>
        <v>21081.714070437138</v>
      </c>
      <c r="I113" s="56">
        <f>-'[10]KY Reg Liability Accelerated'!K128</f>
        <v>429479.92648433044</v>
      </c>
      <c r="J113" s="56">
        <f t="shared" si="8"/>
        <v>450561.64055476757</v>
      </c>
    </row>
    <row r="114" spans="1:10">
      <c r="B114" s="1043">
        <f t="shared" si="9"/>
        <v>46112</v>
      </c>
      <c r="C114" s="56">
        <f t="shared" si="5"/>
        <v>-3562809.730898113</v>
      </c>
      <c r="D114" s="56">
        <f t="shared" si="6"/>
        <v>-3865319.3383589527</v>
      </c>
      <c r="E114" s="56">
        <f t="shared" si="7"/>
        <v>-7428129.0692570657</v>
      </c>
      <c r="G114" s="56">
        <f>-'[10]KY Reg Liability Accelerated'!I129</f>
        <v>21081.714070437138</v>
      </c>
      <c r="I114" s="56">
        <f>-'[10]KY Reg Liability Accelerated'!K129</f>
        <v>429479.92648433044</v>
      </c>
      <c r="J114" s="56">
        <f t="shared" si="8"/>
        <v>450561.64055476757</v>
      </c>
    </row>
    <row r="115" spans="1:10">
      <c r="B115" s="1043">
        <f t="shared" si="9"/>
        <v>46142</v>
      </c>
      <c r="C115" s="56">
        <f t="shared" si="5"/>
        <v>-3541728.016827676</v>
      </c>
      <c r="D115" s="56">
        <f t="shared" si="6"/>
        <v>-3435839.4118746221</v>
      </c>
      <c r="E115" s="56">
        <f t="shared" si="7"/>
        <v>-6977567.4287022986</v>
      </c>
      <c r="G115" s="56">
        <f>-'[10]KY Reg Liability Accelerated'!I130</f>
        <v>21081.714070437138</v>
      </c>
      <c r="I115" s="56">
        <f>-'[10]KY Reg Liability Accelerated'!K130</f>
        <v>429479.92648433044</v>
      </c>
      <c r="J115" s="56">
        <f t="shared" si="8"/>
        <v>450561.64055476757</v>
      </c>
    </row>
    <row r="116" spans="1:10">
      <c r="B116" s="1043">
        <f t="shared" si="9"/>
        <v>46173</v>
      </c>
      <c r="C116" s="56">
        <f t="shared" si="5"/>
        <v>-3520646.302757239</v>
      </c>
      <c r="D116" s="56">
        <f t="shared" si="6"/>
        <v>-3006359.4853902915</v>
      </c>
      <c r="E116" s="56">
        <f t="shared" si="7"/>
        <v>-6527005.7881475305</v>
      </c>
      <c r="G116" s="56">
        <f>-'[10]KY Reg Liability Accelerated'!I131</f>
        <v>21081.714070437138</v>
      </c>
      <c r="I116" s="56">
        <f>-'[10]KY Reg Liability Accelerated'!K131</f>
        <v>429479.92648433044</v>
      </c>
      <c r="J116" s="56">
        <f t="shared" si="8"/>
        <v>450561.64055476757</v>
      </c>
    </row>
    <row r="117" spans="1:10">
      <c r="B117" s="1043">
        <f t="shared" si="9"/>
        <v>46203</v>
      </c>
      <c r="C117" s="56">
        <f t="shared" si="5"/>
        <v>-3499564.588686802</v>
      </c>
      <c r="D117" s="56">
        <f t="shared" si="6"/>
        <v>-2576879.558905961</v>
      </c>
      <c r="E117" s="56">
        <f t="shared" si="7"/>
        <v>-6076444.1475927625</v>
      </c>
      <c r="G117" s="56">
        <f>-'[10]KY Reg Liability Accelerated'!I132</f>
        <v>21081.714070437138</v>
      </c>
      <c r="I117" s="56">
        <f>-'[10]KY Reg Liability Accelerated'!K132</f>
        <v>429479.92648433044</v>
      </c>
      <c r="J117" s="56">
        <f t="shared" si="8"/>
        <v>450561.64055476757</v>
      </c>
    </row>
    <row r="118" spans="1:10">
      <c r="B118" s="1043">
        <f t="shared" si="9"/>
        <v>46234</v>
      </c>
      <c r="C118" s="56">
        <f t="shared" si="5"/>
        <v>-3478482.8746163649</v>
      </c>
      <c r="D118" s="56">
        <f t="shared" si="6"/>
        <v>-2147399.6324216304</v>
      </c>
      <c r="E118" s="56">
        <f t="shared" si="7"/>
        <v>-5625882.5070379954</v>
      </c>
      <c r="G118" s="56">
        <f>-'[10]KY Reg Liability Accelerated'!I133</f>
        <v>21081.714070437138</v>
      </c>
      <c r="I118" s="56">
        <f>-'[10]KY Reg Liability Accelerated'!K133</f>
        <v>429479.92648433044</v>
      </c>
      <c r="J118" s="56">
        <f t="shared" si="8"/>
        <v>450561.64055476757</v>
      </c>
    </row>
    <row r="119" spans="1:10">
      <c r="B119" s="1043">
        <f t="shared" si="9"/>
        <v>46265</v>
      </c>
      <c r="C119" s="56">
        <f t="shared" si="5"/>
        <v>-3457401.1605459279</v>
      </c>
      <c r="D119" s="56">
        <f t="shared" si="6"/>
        <v>-1717919.7059372999</v>
      </c>
      <c r="E119" s="56">
        <f t="shared" si="7"/>
        <v>-5175320.8664832283</v>
      </c>
      <c r="G119" s="56">
        <f>-'[10]KY Reg Liability Accelerated'!I134</f>
        <v>21081.714070437138</v>
      </c>
      <c r="I119" s="56">
        <f>-'[10]KY Reg Liability Accelerated'!K134</f>
        <v>429479.92648433044</v>
      </c>
      <c r="J119" s="56">
        <f t="shared" si="8"/>
        <v>450561.64055476757</v>
      </c>
    </row>
    <row r="120" spans="1:10">
      <c r="B120" s="1043">
        <f t="shared" si="9"/>
        <v>46295</v>
      </c>
      <c r="C120" s="56">
        <f t="shared" si="5"/>
        <v>-3436319.4464754909</v>
      </c>
      <c r="D120" s="56">
        <f t="shared" si="6"/>
        <v>-1288439.7794529693</v>
      </c>
      <c r="E120" s="56">
        <f t="shared" si="7"/>
        <v>-4724759.2259284602</v>
      </c>
      <c r="G120" s="56">
        <f>-'[10]KY Reg Liability Accelerated'!I135</f>
        <v>21081.714070437138</v>
      </c>
      <c r="I120" s="56">
        <f>-'[10]KY Reg Liability Accelerated'!K135</f>
        <v>429479.92648433044</v>
      </c>
      <c r="J120" s="56">
        <f t="shared" si="8"/>
        <v>450561.64055476757</v>
      </c>
    </row>
    <row r="121" spans="1:10">
      <c r="B121" s="1043">
        <f t="shared" si="9"/>
        <v>46326</v>
      </c>
      <c r="C121" s="56">
        <f t="shared" si="5"/>
        <v>-3415237.7324050539</v>
      </c>
      <c r="D121" s="56">
        <f t="shared" si="6"/>
        <v>-858959.85296863888</v>
      </c>
      <c r="E121" s="56">
        <f t="shared" si="7"/>
        <v>-4274197.5853736931</v>
      </c>
      <c r="G121" s="56">
        <f>-'[10]KY Reg Liability Accelerated'!I136</f>
        <v>21081.714070437138</v>
      </c>
      <c r="I121" s="56">
        <f>-'[10]KY Reg Liability Accelerated'!K136</f>
        <v>429479.92648433044</v>
      </c>
      <c r="J121" s="56">
        <f t="shared" si="8"/>
        <v>450561.64055476757</v>
      </c>
    </row>
    <row r="122" spans="1:10">
      <c r="B122" s="1043">
        <f t="shared" si="9"/>
        <v>46356</v>
      </c>
      <c r="C122" s="56">
        <f t="shared" si="5"/>
        <v>-3394156.0183346169</v>
      </c>
      <c r="D122" s="56">
        <f t="shared" si="6"/>
        <v>-429479.92648430844</v>
      </c>
      <c r="E122" s="56">
        <f t="shared" si="7"/>
        <v>-3823635.9448189251</v>
      </c>
      <c r="G122" s="56">
        <f>-'[10]KY Reg Liability Accelerated'!I137</f>
        <v>21081.714070437138</v>
      </c>
      <c r="I122" s="56">
        <f>-'[10]KY Reg Liability Accelerated'!K137</f>
        <v>429479.92648433044</v>
      </c>
      <c r="J122" s="56">
        <f t="shared" si="8"/>
        <v>450561.64055476757</v>
      </c>
    </row>
    <row r="123" spans="1:10">
      <c r="A123" s="1050" t="s">
        <v>1675</v>
      </c>
      <c r="B123" s="1046">
        <f t="shared" si="9"/>
        <v>46387</v>
      </c>
      <c r="C123" s="1047">
        <f t="shared" si="5"/>
        <v>-3373074.3042641799</v>
      </c>
      <c r="D123" s="1047">
        <f t="shared" si="6"/>
        <v>2.200249582529068E-8</v>
      </c>
      <c r="E123" s="1047">
        <f t="shared" si="7"/>
        <v>-3373074.304264158</v>
      </c>
      <c r="F123" s="1047"/>
      <c r="G123" s="1047">
        <f>-'[10]KY Reg Liability Accelerated'!I138</f>
        <v>21081.714070437138</v>
      </c>
      <c r="H123" s="1047"/>
      <c r="I123" s="1047">
        <f>-'[10]KY Reg Liability Accelerated'!K138</f>
        <v>429479.92648433044</v>
      </c>
      <c r="J123" s="1047">
        <f t="shared" si="8"/>
        <v>450561.64055476757</v>
      </c>
    </row>
    <row r="124" spans="1:10">
      <c r="B124" s="1043">
        <f t="shared" si="9"/>
        <v>46418</v>
      </c>
      <c r="C124" s="56">
        <f t="shared" si="5"/>
        <v>-3351992.5901937429</v>
      </c>
      <c r="D124" s="56">
        <f t="shared" si="6"/>
        <v>2.200249582529068E-8</v>
      </c>
      <c r="E124" s="56">
        <f t="shared" si="7"/>
        <v>-3351992.590193721</v>
      </c>
      <c r="G124" s="56">
        <f>-'[10]KY Reg Liability Accelerated'!I139</f>
        <v>21081.714070437138</v>
      </c>
      <c r="J124" s="56">
        <f t="shared" si="8"/>
        <v>21081.714070437138</v>
      </c>
    </row>
    <row r="125" spans="1:10">
      <c r="B125" s="1043">
        <f t="shared" si="9"/>
        <v>46446</v>
      </c>
      <c r="C125" s="56">
        <f t="shared" si="5"/>
        <v>-3330910.8761233059</v>
      </c>
      <c r="D125" s="56">
        <f t="shared" si="6"/>
        <v>2.200249582529068E-8</v>
      </c>
      <c r="E125" s="56">
        <f t="shared" si="7"/>
        <v>-3330910.876123284</v>
      </c>
      <c r="G125" s="56">
        <f>-'[10]KY Reg Liability Accelerated'!I140</f>
        <v>21081.714070437138</v>
      </c>
      <c r="J125" s="56">
        <f t="shared" si="8"/>
        <v>21081.714070437138</v>
      </c>
    </row>
    <row r="126" spans="1:10">
      <c r="B126" s="1043">
        <f t="shared" si="9"/>
        <v>46477</v>
      </c>
      <c r="C126" s="56">
        <f t="shared" si="5"/>
        <v>-3309829.1620528689</v>
      </c>
      <c r="D126" s="56">
        <f t="shared" si="6"/>
        <v>2.200249582529068E-8</v>
      </c>
      <c r="E126" s="56">
        <f t="shared" si="7"/>
        <v>-3309829.162052847</v>
      </c>
      <c r="G126" s="56">
        <f>-'[10]KY Reg Liability Accelerated'!I141</f>
        <v>21081.714070437138</v>
      </c>
      <c r="J126" s="56">
        <f t="shared" si="8"/>
        <v>21081.714070437138</v>
      </c>
    </row>
    <row r="127" spans="1:10">
      <c r="B127" s="1043">
        <f t="shared" si="9"/>
        <v>46507</v>
      </c>
      <c r="C127" s="56">
        <f t="shared" si="5"/>
        <v>-3288747.4479824319</v>
      </c>
      <c r="D127" s="56">
        <f t="shared" si="6"/>
        <v>2.200249582529068E-8</v>
      </c>
      <c r="E127" s="56">
        <f t="shared" si="7"/>
        <v>-3288747.44798241</v>
      </c>
      <c r="G127" s="56">
        <f>-'[10]KY Reg Liability Accelerated'!I142</f>
        <v>21081.714070437138</v>
      </c>
      <c r="J127" s="56">
        <f t="shared" si="8"/>
        <v>21081.714070437138</v>
      </c>
    </row>
    <row r="128" spans="1:10">
      <c r="B128" s="1043">
        <f t="shared" si="9"/>
        <v>46538</v>
      </c>
      <c r="C128" s="56">
        <f t="shared" si="5"/>
        <v>-3267665.7339119948</v>
      </c>
      <c r="D128" s="56">
        <f t="shared" si="6"/>
        <v>2.200249582529068E-8</v>
      </c>
      <c r="E128" s="56">
        <f t="shared" si="7"/>
        <v>-3267665.733911973</v>
      </c>
      <c r="G128" s="56">
        <f>-'[10]KY Reg Liability Accelerated'!I143</f>
        <v>21081.714070437138</v>
      </c>
      <c r="J128" s="56">
        <f t="shared" si="8"/>
        <v>21081.714070437138</v>
      </c>
    </row>
    <row r="129" spans="2:10">
      <c r="B129" s="1043">
        <f t="shared" si="9"/>
        <v>46568</v>
      </c>
      <c r="C129" s="56">
        <f t="shared" si="5"/>
        <v>-3246584.0198415578</v>
      </c>
      <c r="D129" s="56">
        <f t="shared" si="6"/>
        <v>2.200249582529068E-8</v>
      </c>
      <c r="E129" s="56">
        <f t="shared" si="7"/>
        <v>-3246584.0198415359</v>
      </c>
      <c r="G129" s="56">
        <f>-'[10]KY Reg Liability Accelerated'!I144</f>
        <v>21081.714070437138</v>
      </c>
      <c r="J129" s="56">
        <f t="shared" si="8"/>
        <v>21081.714070437138</v>
      </c>
    </row>
    <row r="130" spans="2:10">
      <c r="B130" s="1043">
        <f t="shared" si="9"/>
        <v>46599</v>
      </c>
      <c r="C130" s="56">
        <f t="shared" si="5"/>
        <v>-3225502.3057711208</v>
      </c>
      <c r="D130" s="56">
        <f t="shared" si="6"/>
        <v>2.200249582529068E-8</v>
      </c>
      <c r="E130" s="56">
        <f t="shared" si="7"/>
        <v>-3225502.3057710989</v>
      </c>
      <c r="G130" s="56">
        <f>-'[10]KY Reg Liability Accelerated'!I145</f>
        <v>21081.714070437138</v>
      </c>
      <c r="J130" s="56">
        <f t="shared" si="8"/>
        <v>21081.714070437138</v>
      </c>
    </row>
    <row r="131" spans="2:10">
      <c r="B131" s="1043">
        <f t="shared" si="9"/>
        <v>46630</v>
      </c>
      <c r="C131" s="56">
        <f t="shared" si="5"/>
        <v>-3204420.5917006838</v>
      </c>
      <c r="D131" s="56">
        <f t="shared" si="6"/>
        <v>2.200249582529068E-8</v>
      </c>
      <c r="E131" s="56">
        <f t="shared" si="7"/>
        <v>-3204420.5917006619</v>
      </c>
      <c r="G131" s="56">
        <f>-'[10]KY Reg Liability Accelerated'!I146</f>
        <v>21081.714070437138</v>
      </c>
      <c r="J131" s="56">
        <f t="shared" si="8"/>
        <v>21081.714070437138</v>
      </c>
    </row>
    <row r="132" spans="2:10">
      <c r="B132" s="1043">
        <f t="shared" si="9"/>
        <v>46660</v>
      </c>
      <c r="C132" s="56">
        <f t="shared" si="5"/>
        <v>-3183338.8776302468</v>
      </c>
      <c r="D132" s="56">
        <f t="shared" si="6"/>
        <v>2.200249582529068E-8</v>
      </c>
      <c r="E132" s="56">
        <f t="shared" si="7"/>
        <v>-3183338.8776302249</v>
      </c>
      <c r="G132" s="56">
        <f>-'[10]KY Reg Liability Accelerated'!I147</f>
        <v>21081.714070437138</v>
      </c>
      <c r="J132" s="56">
        <f t="shared" si="8"/>
        <v>21081.714070437138</v>
      </c>
    </row>
    <row r="133" spans="2:10">
      <c r="B133" s="1043">
        <f t="shared" si="9"/>
        <v>46691</v>
      </c>
      <c r="C133" s="56">
        <f t="shared" si="5"/>
        <v>-3162257.1635598098</v>
      </c>
      <c r="D133" s="56">
        <f t="shared" si="6"/>
        <v>2.200249582529068E-8</v>
      </c>
      <c r="E133" s="56">
        <f t="shared" si="7"/>
        <v>-3162257.1635597879</v>
      </c>
      <c r="G133" s="56">
        <f>-'[10]KY Reg Liability Accelerated'!I148</f>
        <v>21081.714070437138</v>
      </c>
      <c r="J133" s="56">
        <f t="shared" si="8"/>
        <v>21081.714070437138</v>
      </c>
    </row>
    <row r="134" spans="2:10">
      <c r="B134" s="1043">
        <f t="shared" si="9"/>
        <v>46721</v>
      </c>
      <c r="C134" s="56">
        <f t="shared" si="5"/>
        <v>-3141175.4494893728</v>
      </c>
      <c r="D134" s="56">
        <f t="shared" si="6"/>
        <v>2.200249582529068E-8</v>
      </c>
      <c r="E134" s="56">
        <f t="shared" si="7"/>
        <v>-3141175.4494893509</v>
      </c>
      <c r="G134" s="56">
        <f>-'[10]KY Reg Liability Accelerated'!I149</f>
        <v>21081.714070437138</v>
      </c>
      <c r="J134" s="56">
        <f t="shared" si="8"/>
        <v>21081.714070437138</v>
      </c>
    </row>
    <row r="135" spans="2:10">
      <c r="B135" s="1043">
        <f t="shared" si="9"/>
        <v>46752</v>
      </c>
      <c r="C135" s="56">
        <f t="shared" si="5"/>
        <v>-3120093.7354189358</v>
      </c>
      <c r="D135" s="56">
        <f t="shared" si="6"/>
        <v>2.200249582529068E-8</v>
      </c>
      <c r="E135" s="56">
        <f t="shared" si="7"/>
        <v>-3120093.7354189139</v>
      </c>
      <c r="G135" s="56">
        <f>-'[10]KY Reg Liability Accelerated'!I150</f>
        <v>21081.714070437138</v>
      </c>
      <c r="J135" s="56">
        <f t="shared" si="8"/>
        <v>21081.714070437138</v>
      </c>
    </row>
    <row r="136" spans="2:10">
      <c r="B136" s="1043">
        <f t="shared" si="9"/>
        <v>46783</v>
      </c>
      <c r="C136" s="56">
        <f t="shared" si="5"/>
        <v>-3099012.0213484988</v>
      </c>
      <c r="D136" s="56">
        <f t="shared" si="6"/>
        <v>2.200249582529068E-8</v>
      </c>
      <c r="E136" s="56">
        <f t="shared" si="7"/>
        <v>-3099012.0213484769</v>
      </c>
      <c r="G136" s="56">
        <f>-'[10]KY Reg Liability Accelerated'!I151</f>
        <v>21081.714070437138</v>
      </c>
      <c r="J136" s="56">
        <f t="shared" si="8"/>
        <v>21081.714070437138</v>
      </c>
    </row>
    <row r="137" spans="2:10">
      <c r="B137" s="1043">
        <f t="shared" si="9"/>
        <v>46812</v>
      </c>
      <c r="C137" s="56">
        <f t="shared" si="5"/>
        <v>-3077930.3072780618</v>
      </c>
      <c r="D137" s="56">
        <f t="shared" si="6"/>
        <v>2.200249582529068E-8</v>
      </c>
      <c r="E137" s="56">
        <f t="shared" si="7"/>
        <v>-3077930.3072780399</v>
      </c>
      <c r="G137" s="56">
        <f>-'[10]KY Reg Liability Accelerated'!I152</f>
        <v>21081.714070437138</v>
      </c>
      <c r="J137" s="56">
        <f t="shared" si="8"/>
        <v>21081.714070437138</v>
      </c>
    </row>
    <row r="138" spans="2:10">
      <c r="B138" s="1043">
        <f t="shared" si="9"/>
        <v>46843</v>
      </c>
      <c r="C138" s="56">
        <f t="shared" si="5"/>
        <v>-3056848.5932076247</v>
      </c>
      <c r="D138" s="56">
        <f t="shared" si="6"/>
        <v>2.200249582529068E-8</v>
      </c>
      <c r="E138" s="56">
        <f t="shared" si="7"/>
        <v>-3056848.5932076029</v>
      </c>
      <c r="G138" s="56">
        <f>-'[10]KY Reg Liability Accelerated'!I153</f>
        <v>21081.714070437138</v>
      </c>
      <c r="J138" s="56">
        <f t="shared" si="8"/>
        <v>21081.714070437138</v>
      </c>
    </row>
    <row r="139" spans="2:10">
      <c r="B139" s="1043">
        <f t="shared" si="9"/>
        <v>46873</v>
      </c>
      <c r="C139" s="56">
        <f t="shared" si="5"/>
        <v>-3035766.8791371877</v>
      </c>
      <c r="D139" s="56">
        <f t="shared" si="6"/>
        <v>2.200249582529068E-8</v>
      </c>
      <c r="E139" s="56">
        <f t="shared" si="7"/>
        <v>-3035766.8791371658</v>
      </c>
      <c r="G139" s="56">
        <f>-'[10]KY Reg Liability Accelerated'!I154</f>
        <v>21081.714070437138</v>
      </c>
      <c r="J139" s="56">
        <f t="shared" si="8"/>
        <v>21081.714070437138</v>
      </c>
    </row>
    <row r="140" spans="2:10">
      <c r="B140" s="1043">
        <f t="shared" si="9"/>
        <v>46904</v>
      </c>
      <c r="C140" s="56">
        <f t="shared" si="5"/>
        <v>-3014685.1650667507</v>
      </c>
      <c r="D140" s="56">
        <f t="shared" si="6"/>
        <v>2.200249582529068E-8</v>
      </c>
      <c r="E140" s="56">
        <f t="shared" si="7"/>
        <v>-3014685.1650667288</v>
      </c>
      <c r="G140" s="56">
        <f>-'[10]KY Reg Liability Accelerated'!I155</f>
        <v>21081.714070437138</v>
      </c>
      <c r="J140" s="56">
        <f t="shared" si="8"/>
        <v>21081.714070437138</v>
      </c>
    </row>
    <row r="141" spans="2:10">
      <c r="B141" s="1043">
        <f t="shared" si="9"/>
        <v>46934</v>
      </c>
      <c r="C141" s="56">
        <f t="shared" si="5"/>
        <v>-2993603.4509963137</v>
      </c>
      <c r="D141" s="56">
        <f t="shared" si="6"/>
        <v>2.200249582529068E-8</v>
      </c>
      <c r="E141" s="56">
        <f t="shared" si="7"/>
        <v>-2993603.4509962918</v>
      </c>
      <c r="G141" s="56">
        <f>-'[10]KY Reg Liability Accelerated'!I156</f>
        <v>21081.714070437138</v>
      </c>
      <c r="J141" s="56">
        <f t="shared" si="8"/>
        <v>21081.714070437138</v>
      </c>
    </row>
    <row r="142" spans="2:10">
      <c r="B142" s="1043">
        <f t="shared" si="9"/>
        <v>46965</v>
      </c>
      <c r="C142" s="56">
        <f t="shared" si="5"/>
        <v>-2972521.7369258767</v>
      </c>
      <c r="D142" s="56">
        <f t="shared" si="6"/>
        <v>2.200249582529068E-8</v>
      </c>
      <c r="E142" s="56">
        <f t="shared" si="7"/>
        <v>-2972521.7369258548</v>
      </c>
      <c r="G142" s="56">
        <f>-'[10]KY Reg Liability Accelerated'!I157</f>
        <v>21081.714070437138</v>
      </c>
      <c r="J142" s="56">
        <f t="shared" si="8"/>
        <v>21081.714070437138</v>
      </c>
    </row>
    <row r="143" spans="2:10">
      <c r="B143" s="1043">
        <f t="shared" si="9"/>
        <v>46996</v>
      </c>
      <c r="C143" s="56">
        <f t="shared" si="5"/>
        <v>-2951440.0228554397</v>
      </c>
      <c r="D143" s="56">
        <f t="shared" si="6"/>
        <v>2.200249582529068E-8</v>
      </c>
      <c r="E143" s="56">
        <f t="shared" si="7"/>
        <v>-2951440.0228554178</v>
      </c>
      <c r="G143" s="56">
        <f>-'[10]KY Reg Liability Accelerated'!I158</f>
        <v>21081.714070437138</v>
      </c>
      <c r="J143" s="56">
        <f t="shared" si="8"/>
        <v>21081.714070437138</v>
      </c>
    </row>
    <row r="144" spans="2:10">
      <c r="B144" s="1043">
        <f t="shared" si="9"/>
        <v>47026</v>
      </c>
      <c r="C144" s="56">
        <f t="shared" si="5"/>
        <v>-2930358.3087850027</v>
      </c>
      <c r="D144" s="56">
        <f t="shared" si="6"/>
        <v>2.200249582529068E-8</v>
      </c>
      <c r="E144" s="56">
        <f t="shared" si="7"/>
        <v>-2930358.3087849808</v>
      </c>
      <c r="G144" s="56">
        <f>-'[10]KY Reg Liability Accelerated'!I159</f>
        <v>21081.714070437138</v>
      </c>
      <c r="J144" s="56">
        <f t="shared" si="8"/>
        <v>21081.714070437138</v>
      </c>
    </row>
    <row r="145" spans="2:10">
      <c r="B145" s="1043">
        <f t="shared" si="9"/>
        <v>47057</v>
      </c>
      <c r="C145" s="56">
        <f t="shared" si="5"/>
        <v>-2909276.5947145657</v>
      </c>
      <c r="D145" s="56">
        <f t="shared" si="6"/>
        <v>2.200249582529068E-8</v>
      </c>
      <c r="E145" s="56">
        <f t="shared" si="7"/>
        <v>-2909276.5947145438</v>
      </c>
      <c r="G145" s="56">
        <f>-'[10]KY Reg Liability Accelerated'!I160</f>
        <v>21081.714070437138</v>
      </c>
      <c r="J145" s="56">
        <f t="shared" si="8"/>
        <v>21081.714070437138</v>
      </c>
    </row>
    <row r="146" spans="2:10">
      <c r="B146" s="1043">
        <f t="shared" si="9"/>
        <v>47087</v>
      </c>
      <c r="C146" s="56">
        <f t="shared" si="5"/>
        <v>-2888194.8806441287</v>
      </c>
      <c r="D146" s="56">
        <f t="shared" si="6"/>
        <v>2.200249582529068E-8</v>
      </c>
      <c r="E146" s="56">
        <f t="shared" si="7"/>
        <v>-2888194.8806441068</v>
      </c>
      <c r="G146" s="56">
        <f>-'[10]KY Reg Liability Accelerated'!I161</f>
        <v>21081.714070437138</v>
      </c>
      <c r="J146" s="56">
        <f t="shared" si="8"/>
        <v>21081.714070437138</v>
      </c>
    </row>
    <row r="147" spans="2:10">
      <c r="B147" s="1043">
        <f t="shared" si="9"/>
        <v>47118</v>
      </c>
      <c r="C147" s="56">
        <f t="shared" si="5"/>
        <v>-2867113.1665736916</v>
      </c>
      <c r="D147" s="56">
        <f t="shared" si="6"/>
        <v>2.200249582529068E-8</v>
      </c>
      <c r="E147" s="56">
        <f t="shared" si="7"/>
        <v>-2867113.1665736698</v>
      </c>
      <c r="G147" s="56">
        <f>-'[10]KY Reg Liability Accelerated'!I162</f>
        <v>21081.714070437138</v>
      </c>
      <c r="J147" s="56">
        <f t="shared" si="8"/>
        <v>21081.714070437138</v>
      </c>
    </row>
    <row r="148" spans="2:10">
      <c r="B148" s="1043">
        <f t="shared" si="9"/>
        <v>47149</v>
      </c>
      <c r="C148" s="56">
        <f t="shared" si="5"/>
        <v>-2846031.4525032546</v>
      </c>
      <c r="D148" s="56">
        <f t="shared" si="6"/>
        <v>2.200249582529068E-8</v>
      </c>
      <c r="E148" s="56">
        <f t="shared" si="7"/>
        <v>-2846031.4525032328</v>
      </c>
      <c r="G148" s="56">
        <f>-'[10]KY Reg Liability Accelerated'!I163</f>
        <v>21081.714070437138</v>
      </c>
      <c r="J148" s="56">
        <f t="shared" si="8"/>
        <v>21081.714070437138</v>
      </c>
    </row>
    <row r="149" spans="2:10">
      <c r="B149" s="1043">
        <f t="shared" si="9"/>
        <v>47177</v>
      </c>
      <c r="C149" s="56">
        <f t="shared" ref="C149:C212" si="10">C148+G149</f>
        <v>-2824949.7384328176</v>
      </c>
      <c r="D149" s="56">
        <f t="shared" ref="D149:D212" si="11">D148+H149+I149</f>
        <v>2.200249582529068E-8</v>
      </c>
      <c r="E149" s="56">
        <f t="shared" ref="E149:E212" si="12">C149+D149</f>
        <v>-2824949.7384327957</v>
      </c>
      <c r="G149" s="56">
        <f>-'[10]KY Reg Liability Accelerated'!I164</f>
        <v>21081.714070437138</v>
      </c>
      <c r="J149" s="56">
        <f t="shared" ref="J149:J212" si="13">SUM(G149:I149)</f>
        <v>21081.714070437138</v>
      </c>
    </row>
    <row r="150" spans="2:10">
      <c r="B150" s="1043">
        <f t="shared" ref="B150:B213" si="14">EOMONTH(B149,1)</f>
        <v>47208</v>
      </c>
      <c r="C150" s="56">
        <f t="shared" si="10"/>
        <v>-2803868.0243623806</v>
      </c>
      <c r="D150" s="56">
        <f t="shared" si="11"/>
        <v>2.200249582529068E-8</v>
      </c>
      <c r="E150" s="56">
        <f t="shared" si="12"/>
        <v>-2803868.0243623587</v>
      </c>
      <c r="G150" s="56">
        <f>-'[10]KY Reg Liability Accelerated'!I165</f>
        <v>21081.714070437138</v>
      </c>
      <c r="J150" s="56">
        <f t="shared" si="13"/>
        <v>21081.714070437138</v>
      </c>
    </row>
    <row r="151" spans="2:10">
      <c r="B151" s="1043">
        <f t="shared" si="14"/>
        <v>47238</v>
      </c>
      <c r="C151" s="56">
        <f t="shared" si="10"/>
        <v>-2782786.3102919436</v>
      </c>
      <c r="D151" s="56">
        <f t="shared" si="11"/>
        <v>2.200249582529068E-8</v>
      </c>
      <c r="E151" s="56">
        <f t="shared" si="12"/>
        <v>-2782786.3102919217</v>
      </c>
      <c r="G151" s="56">
        <f>-'[10]KY Reg Liability Accelerated'!I166</f>
        <v>21081.714070437138</v>
      </c>
      <c r="J151" s="56">
        <f t="shared" si="13"/>
        <v>21081.714070437138</v>
      </c>
    </row>
    <row r="152" spans="2:10">
      <c r="B152" s="1043">
        <f t="shared" si="14"/>
        <v>47269</v>
      </c>
      <c r="C152" s="56">
        <f t="shared" si="10"/>
        <v>-2761704.5962215066</v>
      </c>
      <c r="D152" s="56">
        <f t="shared" si="11"/>
        <v>2.200249582529068E-8</v>
      </c>
      <c r="E152" s="56">
        <f t="shared" si="12"/>
        <v>-2761704.5962214847</v>
      </c>
      <c r="G152" s="56">
        <f>-'[10]KY Reg Liability Accelerated'!I167</f>
        <v>21081.714070437138</v>
      </c>
      <c r="J152" s="56">
        <f t="shared" si="13"/>
        <v>21081.714070437138</v>
      </c>
    </row>
    <row r="153" spans="2:10">
      <c r="B153" s="1043">
        <f t="shared" si="14"/>
        <v>47299</v>
      </c>
      <c r="C153" s="56">
        <f t="shared" si="10"/>
        <v>-2740622.8821510696</v>
      </c>
      <c r="D153" s="56">
        <f t="shared" si="11"/>
        <v>2.200249582529068E-8</v>
      </c>
      <c r="E153" s="56">
        <f t="shared" si="12"/>
        <v>-2740622.8821510477</v>
      </c>
      <c r="G153" s="56">
        <f>-'[10]KY Reg Liability Accelerated'!I168</f>
        <v>21081.714070437138</v>
      </c>
      <c r="J153" s="56">
        <f t="shared" si="13"/>
        <v>21081.714070437138</v>
      </c>
    </row>
    <row r="154" spans="2:10">
      <c r="B154" s="1043">
        <f t="shared" si="14"/>
        <v>47330</v>
      </c>
      <c r="C154" s="56">
        <f t="shared" si="10"/>
        <v>-2719541.1680806326</v>
      </c>
      <c r="D154" s="56">
        <f t="shared" si="11"/>
        <v>2.200249582529068E-8</v>
      </c>
      <c r="E154" s="56">
        <f t="shared" si="12"/>
        <v>-2719541.1680806107</v>
      </c>
      <c r="G154" s="56">
        <f>-'[10]KY Reg Liability Accelerated'!I169</f>
        <v>21081.714070437138</v>
      </c>
      <c r="J154" s="56">
        <f t="shared" si="13"/>
        <v>21081.714070437138</v>
      </c>
    </row>
    <row r="155" spans="2:10">
      <c r="B155" s="1043">
        <f t="shared" si="14"/>
        <v>47361</v>
      </c>
      <c r="C155" s="56">
        <f t="shared" si="10"/>
        <v>-2698459.4540101956</v>
      </c>
      <c r="D155" s="56">
        <f t="shared" si="11"/>
        <v>2.200249582529068E-8</v>
      </c>
      <c r="E155" s="56">
        <f t="shared" si="12"/>
        <v>-2698459.4540101737</v>
      </c>
      <c r="G155" s="56">
        <f>-'[10]KY Reg Liability Accelerated'!I170</f>
        <v>21081.714070437138</v>
      </c>
      <c r="J155" s="56">
        <f t="shared" si="13"/>
        <v>21081.714070437138</v>
      </c>
    </row>
    <row r="156" spans="2:10">
      <c r="B156" s="1043">
        <f t="shared" si="14"/>
        <v>47391</v>
      </c>
      <c r="C156" s="56">
        <f t="shared" si="10"/>
        <v>-2677377.7399397586</v>
      </c>
      <c r="D156" s="56">
        <f t="shared" si="11"/>
        <v>2.200249582529068E-8</v>
      </c>
      <c r="E156" s="56">
        <f t="shared" si="12"/>
        <v>-2677377.7399397367</v>
      </c>
      <c r="G156" s="56">
        <f>-'[10]KY Reg Liability Accelerated'!I171</f>
        <v>21081.714070437138</v>
      </c>
      <c r="J156" s="56">
        <f t="shared" si="13"/>
        <v>21081.714070437138</v>
      </c>
    </row>
    <row r="157" spans="2:10">
      <c r="B157" s="1043">
        <f t="shared" si="14"/>
        <v>47422</v>
      </c>
      <c r="C157" s="56">
        <f t="shared" si="10"/>
        <v>-2656296.0258693215</v>
      </c>
      <c r="D157" s="56">
        <f t="shared" si="11"/>
        <v>2.200249582529068E-8</v>
      </c>
      <c r="E157" s="56">
        <f t="shared" si="12"/>
        <v>-2656296.0258692997</v>
      </c>
      <c r="G157" s="56">
        <f>-'[10]KY Reg Liability Accelerated'!I172</f>
        <v>21081.714070437138</v>
      </c>
      <c r="J157" s="56">
        <f t="shared" si="13"/>
        <v>21081.714070437138</v>
      </c>
    </row>
    <row r="158" spans="2:10">
      <c r="B158" s="1043">
        <f t="shared" si="14"/>
        <v>47452</v>
      </c>
      <c r="C158" s="56">
        <f t="shared" si="10"/>
        <v>-2635214.3117988845</v>
      </c>
      <c r="D158" s="56">
        <f t="shared" si="11"/>
        <v>2.200249582529068E-8</v>
      </c>
      <c r="E158" s="56">
        <f t="shared" si="12"/>
        <v>-2635214.3117988626</v>
      </c>
      <c r="G158" s="56">
        <f>-'[10]KY Reg Liability Accelerated'!I173</f>
        <v>21081.714070437138</v>
      </c>
      <c r="J158" s="56">
        <f t="shared" si="13"/>
        <v>21081.714070437138</v>
      </c>
    </row>
    <row r="159" spans="2:10">
      <c r="B159" s="1043">
        <f t="shared" si="14"/>
        <v>47483</v>
      </c>
      <c r="C159" s="56">
        <f t="shared" si="10"/>
        <v>-2614132.5977284475</v>
      </c>
      <c r="D159" s="56">
        <f t="shared" si="11"/>
        <v>2.200249582529068E-8</v>
      </c>
      <c r="E159" s="56">
        <f t="shared" si="12"/>
        <v>-2614132.5977284256</v>
      </c>
      <c r="G159" s="56">
        <f>-'[10]KY Reg Liability Accelerated'!I174</f>
        <v>21081.714070437138</v>
      </c>
      <c r="J159" s="56">
        <f t="shared" si="13"/>
        <v>21081.714070437138</v>
      </c>
    </row>
    <row r="160" spans="2:10">
      <c r="B160" s="1043">
        <f t="shared" si="14"/>
        <v>47514</v>
      </c>
      <c r="C160" s="56">
        <f t="shared" si="10"/>
        <v>-2593050.8836580105</v>
      </c>
      <c r="D160" s="56">
        <f t="shared" si="11"/>
        <v>2.200249582529068E-8</v>
      </c>
      <c r="E160" s="56">
        <f t="shared" si="12"/>
        <v>-2593050.8836579886</v>
      </c>
      <c r="G160" s="56">
        <f>-'[10]KY Reg Liability Accelerated'!I175</f>
        <v>21081.714070437138</v>
      </c>
      <c r="J160" s="56">
        <f t="shared" si="13"/>
        <v>21081.714070437138</v>
      </c>
    </row>
    <row r="161" spans="2:10">
      <c r="B161" s="1043">
        <f t="shared" si="14"/>
        <v>47542</v>
      </c>
      <c r="C161" s="56">
        <f t="shared" si="10"/>
        <v>-2571969.1695875735</v>
      </c>
      <c r="D161" s="56">
        <f t="shared" si="11"/>
        <v>2.200249582529068E-8</v>
      </c>
      <c r="E161" s="56">
        <f t="shared" si="12"/>
        <v>-2571969.1695875516</v>
      </c>
      <c r="G161" s="56">
        <f>-'[10]KY Reg Liability Accelerated'!I176</f>
        <v>21081.714070437138</v>
      </c>
      <c r="J161" s="56">
        <f t="shared" si="13"/>
        <v>21081.714070437138</v>
      </c>
    </row>
    <row r="162" spans="2:10">
      <c r="B162" s="1043">
        <f t="shared" si="14"/>
        <v>47573</v>
      </c>
      <c r="C162" s="56">
        <f t="shared" si="10"/>
        <v>-2550887.4555171365</v>
      </c>
      <c r="D162" s="56">
        <f t="shared" si="11"/>
        <v>2.200249582529068E-8</v>
      </c>
      <c r="E162" s="56">
        <f t="shared" si="12"/>
        <v>-2550887.4555171146</v>
      </c>
      <c r="G162" s="56">
        <f>-'[10]KY Reg Liability Accelerated'!I177</f>
        <v>21081.714070437138</v>
      </c>
      <c r="J162" s="56">
        <f t="shared" si="13"/>
        <v>21081.714070437138</v>
      </c>
    </row>
    <row r="163" spans="2:10">
      <c r="B163" s="1043">
        <f t="shared" si="14"/>
        <v>47603</v>
      </c>
      <c r="C163" s="56">
        <f t="shared" si="10"/>
        <v>-2529805.7414466995</v>
      </c>
      <c r="D163" s="56">
        <f t="shared" si="11"/>
        <v>2.200249582529068E-8</v>
      </c>
      <c r="E163" s="56">
        <f t="shared" si="12"/>
        <v>-2529805.7414466776</v>
      </c>
      <c r="G163" s="56">
        <f>-'[10]KY Reg Liability Accelerated'!I178</f>
        <v>21081.714070437138</v>
      </c>
      <c r="J163" s="56">
        <f t="shared" si="13"/>
        <v>21081.714070437138</v>
      </c>
    </row>
    <row r="164" spans="2:10">
      <c r="B164" s="1043">
        <f t="shared" si="14"/>
        <v>47634</v>
      </c>
      <c r="C164" s="56">
        <f t="shared" si="10"/>
        <v>-2508724.0273762625</v>
      </c>
      <c r="D164" s="56">
        <f t="shared" si="11"/>
        <v>2.200249582529068E-8</v>
      </c>
      <c r="E164" s="56">
        <f t="shared" si="12"/>
        <v>-2508724.0273762406</v>
      </c>
      <c r="G164" s="56">
        <f>-'[10]KY Reg Liability Accelerated'!I179</f>
        <v>21081.714070437138</v>
      </c>
      <c r="J164" s="56">
        <f t="shared" si="13"/>
        <v>21081.714070437138</v>
      </c>
    </row>
    <row r="165" spans="2:10">
      <c r="B165" s="1043">
        <f t="shared" si="14"/>
        <v>47664</v>
      </c>
      <c r="C165" s="56">
        <f t="shared" si="10"/>
        <v>-2487642.3133058255</v>
      </c>
      <c r="D165" s="56">
        <f t="shared" si="11"/>
        <v>2.200249582529068E-8</v>
      </c>
      <c r="E165" s="56">
        <f t="shared" si="12"/>
        <v>-2487642.3133058036</v>
      </c>
      <c r="G165" s="56">
        <f>-'[10]KY Reg Liability Accelerated'!I180</f>
        <v>21081.714070437138</v>
      </c>
      <c r="J165" s="56">
        <f t="shared" si="13"/>
        <v>21081.714070437138</v>
      </c>
    </row>
    <row r="166" spans="2:10">
      <c r="B166" s="1043">
        <f t="shared" si="14"/>
        <v>47695</v>
      </c>
      <c r="C166" s="56">
        <f t="shared" si="10"/>
        <v>-2466560.5992353885</v>
      </c>
      <c r="D166" s="56">
        <f t="shared" si="11"/>
        <v>2.200249582529068E-8</v>
      </c>
      <c r="E166" s="56">
        <f t="shared" si="12"/>
        <v>-2466560.5992353666</v>
      </c>
      <c r="G166" s="56">
        <f>-'[10]KY Reg Liability Accelerated'!I181</f>
        <v>21081.714070437138</v>
      </c>
      <c r="J166" s="56">
        <f t="shared" si="13"/>
        <v>21081.714070437138</v>
      </c>
    </row>
    <row r="167" spans="2:10">
      <c r="B167" s="1043">
        <f t="shared" si="14"/>
        <v>47726</v>
      </c>
      <c r="C167" s="56">
        <f t="shared" si="10"/>
        <v>-2445478.8851649514</v>
      </c>
      <c r="D167" s="56">
        <f t="shared" si="11"/>
        <v>2.200249582529068E-8</v>
      </c>
      <c r="E167" s="56">
        <f t="shared" si="12"/>
        <v>-2445478.8851649296</v>
      </c>
      <c r="G167" s="56">
        <f>-'[10]KY Reg Liability Accelerated'!I182</f>
        <v>21081.714070437138</v>
      </c>
      <c r="J167" s="56">
        <f t="shared" si="13"/>
        <v>21081.714070437138</v>
      </c>
    </row>
    <row r="168" spans="2:10">
      <c r="B168" s="1043">
        <f t="shared" si="14"/>
        <v>47756</v>
      </c>
      <c r="C168" s="56">
        <f t="shared" si="10"/>
        <v>-2424397.1710945144</v>
      </c>
      <c r="D168" s="56">
        <f t="shared" si="11"/>
        <v>2.200249582529068E-8</v>
      </c>
      <c r="E168" s="56">
        <f t="shared" si="12"/>
        <v>-2424397.1710944925</v>
      </c>
      <c r="G168" s="56">
        <f>-'[10]KY Reg Liability Accelerated'!I183</f>
        <v>21081.714070437138</v>
      </c>
      <c r="J168" s="56">
        <f t="shared" si="13"/>
        <v>21081.714070437138</v>
      </c>
    </row>
    <row r="169" spans="2:10">
      <c r="B169" s="1043">
        <f t="shared" si="14"/>
        <v>47787</v>
      </c>
      <c r="C169" s="56">
        <f t="shared" si="10"/>
        <v>-2403315.4570240774</v>
      </c>
      <c r="D169" s="56">
        <f t="shared" si="11"/>
        <v>2.200249582529068E-8</v>
      </c>
      <c r="E169" s="56">
        <f t="shared" si="12"/>
        <v>-2403315.4570240555</v>
      </c>
      <c r="G169" s="56">
        <f>-'[10]KY Reg Liability Accelerated'!I184</f>
        <v>21081.714070437138</v>
      </c>
      <c r="J169" s="56">
        <f t="shared" si="13"/>
        <v>21081.714070437138</v>
      </c>
    </row>
    <row r="170" spans="2:10">
      <c r="B170" s="1043">
        <f t="shared" si="14"/>
        <v>47817</v>
      </c>
      <c r="C170" s="56">
        <f t="shared" si="10"/>
        <v>-2382233.7429536404</v>
      </c>
      <c r="D170" s="56">
        <f t="shared" si="11"/>
        <v>2.200249582529068E-8</v>
      </c>
      <c r="E170" s="56">
        <f t="shared" si="12"/>
        <v>-2382233.7429536185</v>
      </c>
      <c r="G170" s="56">
        <f>-'[10]KY Reg Liability Accelerated'!I185</f>
        <v>21081.714070437138</v>
      </c>
      <c r="J170" s="56">
        <f t="shared" si="13"/>
        <v>21081.714070437138</v>
      </c>
    </row>
    <row r="171" spans="2:10">
      <c r="B171" s="1043">
        <f t="shared" si="14"/>
        <v>47848</v>
      </c>
      <c r="C171" s="56">
        <f t="shared" si="10"/>
        <v>-2361152.0288832034</v>
      </c>
      <c r="D171" s="56">
        <f t="shared" si="11"/>
        <v>2.200249582529068E-8</v>
      </c>
      <c r="E171" s="56">
        <f t="shared" si="12"/>
        <v>-2361152.0288831815</v>
      </c>
      <c r="G171" s="56">
        <f>-'[10]KY Reg Liability Accelerated'!I186</f>
        <v>21081.714070437138</v>
      </c>
      <c r="J171" s="56">
        <f t="shared" si="13"/>
        <v>21081.714070437138</v>
      </c>
    </row>
    <row r="172" spans="2:10">
      <c r="B172" s="1043">
        <f t="shared" si="14"/>
        <v>47879</v>
      </c>
      <c r="C172" s="56">
        <f t="shared" si="10"/>
        <v>-2340070.3148127664</v>
      </c>
      <c r="D172" s="56">
        <f t="shared" si="11"/>
        <v>2.200249582529068E-8</v>
      </c>
      <c r="E172" s="56">
        <f t="shared" si="12"/>
        <v>-2340070.3148127445</v>
      </c>
      <c r="G172" s="56">
        <f>-'[10]KY Reg Liability Accelerated'!I187</f>
        <v>21081.714070437138</v>
      </c>
      <c r="J172" s="56">
        <f t="shared" si="13"/>
        <v>21081.714070437138</v>
      </c>
    </row>
    <row r="173" spans="2:10">
      <c r="B173" s="1043">
        <f t="shared" si="14"/>
        <v>47907</v>
      </c>
      <c r="C173" s="56">
        <f t="shared" si="10"/>
        <v>-2318988.6007423294</v>
      </c>
      <c r="D173" s="56">
        <f t="shared" si="11"/>
        <v>2.200249582529068E-8</v>
      </c>
      <c r="E173" s="56">
        <f t="shared" si="12"/>
        <v>-2318988.6007423075</v>
      </c>
      <c r="G173" s="56">
        <f>-'[10]KY Reg Liability Accelerated'!I188</f>
        <v>21081.714070437138</v>
      </c>
      <c r="J173" s="56">
        <f t="shared" si="13"/>
        <v>21081.714070437138</v>
      </c>
    </row>
    <row r="174" spans="2:10">
      <c r="B174" s="1043">
        <f t="shared" si="14"/>
        <v>47938</v>
      </c>
      <c r="C174" s="56">
        <f t="shared" si="10"/>
        <v>-2297906.8866718924</v>
      </c>
      <c r="D174" s="56">
        <f t="shared" si="11"/>
        <v>2.200249582529068E-8</v>
      </c>
      <c r="E174" s="56">
        <f t="shared" si="12"/>
        <v>-2297906.8866718705</v>
      </c>
      <c r="G174" s="56">
        <f>-'[10]KY Reg Liability Accelerated'!I189</f>
        <v>21081.714070437138</v>
      </c>
      <c r="J174" s="56">
        <f t="shared" si="13"/>
        <v>21081.714070437138</v>
      </c>
    </row>
    <row r="175" spans="2:10">
      <c r="B175" s="1043">
        <f t="shared" si="14"/>
        <v>47968</v>
      </c>
      <c r="C175" s="56">
        <f t="shared" si="10"/>
        <v>-2276825.1726014554</v>
      </c>
      <c r="D175" s="56">
        <f t="shared" si="11"/>
        <v>2.200249582529068E-8</v>
      </c>
      <c r="E175" s="56">
        <f t="shared" si="12"/>
        <v>-2276825.1726014335</v>
      </c>
      <c r="G175" s="56">
        <f>-'[10]KY Reg Liability Accelerated'!I190</f>
        <v>21081.714070437138</v>
      </c>
      <c r="J175" s="56">
        <f t="shared" si="13"/>
        <v>21081.714070437138</v>
      </c>
    </row>
    <row r="176" spans="2:10">
      <c r="B176" s="1043">
        <f t="shared" si="14"/>
        <v>47999</v>
      </c>
      <c r="C176" s="56">
        <f t="shared" si="10"/>
        <v>-2255743.4585310183</v>
      </c>
      <c r="D176" s="56">
        <f t="shared" si="11"/>
        <v>2.200249582529068E-8</v>
      </c>
      <c r="E176" s="56">
        <f t="shared" si="12"/>
        <v>-2255743.4585309965</v>
      </c>
      <c r="G176" s="56">
        <f>-'[10]KY Reg Liability Accelerated'!I191</f>
        <v>21081.714070437138</v>
      </c>
      <c r="J176" s="56">
        <f t="shared" si="13"/>
        <v>21081.714070437138</v>
      </c>
    </row>
    <row r="177" spans="2:10">
      <c r="B177" s="1043">
        <f t="shared" si="14"/>
        <v>48029</v>
      </c>
      <c r="C177" s="56">
        <f t="shared" si="10"/>
        <v>-2234661.7444605813</v>
      </c>
      <c r="D177" s="56">
        <f t="shared" si="11"/>
        <v>2.200249582529068E-8</v>
      </c>
      <c r="E177" s="56">
        <f t="shared" si="12"/>
        <v>-2234661.7444605595</v>
      </c>
      <c r="G177" s="56">
        <f>-'[10]KY Reg Liability Accelerated'!I192</f>
        <v>21081.714070437138</v>
      </c>
      <c r="J177" s="56">
        <f t="shared" si="13"/>
        <v>21081.714070437138</v>
      </c>
    </row>
    <row r="178" spans="2:10">
      <c r="B178" s="1043">
        <f t="shared" si="14"/>
        <v>48060</v>
      </c>
      <c r="C178" s="56">
        <f t="shared" si="10"/>
        <v>-2213580.0303901443</v>
      </c>
      <c r="D178" s="56">
        <f t="shared" si="11"/>
        <v>2.200249582529068E-8</v>
      </c>
      <c r="E178" s="56">
        <f t="shared" si="12"/>
        <v>-2213580.0303901224</v>
      </c>
      <c r="G178" s="56">
        <f>-'[10]KY Reg Liability Accelerated'!I193</f>
        <v>21081.714070437138</v>
      </c>
      <c r="J178" s="56">
        <f t="shared" si="13"/>
        <v>21081.714070437138</v>
      </c>
    </row>
    <row r="179" spans="2:10">
      <c r="B179" s="1043">
        <f t="shared" si="14"/>
        <v>48091</v>
      </c>
      <c r="C179" s="56">
        <f t="shared" si="10"/>
        <v>-2192498.3163197073</v>
      </c>
      <c r="D179" s="56">
        <f t="shared" si="11"/>
        <v>2.200249582529068E-8</v>
      </c>
      <c r="E179" s="56">
        <f t="shared" si="12"/>
        <v>-2192498.3163196854</v>
      </c>
      <c r="G179" s="56">
        <f>-'[10]KY Reg Liability Accelerated'!I194</f>
        <v>21081.714070437138</v>
      </c>
      <c r="J179" s="56">
        <f t="shared" si="13"/>
        <v>21081.714070437138</v>
      </c>
    </row>
    <row r="180" spans="2:10">
      <c r="B180" s="1043">
        <f t="shared" si="14"/>
        <v>48121</v>
      </c>
      <c r="C180" s="56">
        <f t="shared" si="10"/>
        <v>-2171416.6022492703</v>
      </c>
      <c r="D180" s="56">
        <f t="shared" si="11"/>
        <v>2.200249582529068E-8</v>
      </c>
      <c r="E180" s="56">
        <f t="shared" si="12"/>
        <v>-2171416.6022492484</v>
      </c>
      <c r="G180" s="56">
        <f>-'[10]KY Reg Liability Accelerated'!I195</f>
        <v>21081.714070437138</v>
      </c>
      <c r="J180" s="56">
        <f t="shared" si="13"/>
        <v>21081.714070437138</v>
      </c>
    </row>
    <row r="181" spans="2:10">
      <c r="B181" s="1043">
        <f t="shared" si="14"/>
        <v>48152</v>
      </c>
      <c r="C181" s="56">
        <f t="shared" si="10"/>
        <v>-2150334.8881788333</v>
      </c>
      <c r="D181" s="56">
        <f t="shared" si="11"/>
        <v>2.200249582529068E-8</v>
      </c>
      <c r="E181" s="56">
        <f t="shared" si="12"/>
        <v>-2150334.8881788114</v>
      </c>
      <c r="G181" s="56">
        <f>-'[10]KY Reg Liability Accelerated'!I196</f>
        <v>21081.714070437138</v>
      </c>
      <c r="J181" s="56">
        <f t="shared" si="13"/>
        <v>21081.714070437138</v>
      </c>
    </row>
    <row r="182" spans="2:10">
      <c r="B182" s="1043">
        <f t="shared" si="14"/>
        <v>48182</v>
      </c>
      <c r="C182" s="56">
        <f t="shared" si="10"/>
        <v>-2129253.1741083963</v>
      </c>
      <c r="D182" s="56">
        <f t="shared" si="11"/>
        <v>2.200249582529068E-8</v>
      </c>
      <c r="E182" s="56">
        <f t="shared" si="12"/>
        <v>-2129253.1741083744</v>
      </c>
      <c r="G182" s="56">
        <f>-'[10]KY Reg Liability Accelerated'!I197</f>
        <v>21081.714070437138</v>
      </c>
      <c r="J182" s="56">
        <f t="shared" si="13"/>
        <v>21081.714070437138</v>
      </c>
    </row>
    <row r="183" spans="2:10">
      <c r="B183" s="1043">
        <f t="shared" si="14"/>
        <v>48213</v>
      </c>
      <c r="C183" s="56">
        <f t="shared" si="10"/>
        <v>-2108171.4600379593</v>
      </c>
      <c r="D183" s="56">
        <f t="shared" si="11"/>
        <v>2.200249582529068E-8</v>
      </c>
      <c r="E183" s="56">
        <f t="shared" si="12"/>
        <v>-2108171.4600379374</v>
      </c>
      <c r="G183" s="56">
        <f>-'[10]KY Reg Liability Accelerated'!I198</f>
        <v>21081.714070437138</v>
      </c>
      <c r="J183" s="56">
        <f t="shared" si="13"/>
        <v>21081.714070437138</v>
      </c>
    </row>
    <row r="184" spans="2:10">
      <c r="B184" s="1043">
        <f t="shared" si="14"/>
        <v>48244</v>
      </c>
      <c r="C184" s="56">
        <f t="shared" si="10"/>
        <v>-2087089.745967522</v>
      </c>
      <c r="D184" s="56">
        <f t="shared" si="11"/>
        <v>2.200249582529068E-8</v>
      </c>
      <c r="E184" s="56">
        <f t="shared" si="12"/>
        <v>-2087089.7459674999</v>
      </c>
      <c r="G184" s="56">
        <f>-'[10]KY Reg Liability Accelerated'!I199</f>
        <v>21081.714070437138</v>
      </c>
      <c r="J184" s="56">
        <f t="shared" si="13"/>
        <v>21081.714070437138</v>
      </c>
    </row>
    <row r="185" spans="2:10">
      <c r="B185" s="1043">
        <f t="shared" si="14"/>
        <v>48273</v>
      </c>
      <c r="C185" s="56">
        <f t="shared" si="10"/>
        <v>-2066008.0318970848</v>
      </c>
      <c r="D185" s="56">
        <f t="shared" si="11"/>
        <v>2.200249582529068E-8</v>
      </c>
      <c r="E185" s="56">
        <f t="shared" si="12"/>
        <v>-2066008.0318970629</v>
      </c>
      <c r="G185" s="56">
        <f>-'[10]KY Reg Liability Accelerated'!I200</f>
        <v>21081.714070437138</v>
      </c>
      <c r="J185" s="56">
        <f t="shared" si="13"/>
        <v>21081.714070437138</v>
      </c>
    </row>
    <row r="186" spans="2:10">
      <c r="B186" s="1043">
        <f t="shared" si="14"/>
        <v>48304</v>
      </c>
      <c r="C186" s="56">
        <f t="shared" si="10"/>
        <v>-2044926.3178266475</v>
      </c>
      <c r="D186" s="56">
        <f t="shared" si="11"/>
        <v>2.200249582529068E-8</v>
      </c>
      <c r="E186" s="56">
        <f t="shared" si="12"/>
        <v>-2044926.3178266254</v>
      </c>
      <c r="G186" s="56">
        <f>-'[10]KY Reg Liability Accelerated'!I201</f>
        <v>21081.714070437138</v>
      </c>
      <c r="J186" s="56">
        <f t="shared" si="13"/>
        <v>21081.714070437138</v>
      </c>
    </row>
    <row r="187" spans="2:10">
      <c r="B187" s="1043">
        <f t="shared" si="14"/>
        <v>48334</v>
      </c>
      <c r="C187" s="56">
        <f t="shared" si="10"/>
        <v>-2023844.6037562103</v>
      </c>
      <c r="D187" s="56">
        <f t="shared" si="11"/>
        <v>2.200249582529068E-8</v>
      </c>
      <c r="E187" s="56">
        <f t="shared" si="12"/>
        <v>-2023844.6037561884</v>
      </c>
      <c r="G187" s="56">
        <f>-'[10]KY Reg Liability Accelerated'!I202</f>
        <v>21081.714070437138</v>
      </c>
      <c r="J187" s="56">
        <f t="shared" si="13"/>
        <v>21081.714070437138</v>
      </c>
    </row>
    <row r="188" spans="2:10">
      <c r="B188" s="1043">
        <f t="shared" si="14"/>
        <v>48365</v>
      </c>
      <c r="C188" s="56">
        <f t="shared" si="10"/>
        <v>-2002762.8896857731</v>
      </c>
      <c r="D188" s="56">
        <f t="shared" si="11"/>
        <v>2.200249582529068E-8</v>
      </c>
      <c r="E188" s="56">
        <f t="shared" si="12"/>
        <v>-2002762.8896857509</v>
      </c>
      <c r="G188" s="56">
        <f>-'[10]KY Reg Liability Accelerated'!I203</f>
        <v>21081.714070437138</v>
      </c>
      <c r="J188" s="56">
        <f t="shared" si="13"/>
        <v>21081.714070437138</v>
      </c>
    </row>
    <row r="189" spans="2:10">
      <c r="B189" s="1043">
        <f t="shared" si="14"/>
        <v>48395</v>
      </c>
      <c r="C189" s="56">
        <f t="shared" si="10"/>
        <v>-1981681.1756153358</v>
      </c>
      <c r="D189" s="56">
        <f t="shared" si="11"/>
        <v>2.200249582529068E-8</v>
      </c>
      <c r="E189" s="56">
        <f t="shared" si="12"/>
        <v>-1981681.1756153139</v>
      </c>
      <c r="G189" s="56">
        <f>-'[10]KY Reg Liability Accelerated'!I204</f>
        <v>21081.714070437138</v>
      </c>
      <c r="J189" s="56">
        <f t="shared" si="13"/>
        <v>21081.714070437138</v>
      </c>
    </row>
    <row r="190" spans="2:10">
      <c r="B190" s="1043">
        <f t="shared" si="14"/>
        <v>48426</v>
      </c>
      <c r="C190" s="56">
        <f t="shared" si="10"/>
        <v>-1960599.4615448986</v>
      </c>
      <c r="D190" s="56">
        <f t="shared" si="11"/>
        <v>2.200249582529068E-8</v>
      </c>
      <c r="E190" s="56">
        <f t="shared" si="12"/>
        <v>-1960599.4615448765</v>
      </c>
      <c r="G190" s="56">
        <f>-'[10]KY Reg Liability Accelerated'!I205</f>
        <v>21081.714070437138</v>
      </c>
      <c r="J190" s="56">
        <f t="shared" si="13"/>
        <v>21081.714070437138</v>
      </c>
    </row>
    <row r="191" spans="2:10">
      <c r="B191" s="1043">
        <f t="shared" si="14"/>
        <v>48457</v>
      </c>
      <c r="C191" s="56">
        <f t="shared" si="10"/>
        <v>-1939517.7474744613</v>
      </c>
      <c r="D191" s="56">
        <f t="shared" si="11"/>
        <v>2.200249582529068E-8</v>
      </c>
      <c r="E191" s="56">
        <f t="shared" si="12"/>
        <v>-1939517.7474744394</v>
      </c>
      <c r="G191" s="56">
        <f>-'[10]KY Reg Liability Accelerated'!I206</f>
        <v>21081.714070437138</v>
      </c>
      <c r="J191" s="56">
        <f t="shared" si="13"/>
        <v>21081.714070437138</v>
      </c>
    </row>
    <row r="192" spans="2:10">
      <c r="B192" s="1043">
        <f t="shared" si="14"/>
        <v>48487</v>
      </c>
      <c r="C192" s="56">
        <f t="shared" si="10"/>
        <v>-1918436.0334040241</v>
      </c>
      <c r="D192" s="56">
        <f t="shared" si="11"/>
        <v>2.200249582529068E-8</v>
      </c>
      <c r="E192" s="56">
        <f t="shared" si="12"/>
        <v>-1918436.033404002</v>
      </c>
      <c r="G192" s="56">
        <f>-'[10]KY Reg Liability Accelerated'!I207</f>
        <v>21081.714070437138</v>
      </c>
      <c r="J192" s="56">
        <f t="shared" si="13"/>
        <v>21081.714070437138</v>
      </c>
    </row>
    <row r="193" spans="2:10">
      <c r="B193" s="1043">
        <f t="shared" si="14"/>
        <v>48518</v>
      </c>
      <c r="C193" s="56">
        <f t="shared" si="10"/>
        <v>-1897354.3193335868</v>
      </c>
      <c r="D193" s="56">
        <f t="shared" si="11"/>
        <v>2.200249582529068E-8</v>
      </c>
      <c r="E193" s="56">
        <f t="shared" si="12"/>
        <v>-1897354.319333565</v>
      </c>
      <c r="G193" s="56">
        <f>-'[10]KY Reg Liability Accelerated'!I208</f>
        <v>21081.714070437138</v>
      </c>
      <c r="J193" s="56">
        <f t="shared" si="13"/>
        <v>21081.714070437138</v>
      </c>
    </row>
    <row r="194" spans="2:10">
      <c r="B194" s="1043">
        <f t="shared" si="14"/>
        <v>48548</v>
      </c>
      <c r="C194" s="56">
        <f t="shared" si="10"/>
        <v>-1876272.6052631496</v>
      </c>
      <c r="D194" s="56">
        <f t="shared" si="11"/>
        <v>2.200249582529068E-8</v>
      </c>
      <c r="E194" s="56">
        <f t="shared" si="12"/>
        <v>-1876272.6052631275</v>
      </c>
      <c r="G194" s="56">
        <f>-'[10]KY Reg Liability Accelerated'!I209</f>
        <v>21081.714070437138</v>
      </c>
      <c r="J194" s="56">
        <f t="shared" si="13"/>
        <v>21081.714070437138</v>
      </c>
    </row>
    <row r="195" spans="2:10">
      <c r="B195" s="1043">
        <f t="shared" si="14"/>
        <v>48579</v>
      </c>
      <c r="C195" s="56">
        <f t="shared" si="10"/>
        <v>-1855190.8911927124</v>
      </c>
      <c r="D195" s="56">
        <f t="shared" si="11"/>
        <v>2.200249582529068E-8</v>
      </c>
      <c r="E195" s="56">
        <f t="shared" si="12"/>
        <v>-1855190.8911926905</v>
      </c>
      <c r="G195" s="56">
        <f>-'[10]KY Reg Liability Accelerated'!I210</f>
        <v>21081.714070437138</v>
      </c>
      <c r="J195" s="56">
        <f t="shared" si="13"/>
        <v>21081.714070437138</v>
      </c>
    </row>
    <row r="196" spans="2:10">
      <c r="B196" s="1043">
        <f t="shared" si="14"/>
        <v>48610</v>
      </c>
      <c r="C196" s="56">
        <f t="shared" si="10"/>
        <v>-1834109.1771222751</v>
      </c>
      <c r="D196" s="56">
        <f t="shared" si="11"/>
        <v>2.200249582529068E-8</v>
      </c>
      <c r="E196" s="56">
        <f t="shared" si="12"/>
        <v>-1834109.177122253</v>
      </c>
      <c r="G196" s="56">
        <f>-'[10]KY Reg Liability Accelerated'!I211</f>
        <v>21081.714070437138</v>
      </c>
      <c r="J196" s="56">
        <f t="shared" si="13"/>
        <v>21081.714070437138</v>
      </c>
    </row>
    <row r="197" spans="2:10">
      <c r="B197" s="1043">
        <f t="shared" si="14"/>
        <v>48638</v>
      </c>
      <c r="C197" s="56">
        <f t="shared" si="10"/>
        <v>-1813027.4630518379</v>
      </c>
      <c r="D197" s="56">
        <f t="shared" si="11"/>
        <v>2.200249582529068E-8</v>
      </c>
      <c r="E197" s="56">
        <f t="shared" si="12"/>
        <v>-1813027.463051816</v>
      </c>
      <c r="G197" s="56">
        <f>-'[10]KY Reg Liability Accelerated'!I212</f>
        <v>21081.714070437138</v>
      </c>
      <c r="J197" s="56">
        <f t="shared" si="13"/>
        <v>21081.714070437138</v>
      </c>
    </row>
    <row r="198" spans="2:10">
      <c r="B198" s="1043">
        <f t="shared" si="14"/>
        <v>48669</v>
      </c>
      <c r="C198" s="56">
        <f t="shared" si="10"/>
        <v>-1791945.7489814006</v>
      </c>
      <c r="D198" s="56">
        <f t="shared" si="11"/>
        <v>2.200249582529068E-8</v>
      </c>
      <c r="E198" s="56">
        <f t="shared" si="12"/>
        <v>-1791945.7489813785</v>
      </c>
      <c r="G198" s="56">
        <f>-'[10]KY Reg Liability Accelerated'!I213</f>
        <v>21081.714070437138</v>
      </c>
      <c r="J198" s="56">
        <f t="shared" si="13"/>
        <v>21081.714070437138</v>
      </c>
    </row>
    <row r="199" spans="2:10">
      <c r="B199" s="1043">
        <f t="shared" si="14"/>
        <v>48699</v>
      </c>
      <c r="C199" s="56">
        <f t="shared" si="10"/>
        <v>-1770864.0349109634</v>
      </c>
      <c r="D199" s="56">
        <f t="shared" si="11"/>
        <v>2.200249582529068E-8</v>
      </c>
      <c r="E199" s="56">
        <f t="shared" si="12"/>
        <v>-1770864.0349109415</v>
      </c>
      <c r="G199" s="56">
        <f>-'[10]KY Reg Liability Accelerated'!I214</f>
        <v>21081.714070437138</v>
      </c>
      <c r="J199" s="56">
        <f t="shared" si="13"/>
        <v>21081.714070437138</v>
      </c>
    </row>
    <row r="200" spans="2:10">
      <c r="B200" s="1043">
        <f t="shared" si="14"/>
        <v>48730</v>
      </c>
      <c r="C200" s="56">
        <f t="shared" si="10"/>
        <v>-1749782.3208405261</v>
      </c>
      <c r="D200" s="56">
        <f t="shared" si="11"/>
        <v>2.200249582529068E-8</v>
      </c>
      <c r="E200" s="56">
        <f t="shared" si="12"/>
        <v>-1749782.320840504</v>
      </c>
      <c r="G200" s="56">
        <f>-'[10]KY Reg Liability Accelerated'!I215</f>
        <v>21081.714070437138</v>
      </c>
      <c r="J200" s="56">
        <f t="shared" si="13"/>
        <v>21081.714070437138</v>
      </c>
    </row>
    <row r="201" spans="2:10">
      <c r="B201" s="1043">
        <f t="shared" si="14"/>
        <v>48760</v>
      </c>
      <c r="C201" s="56">
        <f t="shared" si="10"/>
        <v>-1728700.6067700889</v>
      </c>
      <c r="D201" s="56">
        <f t="shared" si="11"/>
        <v>2.200249582529068E-8</v>
      </c>
      <c r="E201" s="56">
        <f t="shared" si="12"/>
        <v>-1728700.606770067</v>
      </c>
      <c r="G201" s="56">
        <f>-'[10]KY Reg Liability Accelerated'!I216</f>
        <v>21081.714070437138</v>
      </c>
      <c r="J201" s="56">
        <f t="shared" si="13"/>
        <v>21081.714070437138</v>
      </c>
    </row>
    <row r="202" spans="2:10">
      <c r="B202" s="1043">
        <f t="shared" si="14"/>
        <v>48791</v>
      </c>
      <c r="C202" s="56">
        <f t="shared" si="10"/>
        <v>-1707618.8926996517</v>
      </c>
      <c r="D202" s="56">
        <f t="shared" si="11"/>
        <v>2.200249582529068E-8</v>
      </c>
      <c r="E202" s="56">
        <f t="shared" si="12"/>
        <v>-1707618.8926996295</v>
      </c>
      <c r="G202" s="56">
        <f>-'[10]KY Reg Liability Accelerated'!I217</f>
        <v>21081.714070437138</v>
      </c>
      <c r="J202" s="56">
        <f t="shared" si="13"/>
        <v>21081.714070437138</v>
      </c>
    </row>
    <row r="203" spans="2:10">
      <c r="B203" s="1043">
        <f t="shared" si="14"/>
        <v>48822</v>
      </c>
      <c r="C203" s="56">
        <f t="shared" si="10"/>
        <v>-1686537.1786292144</v>
      </c>
      <c r="D203" s="56">
        <f t="shared" si="11"/>
        <v>2.200249582529068E-8</v>
      </c>
      <c r="E203" s="56">
        <f t="shared" si="12"/>
        <v>-1686537.1786291925</v>
      </c>
      <c r="G203" s="56">
        <f>-'[10]KY Reg Liability Accelerated'!I218</f>
        <v>21081.714070437138</v>
      </c>
      <c r="J203" s="56">
        <f t="shared" si="13"/>
        <v>21081.714070437138</v>
      </c>
    </row>
    <row r="204" spans="2:10">
      <c r="B204" s="1043">
        <f t="shared" si="14"/>
        <v>48852</v>
      </c>
      <c r="C204" s="56">
        <f t="shared" si="10"/>
        <v>-1665455.4645587772</v>
      </c>
      <c r="D204" s="56">
        <f t="shared" si="11"/>
        <v>2.200249582529068E-8</v>
      </c>
      <c r="E204" s="56">
        <f t="shared" si="12"/>
        <v>-1665455.464558755</v>
      </c>
      <c r="G204" s="56">
        <f>-'[10]KY Reg Liability Accelerated'!I219</f>
        <v>21081.714070437138</v>
      </c>
      <c r="J204" s="56">
        <f t="shared" si="13"/>
        <v>21081.714070437138</v>
      </c>
    </row>
    <row r="205" spans="2:10">
      <c r="B205" s="1043">
        <f t="shared" si="14"/>
        <v>48883</v>
      </c>
      <c r="C205" s="56">
        <f t="shared" si="10"/>
        <v>-1644373.7504883399</v>
      </c>
      <c r="D205" s="56">
        <f t="shared" si="11"/>
        <v>2.200249582529068E-8</v>
      </c>
      <c r="E205" s="56">
        <f t="shared" si="12"/>
        <v>-1644373.750488318</v>
      </c>
      <c r="G205" s="56">
        <f>-'[10]KY Reg Liability Accelerated'!I220</f>
        <v>21081.714070437138</v>
      </c>
      <c r="J205" s="56">
        <f t="shared" si="13"/>
        <v>21081.714070437138</v>
      </c>
    </row>
    <row r="206" spans="2:10">
      <c r="B206" s="1043">
        <f t="shared" si="14"/>
        <v>48913</v>
      </c>
      <c r="C206" s="56">
        <f t="shared" si="10"/>
        <v>-1623292.0364179027</v>
      </c>
      <c r="D206" s="56">
        <f t="shared" si="11"/>
        <v>2.200249582529068E-8</v>
      </c>
      <c r="E206" s="56">
        <f t="shared" si="12"/>
        <v>-1623292.0364178806</v>
      </c>
      <c r="G206" s="56">
        <f>-'[10]KY Reg Liability Accelerated'!I221</f>
        <v>21081.714070437138</v>
      </c>
      <c r="J206" s="56">
        <f t="shared" si="13"/>
        <v>21081.714070437138</v>
      </c>
    </row>
    <row r="207" spans="2:10">
      <c r="B207" s="1043">
        <f t="shared" si="14"/>
        <v>48944</v>
      </c>
      <c r="C207" s="56">
        <f t="shared" si="10"/>
        <v>-1602210.3223474654</v>
      </c>
      <c r="D207" s="56">
        <f t="shared" si="11"/>
        <v>2.200249582529068E-8</v>
      </c>
      <c r="E207" s="56">
        <f t="shared" si="12"/>
        <v>-1602210.3223474436</v>
      </c>
      <c r="G207" s="56">
        <f>-'[10]KY Reg Liability Accelerated'!I222</f>
        <v>21081.714070437138</v>
      </c>
      <c r="J207" s="56">
        <f t="shared" si="13"/>
        <v>21081.714070437138</v>
      </c>
    </row>
    <row r="208" spans="2:10">
      <c r="B208" s="1043">
        <f t="shared" si="14"/>
        <v>48975</v>
      </c>
      <c r="C208" s="56">
        <f t="shared" si="10"/>
        <v>-1581128.6082770282</v>
      </c>
      <c r="D208" s="56">
        <f t="shared" si="11"/>
        <v>2.200249582529068E-8</v>
      </c>
      <c r="E208" s="56">
        <f t="shared" si="12"/>
        <v>-1581128.6082770061</v>
      </c>
      <c r="G208" s="56">
        <f>-'[10]KY Reg Liability Accelerated'!I223</f>
        <v>21081.714070437138</v>
      </c>
      <c r="J208" s="56">
        <f t="shared" si="13"/>
        <v>21081.714070437138</v>
      </c>
    </row>
    <row r="209" spans="2:10">
      <c r="B209" s="1043">
        <f t="shared" si="14"/>
        <v>49003</v>
      </c>
      <c r="C209" s="56">
        <f t="shared" si="10"/>
        <v>-1560046.894206591</v>
      </c>
      <c r="D209" s="56">
        <f t="shared" si="11"/>
        <v>2.200249582529068E-8</v>
      </c>
      <c r="E209" s="56">
        <f t="shared" si="12"/>
        <v>-1560046.8942065691</v>
      </c>
      <c r="G209" s="56">
        <f>-'[10]KY Reg Liability Accelerated'!I224</f>
        <v>21081.714070437138</v>
      </c>
      <c r="J209" s="56">
        <f t="shared" si="13"/>
        <v>21081.714070437138</v>
      </c>
    </row>
    <row r="210" spans="2:10">
      <c r="B210" s="1043">
        <f t="shared" si="14"/>
        <v>49034</v>
      </c>
      <c r="C210" s="56">
        <f t="shared" si="10"/>
        <v>-1538965.1801361537</v>
      </c>
      <c r="D210" s="56">
        <f t="shared" si="11"/>
        <v>2.200249582529068E-8</v>
      </c>
      <c r="E210" s="56">
        <f t="shared" si="12"/>
        <v>-1538965.1801361316</v>
      </c>
      <c r="G210" s="56">
        <f>-'[10]KY Reg Liability Accelerated'!I225</f>
        <v>21081.714070437138</v>
      </c>
      <c r="J210" s="56">
        <f t="shared" si="13"/>
        <v>21081.714070437138</v>
      </c>
    </row>
    <row r="211" spans="2:10">
      <c r="B211" s="1043">
        <f t="shared" si="14"/>
        <v>49064</v>
      </c>
      <c r="C211" s="56">
        <f t="shared" si="10"/>
        <v>-1517883.4660657165</v>
      </c>
      <c r="D211" s="56">
        <f t="shared" si="11"/>
        <v>2.200249582529068E-8</v>
      </c>
      <c r="E211" s="56">
        <f t="shared" si="12"/>
        <v>-1517883.4660656946</v>
      </c>
      <c r="G211" s="56">
        <f>-'[10]KY Reg Liability Accelerated'!I226</f>
        <v>21081.714070437138</v>
      </c>
      <c r="J211" s="56">
        <f t="shared" si="13"/>
        <v>21081.714070437138</v>
      </c>
    </row>
    <row r="212" spans="2:10">
      <c r="B212" s="1043">
        <f t="shared" si="14"/>
        <v>49095</v>
      </c>
      <c r="C212" s="56">
        <f t="shared" si="10"/>
        <v>-1496801.7519952792</v>
      </c>
      <c r="D212" s="56">
        <f t="shared" si="11"/>
        <v>2.200249582529068E-8</v>
      </c>
      <c r="E212" s="56">
        <f t="shared" si="12"/>
        <v>-1496801.7519952571</v>
      </c>
      <c r="G212" s="56">
        <f>-'[10]KY Reg Liability Accelerated'!I227</f>
        <v>21081.714070437138</v>
      </c>
      <c r="J212" s="56">
        <f t="shared" si="13"/>
        <v>21081.714070437138</v>
      </c>
    </row>
    <row r="213" spans="2:10">
      <c r="B213" s="1043">
        <f t="shared" si="14"/>
        <v>49125</v>
      </c>
      <c r="C213" s="56">
        <f t="shared" ref="C213:C276" si="15">C212+G213</f>
        <v>-1475720.037924842</v>
      </c>
      <c r="D213" s="56">
        <f t="shared" ref="D213:D276" si="16">D212+H213+I213</f>
        <v>2.200249582529068E-8</v>
      </c>
      <c r="E213" s="56">
        <f t="shared" ref="E213:E276" si="17">C213+D213</f>
        <v>-1475720.0379248201</v>
      </c>
      <c r="G213" s="56">
        <f>-'[10]KY Reg Liability Accelerated'!I228</f>
        <v>21081.714070437138</v>
      </c>
      <c r="J213" s="56">
        <f t="shared" ref="J213:J276" si="18">SUM(G213:I213)</f>
        <v>21081.714070437138</v>
      </c>
    </row>
    <row r="214" spans="2:10">
      <c r="B214" s="1043">
        <f t="shared" ref="B214:B277" si="19">EOMONTH(B213,1)</f>
        <v>49156</v>
      </c>
      <c r="C214" s="56">
        <f t="shared" si="15"/>
        <v>-1454638.3238544047</v>
      </c>
      <c r="D214" s="56">
        <f t="shared" si="16"/>
        <v>2.200249582529068E-8</v>
      </c>
      <c r="E214" s="56">
        <f t="shared" si="17"/>
        <v>-1454638.3238543826</v>
      </c>
      <c r="G214" s="56">
        <f>-'[10]KY Reg Liability Accelerated'!I229</f>
        <v>21081.714070437138</v>
      </c>
      <c r="J214" s="56">
        <f t="shared" si="18"/>
        <v>21081.714070437138</v>
      </c>
    </row>
    <row r="215" spans="2:10">
      <c r="B215" s="1043">
        <f t="shared" si="19"/>
        <v>49187</v>
      </c>
      <c r="C215" s="56">
        <f t="shared" si="15"/>
        <v>-1433556.6097839675</v>
      </c>
      <c r="D215" s="56">
        <f t="shared" si="16"/>
        <v>2.200249582529068E-8</v>
      </c>
      <c r="E215" s="56">
        <f t="shared" si="17"/>
        <v>-1433556.6097839456</v>
      </c>
      <c r="G215" s="56">
        <f>-'[10]KY Reg Liability Accelerated'!I230</f>
        <v>21081.714070437138</v>
      </c>
      <c r="J215" s="56">
        <f t="shared" si="18"/>
        <v>21081.714070437138</v>
      </c>
    </row>
    <row r="216" spans="2:10">
      <c r="B216" s="1043">
        <f t="shared" si="19"/>
        <v>49217</v>
      </c>
      <c r="C216" s="56">
        <f t="shared" si="15"/>
        <v>-1412474.8957135302</v>
      </c>
      <c r="D216" s="56">
        <f t="shared" si="16"/>
        <v>2.200249582529068E-8</v>
      </c>
      <c r="E216" s="56">
        <f t="shared" si="17"/>
        <v>-1412474.8957135081</v>
      </c>
      <c r="G216" s="56">
        <f>-'[10]KY Reg Liability Accelerated'!I231</f>
        <v>21081.714070437138</v>
      </c>
      <c r="J216" s="56">
        <f t="shared" si="18"/>
        <v>21081.714070437138</v>
      </c>
    </row>
    <row r="217" spans="2:10">
      <c r="B217" s="1043">
        <f t="shared" si="19"/>
        <v>49248</v>
      </c>
      <c r="C217" s="56">
        <f t="shared" si="15"/>
        <v>-1391393.181643093</v>
      </c>
      <c r="D217" s="56">
        <f t="shared" si="16"/>
        <v>2.200249582529068E-8</v>
      </c>
      <c r="E217" s="56">
        <f t="shared" si="17"/>
        <v>-1391393.1816430711</v>
      </c>
      <c r="G217" s="56">
        <f>-'[10]KY Reg Liability Accelerated'!I232</f>
        <v>21081.714070437138</v>
      </c>
      <c r="J217" s="56">
        <f t="shared" si="18"/>
        <v>21081.714070437138</v>
      </c>
    </row>
    <row r="218" spans="2:10">
      <c r="B218" s="1043">
        <f t="shared" si="19"/>
        <v>49278</v>
      </c>
      <c r="C218" s="56">
        <f t="shared" si="15"/>
        <v>-1370311.4675726558</v>
      </c>
      <c r="D218" s="56">
        <f t="shared" si="16"/>
        <v>2.200249582529068E-8</v>
      </c>
      <c r="E218" s="56">
        <f t="shared" si="17"/>
        <v>-1370311.4675726336</v>
      </c>
      <c r="G218" s="56">
        <f>-'[10]KY Reg Liability Accelerated'!I233</f>
        <v>21081.714070437138</v>
      </c>
      <c r="J218" s="56">
        <f t="shared" si="18"/>
        <v>21081.714070437138</v>
      </c>
    </row>
    <row r="219" spans="2:10">
      <c r="B219" s="1043">
        <f t="shared" si="19"/>
        <v>49309</v>
      </c>
      <c r="C219" s="56">
        <f t="shared" si="15"/>
        <v>-1349229.7535022185</v>
      </c>
      <c r="D219" s="56">
        <f t="shared" si="16"/>
        <v>2.200249582529068E-8</v>
      </c>
      <c r="E219" s="56">
        <f t="shared" si="17"/>
        <v>-1349229.7535021966</v>
      </c>
      <c r="G219" s="56">
        <f>-'[10]KY Reg Liability Accelerated'!I234</f>
        <v>21081.714070437138</v>
      </c>
      <c r="J219" s="56">
        <f t="shared" si="18"/>
        <v>21081.714070437138</v>
      </c>
    </row>
    <row r="220" spans="2:10">
      <c r="B220" s="1043">
        <f t="shared" si="19"/>
        <v>49340</v>
      </c>
      <c r="C220" s="56">
        <f t="shared" si="15"/>
        <v>-1328148.0394317813</v>
      </c>
      <c r="D220" s="56">
        <f t="shared" si="16"/>
        <v>2.200249582529068E-8</v>
      </c>
      <c r="E220" s="56">
        <f t="shared" si="17"/>
        <v>-1328148.0394317592</v>
      </c>
      <c r="G220" s="56">
        <f>-'[10]KY Reg Liability Accelerated'!I235</f>
        <v>21081.714070437138</v>
      </c>
      <c r="J220" s="56">
        <f t="shared" si="18"/>
        <v>21081.714070437138</v>
      </c>
    </row>
    <row r="221" spans="2:10">
      <c r="B221" s="1043">
        <f t="shared" si="19"/>
        <v>49368</v>
      </c>
      <c r="C221" s="56">
        <f t="shared" si="15"/>
        <v>-1307066.325361344</v>
      </c>
      <c r="D221" s="56">
        <f t="shared" si="16"/>
        <v>2.200249582529068E-8</v>
      </c>
      <c r="E221" s="56">
        <f t="shared" si="17"/>
        <v>-1307066.3253613221</v>
      </c>
      <c r="G221" s="56">
        <f>-'[10]KY Reg Liability Accelerated'!I236</f>
        <v>21081.714070437138</v>
      </c>
      <c r="J221" s="56">
        <f t="shared" si="18"/>
        <v>21081.714070437138</v>
      </c>
    </row>
    <row r="222" spans="2:10">
      <c r="B222" s="1043">
        <f t="shared" si="19"/>
        <v>49399</v>
      </c>
      <c r="C222" s="56">
        <f t="shared" si="15"/>
        <v>-1285984.6112909068</v>
      </c>
      <c r="D222" s="56">
        <f t="shared" si="16"/>
        <v>2.200249582529068E-8</v>
      </c>
      <c r="E222" s="56">
        <f t="shared" si="17"/>
        <v>-1285984.6112908847</v>
      </c>
      <c r="G222" s="56">
        <f>-'[10]KY Reg Liability Accelerated'!I237</f>
        <v>21081.714070437138</v>
      </c>
      <c r="J222" s="56">
        <f t="shared" si="18"/>
        <v>21081.714070437138</v>
      </c>
    </row>
    <row r="223" spans="2:10">
      <c r="B223" s="1043">
        <f t="shared" si="19"/>
        <v>49429</v>
      </c>
      <c r="C223" s="56">
        <f t="shared" si="15"/>
        <v>-1264902.8972204695</v>
      </c>
      <c r="D223" s="56">
        <f t="shared" si="16"/>
        <v>2.200249582529068E-8</v>
      </c>
      <c r="E223" s="56">
        <f t="shared" si="17"/>
        <v>-1264902.8972204477</v>
      </c>
      <c r="G223" s="56">
        <f>-'[10]KY Reg Liability Accelerated'!I238</f>
        <v>21081.714070437138</v>
      </c>
      <c r="J223" s="56">
        <f t="shared" si="18"/>
        <v>21081.714070437138</v>
      </c>
    </row>
    <row r="224" spans="2:10">
      <c r="B224" s="1043">
        <f t="shared" si="19"/>
        <v>49460</v>
      </c>
      <c r="C224" s="56">
        <f t="shared" si="15"/>
        <v>-1243821.1831500323</v>
      </c>
      <c r="D224" s="56">
        <f t="shared" si="16"/>
        <v>2.200249582529068E-8</v>
      </c>
      <c r="E224" s="56">
        <f t="shared" si="17"/>
        <v>-1243821.1831500102</v>
      </c>
      <c r="G224" s="56">
        <f>-'[10]KY Reg Liability Accelerated'!I239</f>
        <v>21081.714070437138</v>
      </c>
      <c r="J224" s="56">
        <f t="shared" si="18"/>
        <v>21081.714070437138</v>
      </c>
    </row>
    <row r="225" spans="2:10">
      <c r="B225" s="1043">
        <f t="shared" si="19"/>
        <v>49490</v>
      </c>
      <c r="C225" s="56">
        <f t="shared" si="15"/>
        <v>-1222739.4690795951</v>
      </c>
      <c r="D225" s="56">
        <f t="shared" si="16"/>
        <v>2.200249582529068E-8</v>
      </c>
      <c r="E225" s="56">
        <f t="shared" si="17"/>
        <v>-1222739.4690795732</v>
      </c>
      <c r="G225" s="56">
        <f>-'[10]KY Reg Liability Accelerated'!I240</f>
        <v>21081.714070437138</v>
      </c>
      <c r="J225" s="56">
        <f t="shared" si="18"/>
        <v>21081.714070437138</v>
      </c>
    </row>
    <row r="226" spans="2:10">
      <c r="B226" s="1043">
        <f t="shared" si="19"/>
        <v>49521</v>
      </c>
      <c r="C226" s="56">
        <f t="shared" si="15"/>
        <v>-1201657.7550091578</v>
      </c>
      <c r="D226" s="56">
        <f t="shared" si="16"/>
        <v>2.200249582529068E-8</v>
      </c>
      <c r="E226" s="56">
        <f t="shared" si="17"/>
        <v>-1201657.7550091357</v>
      </c>
      <c r="G226" s="56">
        <f>-'[10]KY Reg Liability Accelerated'!I241</f>
        <v>21081.714070437138</v>
      </c>
      <c r="J226" s="56">
        <f t="shared" si="18"/>
        <v>21081.714070437138</v>
      </c>
    </row>
    <row r="227" spans="2:10">
      <c r="B227" s="1043">
        <f t="shared" si="19"/>
        <v>49552</v>
      </c>
      <c r="C227" s="56">
        <f t="shared" si="15"/>
        <v>-1180576.0409387206</v>
      </c>
      <c r="D227" s="56">
        <f t="shared" si="16"/>
        <v>2.200249582529068E-8</v>
      </c>
      <c r="E227" s="56">
        <f t="shared" si="17"/>
        <v>-1180576.0409386987</v>
      </c>
      <c r="G227" s="56">
        <f>-'[10]KY Reg Liability Accelerated'!I242</f>
        <v>21081.714070437138</v>
      </c>
      <c r="J227" s="56">
        <f t="shared" si="18"/>
        <v>21081.714070437138</v>
      </c>
    </row>
    <row r="228" spans="2:10">
      <c r="B228" s="1043">
        <f t="shared" si="19"/>
        <v>49582</v>
      </c>
      <c r="C228" s="56">
        <f t="shared" si="15"/>
        <v>-1159494.3268682833</v>
      </c>
      <c r="D228" s="56">
        <f t="shared" si="16"/>
        <v>2.200249582529068E-8</v>
      </c>
      <c r="E228" s="56">
        <f t="shared" si="17"/>
        <v>-1159494.3268682612</v>
      </c>
      <c r="G228" s="56">
        <f>-'[10]KY Reg Liability Accelerated'!I243</f>
        <v>21081.714070437138</v>
      </c>
      <c r="J228" s="56">
        <f t="shared" si="18"/>
        <v>21081.714070437138</v>
      </c>
    </row>
    <row r="229" spans="2:10">
      <c r="B229" s="1043">
        <f t="shared" si="19"/>
        <v>49613</v>
      </c>
      <c r="C229" s="56">
        <f t="shared" si="15"/>
        <v>-1138412.6127978461</v>
      </c>
      <c r="D229" s="56">
        <f t="shared" si="16"/>
        <v>2.200249582529068E-8</v>
      </c>
      <c r="E229" s="56">
        <f t="shared" si="17"/>
        <v>-1138412.6127978242</v>
      </c>
      <c r="G229" s="56">
        <f>-'[10]KY Reg Liability Accelerated'!I244</f>
        <v>21081.714070437138</v>
      </c>
      <c r="J229" s="56">
        <f t="shared" si="18"/>
        <v>21081.714070437138</v>
      </c>
    </row>
    <row r="230" spans="2:10">
      <c r="B230" s="1043">
        <f t="shared" si="19"/>
        <v>49643</v>
      </c>
      <c r="C230" s="56">
        <f t="shared" si="15"/>
        <v>-1117330.8987274088</v>
      </c>
      <c r="D230" s="56">
        <f t="shared" si="16"/>
        <v>2.200249582529068E-8</v>
      </c>
      <c r="E230" s="56">
        <f t="shared" si="17"/>
        <v>-1117330.8987273867</v>
      </c>
      <c r="G230" s="56">
        <f>-'[10]KY Reg Liability Accelerated'!I245</f>
        <v>21081.714070437138</v>
      </c>
      <c r="J230" s="56">
        <f t="shared" si="18"/>
        <v>21081.714070437138</v>
      </c>
    </row>
    <row r="231" spans="2:10">
      <c r="B231" s="1043">
        <f t="shared" si="19"/>
        <v>49674</v>
      </c>
      <c r="C231" s="56">
        <f t="shared" si="15"/>
        <v>-1096249.1846569716</v>
      </c>
      <c r="D231" s="56">
        <f t="shared" si="16"/>
        <v>2.200249582529068E-8</v>
      </c>
      <c r="E231" s="56">
        <f t="shared" si="17"/>
        <v>-1096249.1846569497</v>
      </c>
      <c r="G231" s="56">
        <f>-'[10]KY Reg Liability Accelerated'!I246</f>
        <v>21081.714070437138</v>
      </c>
      <c r="J231" s="56">
        <f t="shared" si="18"/>
        <v>21081.714070437138</v>
      </c>
    </row>
    <row r="232" spans="2:10">
      <c r="B232" s="1043">
        <f t="shared" si="19"/>
        <v>49705</v>
      </c>
      <c r="C232" s="56">
        <f t="shared" si="15"/>
        <v>-1075167.4705865344</v>
      </c>
      <c r="D232" s="56">
        <f t="shared" si="16"/>
        <v>2.200249582529068E-8</v>
      </c>
      <c r="E232" s="56">
        <f t="shared" si="17"/>
        <v>-1075167.4705865122</v>
      </c>
      <c r="G232" s="56">
        <f>-'[10]KY Reg Liability Accelerated'!I247</f>
        <v>21081.714070437138</v>
      </c>
      <c r="J232" s="56">
        <f t="shared" si="18"/>
        <v>21081.714070437138</v>
      </c>
    </row>
    <row r="233" spans="2:10">
      <c r="B233" s="1043">
        <f t="shared" si="19"/>
        <v>49734</v>
      </c>
      <c r="C233" s="56">
        <f t="shared" si="15"/>
        <v>-1054085.7565160971</v>
      </c>
      <c r="D233" s="56">
        <f t="shared" si="16"/>
        <v>2.200249582529068E-8</v>
      </c>
      <c r="E233" s="56">
        <f t="shared" si="17"/>
        <v>-1054085.7565160752</v>
      </c>
      <c r="G233" s="56">
        <f>-'[10]KY Reg Liability Accelerated'!I248</f>
        <v>21081.714070437138</v>
      </c>
      <c r="J233" s="56">
        <f t="shared" si="18"/>
        <v>21081.714070437138</v>
      </c>
    </row>
    <row r="234" spans="2:10">
      <c r="B234" s="1043">
        <f t="shared" si="19"/>
        <v>49765</v>
      </c>
      <c r="C234" s="56">
        <f t="shared" si="15"/>
        <v>-1033004.04244566</v>
      </c>
      <c r="D234" s="56">
        <f t="shared" si="16"/>
        <v>2.200249582529068E-8</v>
      </c>
      <c r="E234" s="56">
        <f t="shared" si="17"/>
        <v>-1033004.042445638</v>
      </c>
      <c r="G234" s="56">
        <f>-'[10]KY Reg Liability Accelerated'!I249</f>
        <v>21081.714070437138</v>
      </c>
      <c r="J234" s="56">
        <f t="shared" si="18"/>
        <v>21081.714070437138</v>
      </c>
    </row>
    <row r="235" spans="2:10">
      <c r="B235" s="1043">
        <f t="shared" si="19"/>
        <v>49795</v>
      </c>
      <c r="C235" s="56">
        <f t="shared" si="15"/>
        <v>-1011922.3283752229</v>
      </c>
      <c r="D235" s="56">
        <f t="shared" si="16"/>
        <v>2.200249582529068E-8</v>
      </c>
      <c r="E235" s="56">
        <f t="shared" si="17"/>
        <v>-1011922.3283752009</v>
      </c>
      <c r="G235" s="56">
        <f>-'[10]KY Reg Liability Accelerated'!I250</f>
        <v>21081.714070437138</v>
      </c>
      <c r="J235" s="56">
        <f t="shared" si="18"/>
        <v>21081.714070437138</v>
      </c>
    </row>
    <row r="236" spans="2:10">
      <c r="B236" s="1043">
        <f t="shared" si="19"/>
        <v>49826</v>
      </c>
      <c r="C236" s="56">
        <f t="shared" si="15"/>
        <v>-990840.61430478573</v>
      </c>
      <c r="D236" s="56">
        <f t="shared" si="16"/>
        <v>2.200249582529068E-8</v>
      </c>
      <c r="E236" s="56">
        <f t="shared" si="17"/>
        <v>-990840.61430476373</v>
      </c>
      <c r="G236" s="56">
        <f>-'[10]KY Reg Liability Accelerated'!I251</f>
        <v>21081.714070437138</v>
      </c>
      <c r="J236" s="56">
        <f t="shared" si="18"/>
        <v>21081.714070437138</v>
      </c>
    </row>
    <row r="237" spans="2:10">
      <c r="B237" s="1043">
        <f t="shared" si="19"/>
        <v>49856</v>
      </c>
      <c r="C237" s="56">
        <f t="shared" si="15"/>
        <v>-969758.90023434861</v>
      </c>
      <c r="D237" s="56">
        <f t="shared" si="16"/>
        <v>2.200249582529068E-8</v>
      </c>
      <c r="E237" s="56">
        <f t="shared" si="17"/>
        <v>-969758.9002343266</v>
      </c>
      <c r="G237" s="56">
        <f>-'[10]KY Reg Liability Accelerated'!I252</f>
        <v>21081.714070437138</v>
      </c>
      <c r="J237" s="56">
        <f t="shared" si="18"/>
        <v>21081.714070437138</v>
      </c>
    </row>
    <row r="238" spans="2:10">
      <c r="B238" s="1043">
        <f t="shared" si="19"/>
        <v>49887</v>
      </c>
      <c r="C238" s="56">
        <f t="shared" si="15"/>
        <v>-948677.18616391148</v>
      </c>
      <c r="D238" s="56">
        <f t="shared" si="16"/>
        <v>2.200249582529068E-8</v>
      </c>
      <c r="E238" s="56">
        <f t="shared" si="17"/>
        <v>-948677.18616388948</v>
      </c>
      <c r="G238" s="56">
        <f>-'[10]KY Reg Liability Accelerated'!I253</f>
        <v>21081.714070437138</v>
      </c>
      <c r="J238" s="56">
        <f t="shared" si="18"/>
        <v>21081.714070437138</v>
      </c>
    </row>
    <row r="239" spans="2:10">
      <c r="B239" s="1043">
        <f t="shared" si="19"/>
        <v>49918</v>
      </c>
      <c r="C239" s="56">
        <f t="shared" si="15"/>
        <v>-927595.47209347435</v>
      </c>
      <c r="D239" s="56">
        <f t="shared" si="16"/>
        <v>2.200249582529068E-8</v>
      </c>
      <c r="E239" s="56">
        <f t="shared" si="17"/>
        <v>-927595.47209345235</v>
      </c>
      <c r="G239" s="56">
        <f>-'[10]KY Reg Liability Accelerated'!I254</f>
        <v>21081.714070437138</v>
      </c>
      <c r="J239" s="56">
        <f t="shared" si="18"/>
        <v>21081.714070437138</v>
      </c>
    </row>
    <row r="240" spans="2:10">
      <c r="B240" s="1043">
        <f t="shared" si="19"/>
        <v>49948</v>
      </c>
      <c r="C240" s="56">
        <f t="shared" si="15"/>
        <v>-906513.75802303723</v>
      </c>
      <c r="D240" s="56">
        <f t="shared" si="16"/>
        <v>2.200249582529068E-8</v>
      </c>
      <c r="E240" s="56">
        <f t="shared" si="17"/>
        <v>-906513.75802301522</v>
      </c>
      <c r="G240" s="56">
        <f>-'[10]KY Reg Liability Accelerated'!I255</f>
        <v>21081.714070437138</v>
      </c>
      <c r="J240" s="56">
        <f t="shared" si="18"/>
        <v>21081.714070437138</v>
      </c>
    </row>
    <row r="241" spans="2:10">
      <c r="B241" s="1043">
        <f t="shared" si="19"/>
        <v>49979</v>
      </c>
      <c r="C241" s="56">
        <f t="shared" si="15"/>
        <v>-885432.0439526001</v>
      </c>
      <c r="D241" s="56">
        <f t="shared" si="16"/>
        <v>2.200249582529068E-8</v>
      </c>
      <c r="E241" s="56">
        <f t="shared" si="17"/>
        <v>-885432.0439525781</v>
      </c>
      <c r="G241" s="56">
        <f>-'[10]KY Reg Liability Accelerated'!I256</f>
        <v>21081.714070437138</v>
      </c>
      <c r="J241" s="56">
        <f t="shared" si="18"/>
        <v>21081.714070437138</v>
      </c>
    </row>
    <row r="242" spans="2:10">
      <c r="B242" s="1043">
        <f t="shared" si="19"/>
        <v>50009</v>
      </c>
      <c r="C242" s="56">
        <f t="shared" si="15"/>
        <v>-864350.32988216297</v>
      </c>
      <c r="D242" s="56">
        <f t="shared" si="16"/>
        <v>2.200249582529068E-8</v>
      </c>
      <c r="E242" s="56">
        <f t="shared" si="17"/>
        <v>-864350.32988214097</v>
      </c>
      <c r="G242" s="56">
        <f>-'[10]KY Reg Liability Accelerated'!I257</f>
        <v>21081.714070437138</v>
      </c>
      <c r="J242" s="56">
        <f t="shared" si="18"/>
        <v>21081.714070437138</v>
      </c>
    </row>
    <row r="243" spans="2:10">
      <c r="B243" s="1043">
        <f t="shared" si="19"/>
        <v>50040</v>
      </c>
      <c r="C243" s="56">
        <f t="shared" si="15"/>
        <v>-843268.61581172585</v>
      </c>
      <c r="D243" s="56">
        <f t="shared" si="16"/>
        <v>2.200249582529068E-8</v>
      </c>
      <c r="E243" s="56">
        <f t="shared" si="17"/>
        <v>-843268.61581170384</v>
      </c>
      <c r="G243" s="56">
        <f>-'[10]KY Reg Liability Accelerated'!I258</f>
        <v>21081.714070437138</v>
      </c>
      <c r="J243" s="56">
        <f t="shared" si="18"/>
        <v>21081.714070437138</v>
      </c>
    </row>
    <row r="244" spans="2:10">
      <c r="B244" s="1043">
        <f t="shared" si="19"/>
        <v>50071</v>
      </c>
      <c r="C244" s="56">
        <f t="shared" si="15"/>
        <v>-822186.90174128872</v>
      </c>
      <c r="D244" s="56">
        <f t="shared" si="16"/>
        <v>2.200249582529068E-8</v>
      </c>
      <c r="E244" s="56">
        <f t="shared" si="17"/>
        <v>-822186.90174126672</v>
      </c>
      <c r="G244" s="56">
        <f>-'[10]KY Reg Liability Accelerated'!I259</f>
        <v>21081.714070437138</v>
      </c>
      <c r="J244" s="56">
        <f t="shared" si="18"/>
        <v>21081.714070437138</v>
      </c>
    </row>
    <row r="245" spans="2:10">
      <c r="B245" s="1043">
        <f t="shared" si="19"/>
        <v>50099</v>
      </c>
      <c r="C245" s="56">
        <f t="shared" si="15"/>
        <v>-801105.18767085159</v>
      </c>
      <c r="D245" s="56">
        <f t="shared" si="16"/>
        <v>2.200249582529068E-8</v>
      </c>
      <c r="E245" s="56">
        <f t="shared" si="17"/>
        <v>-801105.18767082959</v>
      </c>
      <c r="G245" s="56">
        <f>-'[10]KY Reg Liability Accelerated'!I260</f>
        <v>21081.714070437138</v>
      </c>
      <c r="J245" s="56">
        <f t="shared" si="18"/>
        <v>21081.714070437138</v>
      </c>
    </row>
    <row r="246" spans="2:10">
      <c r="B246" s="1043">
        <f t="shared" si="19"/>
        <v>50130</v>
      </c>
      <c r="C246" s="56">
        <f t="shared" si="15"/>
        <v>-780023.47360041447</v>
      </c>
      <c r="D246" s="56">
        <f t="shared" si="16"/>
        <v>2.200249582529068E-8</v>
      </c>
      <c r="E246" s="56">
        <f t="shared" si="17"/>
        <v>-780023.47360039246</v>
      </c>
      <c r="G246" s="56">
        <f>-'[10]KY Reg Liability Accelerated'!I261</f>
        <v>21081.714070437138</v>
      </c>
      <c r="J246" s="56">
        <f t="shared" si="18"/>
        <v>21081.714070437138</v>
      </c>
    </row>
    <row r="247" spans="2:10">
      <c r="B247" s="1043">
        <f t="shared" si="19"/>
        <v>50160</v>
      </c>
      <c r="C247" s="56">
        <f t="shared" si="15"/>
        <v>-758941.75952997734</v>
      </c>
      <c r="D247" s="56">
        <f t="shared" si="16"/>
        <v>2.200249582529068E-8</v>
      </c>
      <c r="E247" s="56">
        <f t="shared" si="17"/>
        <v>-758941.75952995534</v>
      </c>
      <c r="G247" s="56">
        <f>-'[10]KY Reg Liability Accelerated'!I262</f>
        <v>21081.714070437138</v>
      </c>
      <c r="J247" s="56">
        <f t="shared" si="18"/>
        <v>21081.714070437138</v>
      </c>
    </row>
    <row r="248" spans="2:10">
      <c r="B248" s="1043">
        <f t="shared" si="19"/>
        <v>50191</v>
      </c>
      <c r="C248" s="56">
        <f t="shared" si="15"/>
        <v>-737860.04545954021</v>
      </c>
      <c r="D248" s="56">
        <f t="shared" si="16"/>
        <v>2.200249582529068E-8</v>
      </c>
      <c r="E248" s="56">
        <f t="shared" si="17"/>
        <v>-737860.04545951821</v>
      </c>
      <c r="G248" s="56">
        <f>-'[10]KY Reg Liability Accelerated'!I263</f>
        <v>21081.714070437138</v>
      </c>
      <c r="J248" s="56">
        <f t="shared" si="18"/>
        <v>21081.714070437138</v>
      </c>
    </row>
    <row r="249" spans="2:10">
      <c r="B249" s="1043">
        <f t="shared" si="19"/>
        <v>50221</v>
      </c>
      <c r="C249" s="56">
        <f t="shared" si="15"/>
        <v>-716778.33138910308</v>
      </c>
      <c r="D249" s="56">
        <f t="shared" si="16"/>
        <v>2.200249582529068E-8</v>
      </c>
      <c r="E249" s="56">
        <f t="shared" si="17"/>
        <v>-716778.33138908108</v>
      </c>
      <c r="G249" s="56">
        <f>-'[10]KY Reg Liability Accelerated'!I264</f>
        <v>21081.714070437138</v>
      </c>
      <c r="J249" s="56">
        <f t="shared" si="18"/>
        <v>21081.714070437138</v>
      </c>
    </row>
    <row r="250" spans="2:10">
      <c r="B250" s="1043">
        <f t="shared" si="19"/>
        <v>50252</v>
      </c>
      <c r="C250" s="56">
        <f t="shared" si="15"/>
        <v>-695696.61731866596</v>
      </c>
      <c r="D250" s="56">
        <f t="shared" si="16"/>
        <v>2.200249582529068E-8</v>
      </c>
      <c r="E250" s="56">
        <f t="shared" si="17"/>
        <v>-695696.61731864396</v>
      </c>
      <c r="G250" s="56">
        <f>-'[10]KY Reg Liability Accelerated'!I265</f>
        <v>21081.714070437138</v>
      </c>
      <c r="J250" s="56">
        <f t="shared" si="18"/>
        <v>21081.714070437138</v>
      </c>
    </row>
    <row r="251" spans="2:10">
      <c r="B251" s="1043">
        <f t="shared" si="19"/>
        <v>50283</v>
      </c>
      <c r="C251" s="56">
        <f t="shared" si="15"/>
        <v>-674614.90324822883</v>
      </c>
      <c r="D251" s="56">
        <f t="shared" si="16"/>
        <v>2.200249582529068E-8</v>
      </c>
      <c r="E251" s="56">
        <f t="shared" si="17"/>
        <v>-674614.90324820683</v>
      </c>
      <c r="G251" s="56">
        <f>-'[10]KY Reg Liability Accelerated'!I266</f>
        <v>21081.714070437138</v>
      </c>
      <c r="J251" s="56">
        <f t="shared" si="18"/>
        <v>21081.714070437138</v>
      </c>
    </row>
    <row r="252" spans="2:10">
      <c r="B252" s="1043">
        <f t="shared" si="19"/>
        <v>50313</v>
      </c>
      <c r="C252" s="56">
        <f t="shared" si="15"/>
        <v>-653533.1891777917</v>
      </c>
      <c r="D252" s="56">
        <f t="shared" si="16"/>
        <v>2.200249582529068E-8</v>
      </c>
      <c r="E252" s="56">
        <f t="shared" si="17"/>
        <v>-653533.1891777697</v>
      </c>
      <c r="G252" s="56">
        <f>-'[10]KY Reg Liability Accelerated'!I267</f>
        <v>21081.714070437138</v>
      </c>
      <c r="J252" s="56">
        <f t="shared" si="18"/>
        <v>21081.714070437138</v>
      </c>
    </row>
    <row r="253" spans="2:10">
      <c r="B253" s="1043">
        <f t="shared" si="19"/>
        <v>50344</v>
      </c>
      <c r="C253" s="56">
        <f t="shared" si="15"/>
        <v>-632451.47510735458</v>
      </c>
      <c r="D253" s="56">
        <f t="shared" si="16"/>
        <v>2.200249582529068E-8</v>
      </c>
      <c r="E253" s="56">
        <f t="shared" si="17"/>
        <v>-632451.47510733258</v>
      </c>
      <c r="G253" s="56">
        <f>-'[10]KY Reg Liability Accelerated'!I268</f>
        <v>21081.714070437138</v>
      </c>
      <c r="J253" s="56">
        <f t="shared" si="18"/>
        <v>21081.714070437138</v>
      </c>
    </row>
    <row r="254" spans="2:10">
      <c r="B254" s="1043">
        <f t="shared" si="19"/>
        <v>50374</v>
      </c>
      <c r="C254" s="56">
        <f t="shared" si="15"/>
        <v>-611369.76103691745</v>
      </c>
      <c r="D254" s="56">
        <f t="shared" si="16"/>
        <v>2.200249582529068E-8</v>
      </c>
      <c r="E254" s="56">
        <f t="shared" si="17"/>
        <v>-611369.76103689545</v>
      </c>
      <c r="G254" s="56">
        <f>-'[10]KY Reg Liability Accelerated'!I269</f>
        <v>21081.714070437138</v>
      </c>
      <c r="J254" s="56">
        <f t="shared" si="18"/>
        <v>21081.714070437138</v>
      </c>
    </row>
    <row r="255" spans="2:10">
      <c r="B255" s="1043">
        <f t="shared" si="19"/>
        <v>50405</v>
      </c>
      <c r="C255" s="56">
        <f t="shared" si="15"/>
        <v>-590288.04696648032</v>
      </c>
      <c r="D255" s="56">
        <f t="shared" si="16"/>
        <v>2.200249582529068E-8</v>
      </c>
      <c r="E255" s="56">
        <f t="shared" si="17"/>
        <v>-590288.04696645832</v>
      </c>
      <c r="G255" s="56">
        <f>-'[10]KY Reg Liability Accelerated'!I270</f>
        <v>21081.714070437138</v>
      </c>
      <c r="J255" s="56">
        <f t="shared" si="18"/>
        <v>21081.714070437138</v>
      </c>
    </row>
    <row r="256" spans="2:10">
      <c r="B256" s="1043">
        <f t="shared" si="19"/>
        <v>50436</v>
      </c>
      <c r="C256" s="56">
        <f t="shared" si="15"/>
        <v>-569206.3328960432</v>
      </c>
      <c r="D256" s="56">
        <f t="shared" si="16"/>
        <v>2.200249582529068E-8</v>
      </c>
      <c r="E256" s="56">
        <f t="shared" si="17"/>
        <v>-569206.33289602119</v>
      </c>
      <c r="G256" s="56">
        <f>-'[10]KY Reg Liability Accelerated'!I271</f>
        <v>21081.714070437138</v>
      </c>
      <c r="J256" s="56">
        <f t="shared" si="18"/>
        <v>21081.714070437138</v>
      </c>
    </row>
    <row r="257" spans="2:10">
      <c r="B257" s="1043">
        <f t="shared" si="19"/>
        <v>50464</v>
      </c>
      <c r="C257" s="56">
        <f t="shared" si="15"/>
        <v>-548124.61882560607</v>
      </c>
      <c r="D257" s="56">
        <f t="shared" si="16"/>
        <v>2.200249582529068E-8</v>
      </c>
      <c r="E257" s="56">
        <f t="shared" si="17"/>
        <v>-548124.61882558407</v>
      </c>
      <c r="G257" s="56">
        <f>-'[10]KY Reg Liability Accelerated'!I272</f>
        <v>21081.714070437138</v>
      </c>
      <c r="J257" s="56">
        <f t="shared" si="18"/>
        <v>21081.714070437138</v>
      </c>
    </row>
    <row r="258" spans="2:10">
      <c r="B258" s="1043">
        <f t="shared" si="19"/>
        <v>50495</v>
      </c>
      <c r="C258" s="56">
        <f t="shared" si="15"/>
        <v>-527042.90475516894</v>
      </c>
      <c r="D258" s="56">
        <f t="shared" si="16"/>
        <v>2.200249582529068E-8</v>
      </c>
      <c r="E258" s="56">
        <f t="shared" si="17"/>
        <v>-527042.90475514694</v>
      </c>
      <c r="G258" s="56">
        <f>-'[10]KY Reg Liability Accelerated'!I273</f>
        <v>21081.714070437138</v>
      </c>
      <c r="J258" s="56">
        <f t="shared" si="18"/>
        <v>21081.714070437138</v>
      </c>
    </row>
    <row r="259" spans="2:10">
      <c r="B259" s="1043">
        <f t="shared" si="19"/>
        <v>50525</v>
      </c>
      <c r="C259" s="56">
        <f t="shared" si="15"/>
        <v>-505961.19068473182</v>
      </c>
      <c r="D259" s="56">
        <f t="shared" si="16"/>
        <v>2.200249582529068E-8</v>
      </c>
      <c r="E259" s="56">
        <f t="shared" si="17"/>
        <v>-505961.19068470981</v>
      </c>
      <c r="G259" s="56">
        <f>-'[10]KY Reg Liability Accelerated'!I274</f>
        <v>21081.714070437138</v>
      </c>
      <c r="J259" s="56">
        <f t="shared" si="18"/>
        <v>21081.714070437138</v>
      </c>
    </row>
    <row r="260" spans="2:10">
      <c r="B260" s="1043">
        <f t="shared" si="19"/>
        <v>50556</v>
      </c>
      <c r="C260" s="56">
        <f t="shared" si="15"/>
        <v>-484879.47661429469</v>
      </c>
      <c r="D260" s="56">
        <f t="shared" si="16"/>
        <v>2.200249582529068E-8</v>
      </c>
      <c r="E260" s="56">
        <f t="shared" si="17"/>
        <v>-484879.47661427269</v>
      </c>
      <c r="G260" s="56">
        <f>-'[10]KY Reg Liability Accelerated'!I275</f>
        <v>21081.714070437138</v>
      </c>
      <c r="J260" s="56">
        <f t="shared" si="18"/>
        <v>21081.714070437138</v>
      </c>
    </row>
    <row r="261" spans="2:10">
      <c r="B261" s="1043">
        <f t="shared" si="19"/>
        <v>50586</v>
      </c>
      <c r="C261" s="56">
        <f t="shared" si="15"/>
        <v>-463797.76254385756</v>
      </c>
      <c r="D261" s="56">
        <f t="shared" si="16"/>
        <v>2.200249582529068E-8</v>
      </c>
      <c r="E261" s="56">
        <f t="shared" si="17"/>
        <v>-463797.76254383556</v>
      </c>
      <c r="G261" s="56">
        <f>-'[10]KY Reg Liability Accelerated'!I276</f>
        <v>21081.714070437138</v>
      </c>
      <c r="J261" s="56">
        <f t="shared" si="18"/>
        <v>21081.714070437138</v>
      </c>
    </row>
    <row r="262" spans="2:10">
      <c r="B262" s="1043">
        <f t="shared" si="19"/>
        <v>50617</v>
      </c>
      <c r="C262" s="56">
        <f t="shared" si="15"/>
        <v>-442716.04847342044</v>
      </c>
      <c r="D262" s="56">
        <f t="shared" si="16"/>
        <v>2.200249582529068E-8</v>
      </c>
      <c r="E262" s="56">
        <f t="shared" si="17"/>
        <v>-442716.04847339843</v>
      </c>
      <c r="G262" s="56">
        <f>-'[10]KY Reg Liability Accelerated'!I277</f>
        <v>21081.714070437138</v>
      </c>
      <c r="J262" s="56">
        <f t="shared" si="18"/>
        <v>21081.714070437138</v>
      </c>
    </row>
    <row r="263" spans="2:10">
      <c r="B263" s="1043">
        <f t="shared" si="19"/>
        <v>50648</v>
      </c>
      <c r="C263" s="56">
        <f t="shared" si="15"/>
        <v>-421634.33440298331</v>
      </c>
      <c r="D263" s="56">
        <f t="shared" si="16"/>
        <v>2.200249582529068E-8</v>
      </c>
      <c r="E263" s="56">
        <f t="shared" si="17"/>
        <v>-421634.33440296131</v>
      </c>
      <c r="G263" s="56">
        <f>-'[10]KY Reg Liability Accelerated'!I278</f>
        <v>21081.714070437138</v>
      </c>
      <c r="J263" s="56">
        <f t="shared" si="18"/>
        <v>21081.714070437138</v>
      </c>
    </row>
    <row r="264" spans="2:10">
      <c r="B264" s="1043">
        <f t="shared" si="19"/>
        <v>50678</v>
      </c>
      <c r="C264" s="56">
        <f t="shared" si="15"/>
        <v>-400552.62033254618</v>
      </c>
      <c r="D264" s="56">
        <f t="shared" si="16"/>
        <v>2.200249582529068E-8</v>
      </c>
      <c r="E264" s="56">
        <f t="shared" si="17"/>
        <v>-400552.62033252418</v>
      </c>
      <c r="G264" s="56">
        <f>-'[10]KY Reg Liability Accelerated'!I279</f>
        <v>21081.714070437138</v>
      </c>
      <c r="J264" s="56">
        <f t="shared" si="18"/>
        <v>21081.714070437138</v>
      </c>
    </row>
    <row r="265" spans="2:10">
      <c r="B265" s="1043">
        <f t="shared" si="19"/>
        <v>50709</v>
      </c>
      <c r="C265" s="56">
        <f t="shared" si="15"/>
        <v>-379470.90626210906</v>
      </c>
      <c r="D265" s="56">
        <f t="shared" si="16"/>
        <v>2.200249582529068E-8</v>
      </c>
      <c r="E265" s="56">
        <f t="shared" si="17"/>
        <v>-379470.90626208705</v>
      </c>
      <c r="G265" s="56">
        <f>-'[10]KY Reg Liability Accelerated'!I280</f>
        <v>21081.714070437138</v>
      </c>
      <c r="J265" s="56">
        <f t="shared" si="18"/>
        <v>21081.714070437138</v>
      </c>
    </row>
    <row r="266" spans="2:10">
      <c r="B266" s="1043">
        <f t="shared" si="19"/>
        <v>50739</v>
      </c>
      <c r="C266" s="56">
        <f t="shared" si="15"/>
        <v>-358389.19219167193</v>
      </c>
      <c r="D266" s="56">
        <f t="shared" si="16"/>
        <v>2.200249582529068E-8</v>
      </c>
      <c r="E266" s="56">
        <f t="shared" si="17"/>
        <v>-358389.19219164993</v>
      </c>
      <c r="G266" s="56">
        <f>-'[10]KY Reg Liability Accelerated'!I281</f>
        <v>21081.714070437138</v>
      </c>
      <c r="J266" s="56">
        <f t="shared" si="18"/>
        <v>21081.714070437138</v>
      </c>
    </row>
    <row r="267" spans="2:10">
      <c r="B267" s="1043">
        <f t="shared" si="19"/>
        <v>50770</v>
      </c>
      <c r="C267" s="56">
        <f t="shared" si="15"/>
        <v>-337307.4781212348</v>
      </c>
      <c r="D267" s="56">
        <f t="shared" si="16"/>
        <v>2.200249582529068E-8</v>
      </c>
      <c r="E267" s="56">
        <f t="shared" si="17"/>
        <v>-337307.4781212128</v>
      </c>
      <c r="G267" s="56">
        <f>-'[10]KY Reg Liability Accelerated'!I282</f>
        <v>21081.714070437138</v>
      </c>
      <c r="J267" s="56">
        <f t="shared" si="18"/>
        <v>21081.714070437138</v>
      </c>
    </row>
    <row r="268" spans="2:10">
      <c r="B268" s="1043">
        <f t="shared" si="19"/>
        <v>50801</v>
      </c>
      <c r="C268" s="56">
        <f t="shared" si="15"/>
        <v>-316225.76405079768</v>
      </c>
      <c r="D268" s="56">
        <f t="shared" si="16"/>
        <v>2.200249582529068E-8</v>
      </c>
      <c r="E268" s="56">
        <f t="shared" si="17"/>
        <v>-316225.76405077567</v>
      </c>
      <c r="G268" s="56">
        <f>-'[10]KY Reg Liability Accelerated'!I283</f>
        <v>21081.714070437138</v>
      </c>
      <c r="J268" s="56">
        <f t="shared" si="18"/>
        <v>21081.714070437138</v>
      </c>
    </row>
    <row r="269" spans="2:10">
      <c r="B269" s="1043">
        <f t="shared" si="19"/>
        <v>50829</v>
      </c>
      <c r="C269" s="56">
        <f t="shared" si="15"/>
        <v>-295144.04998036055</v>
      </c>
      <c r="D269" s="56">
        <f t="shared" si="16"/>
        <v>2.200249582529068E-8</v>
      </c>
      <c r="E269" s="56">
        <f t="shared" si="17"/>
        <v>-295144.04998033855</v>
      </c>
      <c r="G269" s="56">
        <f>-'[10]KY Reg Liability Accelerated'!I284</f>
        <v>21081.714070437138</v>
      </c>
      <c r="J269" s="56">
        <f t="shared" si="18"/>
        <v>21081.714070437138</v>
      </c>
    </row>
    <row r="270" spans="2:10">
      <c r="B270" s="1043">
        <f t="shared" si="19"/>
        <v>50860</v>
      </c>
      <c r="C270" s="56">
        <f t="shared" si="15"/>
        <v>-274062.33590992342</v>
      </c>
      <c r="D270" s="56">
        <f t="shared" si="16"/>
        <v>2.200249582529068E-8</v>
      </c>
      <c r="E270" s="56">
        <f t="shared" si="17"/>
        <v>-274062.33590990142</v>
      </c>
      <c r="G270" s="56">
        <f>-'[10]KY Reg Liability Accelerated'!I285</f>
        <v>21081.714070437138</v>
      </c>
      <c r="J270" s="56">
        <f t="shared" si="18"/>
        <v>21081.714070437138</v>
      </c>
    </row>
    <row r="271" spans="2:10">
      <c r="B271" s="1043">
        <f t="shared" si="19"/>
        <v>50890</v>
      </c>
      <c r="C271" s="56">
        <f t="shared" si="15"/>
        <v>-252980.6218394863</v>
      </c>
      <c r="D271" s="56">
        <f t="shared" si="16"/>
        <v>2.200249582529068E-8</v>
      </c>
      <c r="E271" s="56">
        <f t="shared" si="17"/>
        <v>-252980.62183946429</v>
      </c>
      <c r="G271" s="56">
        <f>-'[10]KY Reg Liability Accelerated'!I286</f>
        <v>21081.714070437138</v>
      </c>
      <c r="J271" s="56">
        <f t="shared" si="18"/>
        <v>21081.714070437138</v>
      </c>
    </row>
    <row r="272" spans="2:10">
      <c r="B272" s="1043">
        <f t="shared" si="19"/>
        <v>50921</v>
      </c>
      <c r="C272" s="56">
        <f t="shared" si="15"/>
        <v>-231898.90776904917</v>
      </c>
      <c r="D272" s="56">
        <f t="shared" si="16"/>
        <v>2.200249582529068E-8</v>
      </c>
      <c r="E272" s="56">
        <f t="shared" si="17"/>
        <v>-231898.90776902717</v>
      </c>
      <c r="G272" s="56">
        <f>-'[10]KY Reg Liability Accelerated'!I287</f>
        <v>21081.714070437138</v>
      </c>
      <c r="J272" s="56">
        <f t="shared" si="18"/>
        <v>21081.714070437138</v>
      </c>
    </row>
    <row r="273" spans="1:10">
      <c r="B273" s="1043">
        <f t="shared" si="19"/>
        <v>50951</v>
      </c>
      <c r="C273" s="56">
        <f t="shared" si="15"/>
        <v>-210817.19369861204</v>
      </c>
      <c r="D273" s="56">
        <f t="shared" si="16"/>
        <v>2.200249582529068E-8</v>
      </c>
      <c r="E273" s="56">
        <f t="shared" si="17"/>
        <v>-210817.19369859004</v>
      </c>
      <c r="G273" s="56">
        <f>-'[10]KY Reg Liability Accelerated'!I288</f>
        <v>21081.714070437138</v>
      </c>
      <c r="J273" s="56">
        <f t="shared" si="18"/>
        <v>21081.714070437138</v>
      </c>
    </row>
    <row r="274" spans="1:10">
      <c r="B274" s="1043">
        <f t="shared" si="19"/>
        <v>50982</v>
      </c>
      <c r="C274" s="56">
        <f t="shared" si="15"/>
        <v>-189735.47962817491</v>
      </c>
      <c r="D274" s="56">
        <f t="shared" si="16"/>
        <v>2.200249582529068E-8</v>
      </c>
      <c r="E274" s="56">
        <f t="shared" si="17"/>
        <v>-189735.47962815291</v>
      </c>
      <c r="G274" s="56">
        <f>-'[10]KY Reg Liability Accelerated'!I289</f>
        <v>21081.714070437138</v>
      </c>
      <c r="J274" s="56">
        <f t="shared" si="18"/>
        <v>21081.714070437138</v>
      </c>
    </row>
    <row r="275" spans="1:10">
      <c r="B275" s="1043">
        <f t="shared" si="19"/>
        <v>51013</v>
      </c>
      <c r="C275" s="56">
        <f t="shared" si="15"/>
        <v>-168653.76555773779</v>
      </c>
      <c r="D275" s="56">
        <f t="shared" si="16"/>
        <v>2.200249582529068E-8</v>
      </c>
      <c r="E275" s="56">
        <f t="shared" si="17"/>
        <v>-168653.76555771579</v>
      </c>
      <c r="G275" s="56">
        <f>-'[10]KY Reg Liability Accelerated'!I290</f>
        <v>21081.714070437138</v>
      </c>
      <c r="J275" s="56">
        <f t="shared" si="18"/>
        <v>21081.714070437138</v>
      </c>
    </row>
    <row r="276" spans="1:10">
      <c r="B276" s="1043">
        <f t="shared" si="19"/>
        <v>51043</v>
      </c>
      <c r="C276" s="56">
        <f t="shared" si="15"/>
        <v>-147572.05148730066</v>
      </c>
      <c r="D276" s="56">
        <f t="shared" si="16"/>
        <v>2.200249582529068E-8</v>
      </c>
      <c r="E276" s="56">
        <f t="shared" si="17"/>
        <v>-147572.05148727866</v>
      </c>
      <c r="G276" s="56">
        <f>-'[10]KY Reg Liability Accelerated'!I291</f>
        <v>21081.714070437138</v>
      </c>
      <c r="J276" s="56">
        <f t="shared" si="18"/>
        <v>21081.714070437138</v>
      </c>
    </row>
    <row r="277" spans="1:10">
      <c r="B277" s="1043">
        <f t="shared" si="19"/>
        <v>51074</v>
      </c>
      <c r="C277" s="56">
        <f t="shared" ref="C277:C283" si="20">C276+G277</f>
        <v>-126490.33741686352</v>
      </c>
      <c r="D277" s="56">
        <f t="shared" ref="D277:D283" si="21">D276+H277+I277</f>
        <v>2.200249582529068E-8</v>
      </c>
      <c r="E277" s="56">
        <f t="shared" ref="E277:E283" si="22">C277+D277</f>
        <v>-126490.33741684152</v>
      </c>
      <c r="G277" s="56">
        <f>-'[10]KY Reg Liability Accelerated'!I292</f>
        <v>21081.714070437138</v>
      </c>
      <c r="J277" s="56">
        <f t="shared" ref="J277:J283" si="23">SUM(G277:I277)</f>
        <v>21081.714070437138</v>
      </c>
    </row>
    <row r="278" spans="1:10">
      <c r="B278" s="1043">
        <f t="shared" ref="B278:B283" si="24">EOMONTH(B277,1)</f>
        <v>51104</v>
      </c>
      <c r="C278" s="56">
        <f t="shared" si="20"/>
        <v>-105408.62334642638</v>
      </c>
      <c r="D278" s="56">
        <f t="shared" si="21"/>
        <v>2.200249582529068E-8</v>
      </c>
      <c r="E278" s="56">
        <f t="shared" si="22"/>
        <v>-105408.62334640438</v>
      </c>
      <c r="G278" s="56">
        <f>-'[10]KY Reg Liability Accelerated'!I293</f>
        <v>21081.714070437138</v>
      </c>
      <c r="J278" s="56">
        <f t="shared" si="23"/>
        <v>21081.714070437138</v>
      </c>
    </row>
    <row r="279" spans="1:10">
      <c r="B279" s="1043">
        <f t="shared" si="24"/>
        <v>51135</v>
      </c>
      <c r="C279" s="56">
        <f t="shared" si="20"/>
        <v>-84326.909275989237</v>
      </c>
      <c r="D279" s="56">
        <f t="shared" si="21"/>
        <v>2.200249582529068E-8</v>
      </c>
      <c r="E279" s="56">
        <f t="shared" si="22"/>
        <v>-84326.909275967235</v>
      </c>
      <c r="G279" s="56">
        <f>-'[10]KY Reg Liability Accelerated'!I294</f>
        <v>21081.714070437138</v>
      </c>
      <c r="J279" s="56">
        <f t="shared" si="23"/>
        <v>21081.714070437138</v>
      </c>
    </row>
    <row r="280" spans="1:10">
      <c r="B280" s="1043">
        <f t="shared" si="24"/>
        <v>51166</v>
      </c>
      <c r="C280" s="56">
        <f t="shared" si="20"/>
        <v>-63245.195205552096</v>
      </c>
      <c r="D280" s="56">
        <f t="shared" si="21"/>
        <v>2.200249582529068E-8</v>
      </c>
      <c r="E280" s="56">
        <f t="shared" si="22"/>
        <v>-63245.195205530094</v>
      </c>
      <c r="G280" s="56">
        <f>-'[10]KY Reg Liability Accelerated'!I295</f>
        <v>21081.714070437138</v>
      </c>
      <c r="J280" s="56">
        <f t="shared" si="23"/>
        <v>21081.714070437138</v>
      </c>
    </row>
    <row r="281" spans="1:10">
      <c r="B281" s="1043">
        <f t="shared" si="24"/>
        <v>51195</v>
      </c>
      <c r="C281" s="56">
        <f t="shared" si="20"/>
        <v>-42163.481135114955</v>
      </c>
      <c r="D281" s="56">
        <f t="shared" si="21"/>
        <v>2.200249582529068E-8</v>
      </c>
      <c r="E281" s="56">
        <f t="shared" si="22"/>
        <v>-42163.481135092952</v>
      </c>
      <c r="G281" s="56">
        <f>-'[10]KY Reg Liability Accelerated'!I296</f>
        <v>21081.714070437138</v>
      </c>
      <c r="J281" s="56">
        <f t="shared" si="23"/>
        <v>21081.714070437138</v>
      </c>
    </row>
    <row r="282" spans="1:10">
      <c r="B282" s="1043">
        <f t="shared" si="24"/>
        <v>51226</v>
      </c>
      <c r="C282" s="56">
        <f t="shared" si="20"/>
        <v>-21081.767064677817</v>
      </c>
      <c r="D282" s="56">
        <f t="shared" si="21"/>
        <v>2.200249582529068E-8</v>
      </c>
      <c r="E282" s="56">
        <f t="shared" si="22"/>
        <v>-21081.767064655814</v>
      </c>
      <c r="G282" s="56">
        <f>-'[10]KY Reg Liability Accelerated'!I297</f>
        <v>21081.714070437138</v>
      </c>
      <c r="J282" s="56">
        <f t="shared" si="23"/>
        <v>21081.714070437138</v>
      </c>
    </row>
    <row r="283" spans="1:10">
      <c r="B283" s="1043">
        <f t="shared" si="24"/>
        <v>51256</v>
      </c>
      <c r="C283" s="56">
        <f t="shared" si="20"/>
        <v>-5.299424067925429E-2</v>
      </c>
      <c r="D283" s="56">
        <f t="shared" si="21"/>
        <v>2.200249582529068E-8</v>
      </c>
      <c r="E283" s="56">
        <f t="shared" si="22"/>
        <v>-5.2994218676758464E-2</v>
      </c>
      <c r="G283" s="56">
        <f>-'[10]KY Reg Liability Accelerated'!I298</f>
        <v>21081.714070437138</v>
      </c>
      <c r="J283" s="56">
        <f t="shared" si="23"/>
        <v>21081.714070437138</v>
      </c>
    </row>
    <row r="284" spans="1:10">
      <c r="B284" s="1043"/>
    </row>
    <row r="285" spans="1:10">
      <c r="B285" s="1043"/>
    </row>
    <row r="286" spans="1:10">
      <c r="A286" s="99" t="s">
        <v>679</v>
      </c>
      <c r="B286" s="1043"/>
    </row>
    <row r="287" spans="1:10">
      <c r="A287" s="99" t="s">
        <v>1654</v>
      </c>
      <c r="B287" s="1043"/>
    </row>
    <row r="288" spans="1:10">
      <c r="B288" s="1043"/>
    </row>
    <row r="289" spans="2:2">
      <c r="B289" s="1043"/>
    </row>
    <row r="290" spans="2:2">
      <c r="B290" s="1043"/>
    </row>
    <row r="291" spans="2:2">
      <c r="B291" s="1043"/>
    </row>
    <row r="292" spans="2:2">
      <c r="B292" s="1043"/>
    </row>
    <row r="293" spans="2:2">
      <c r="B293" s="1043"/>
    </row>
    <row r="294" spans="2:2">
      <c r="B294" s="1043"/>
    </row>
    <row r="295" spans="2:2">
      <c r="B295" s="1043"/>
    </row>
    <row r="296" spans="2:2">
      <c r="B296" s="1043"/>
    </row>
    <row r="297" spans="2:2">
      <c r="B297" s="1043"/>
    </row>
    <row r="298" spans="2:2">
      <c r="B298" s="1043"/>
    </row>
    <row r="299" spans="2:2">
      <c r="B299" s="1043"/>
    </row>
    <row r="300" spans="2:2">
      <c r="B300" s="1043"/>
    </row>
    <row r="301" spans="2:2">
      <c r="B301" s="1043"/>
    </row>
    <row r="302" spans="2:2">
      <c r="B302" s="1043"/>
    </row>
    <row r="303" spans="2:2">
      <c r="B303" s="1043"/>
    </row>
    <row r="304" spans="2:2">
      <c r="B304" s="1043"/>
    </row>
    <row r="305" spans="2:2">
      <c r="B305" s="1043"/>
    </row>
    <row r="306" spans="2:2">
      <c r="B306" s="1043"/>
    </row>
    <row r="307" spans="2:2">
      <c r="B307" s="1043"/>
    </row>
    <row r="308" spans="2:2">
      <c r="B308" s="1043"/>
    </row>
    <row r="309" spans="2:2">
      <c r="B309" s="1043"/>
    </row>
    <row r="310" spans="2:2">
      <c r="B310" s="1043"/>
    </row>
    <row r="311" spans="2:2">
      <c r="B311" s="1043"/>
    </row>
    <row r="312" spans="2:2">
      <c r="B312" s="1043"/>
    </row>
    <row r="313" spans="2:2">
      <c r="B313" s="1043"/>
    </row>
    <row r="314" spans="2:2">
      <c r="B314" s="1043"/>
    </row>
    <row r="315" spans="2:2">
      <c r="B315" s="1043"/>
    </row>
    <row r="316" spans="2:2">
      <c r="B316" s="1043"/>
    </row>
    <row r="317" spans="2:2">
      <c r="B317" s="1043"/>
    </row>
    <row r="318" spans="2:2">
      <c r="B318" s="1043"/>
    </row>
    <row r="319" spans="2:2">
      <c r="B319" s="1043"/>
    </row>
    <row r="320" spans="2:2">
      <c r="B320" s="1043"/>
    </row>
    <row r="321" spans="2:2">
      <c r="B321" s="1043"/>
    </row>
    <row r="322" spans="2:2">
      <c r="B322" s="1043"/>
    </row>
    <row r="323" spans="2:2">
      <c r="B323" s="1043"/>
    </row>
    <row r="324" spans="2:2">
      <c r="B324" s="1043"/>
    </row>
    <row r="325" spans="2:2">
      <c r="B325" s="1043"/>
    </row>
    <row r="326" spans="2:2">
      <c r="B326" s="1043"/>
    </row>
    <row r="327" spans="2:2">
      <c r="B327" s="1043"/>
    </row>
    <row r="328" spans="2:2">
      <c r="B328" s="1043"/>
    </row>
    <row r="329" spans="2:2">
      <c r="B329" s="1043"/>
    </row>
    <row r="330" spans="2:2">
      <c r="B330" s="1043"/>
    </row>
    <row r="331" spans="2:2">
      <c r="B331" s="1043"/>
    </row>
    <row r="332" spans="2:2">
      <c r="B332" s="1043"/>
    </row>
    <row r="333" spans="2:2">
      <c r="B333" s="1043"/>
    </row>
    <row r="334" spans="2:2">
      <c r="B334" s="1043"/>
    </row>
    <row r="335" spans="2:2">
      <c r="B335" s="1043"/>
    </row>
    <row r="336" spans="2:2">
      <c r="B336" s="1043"/>
    </row>
    <row r="337" spans="2:2">
      <c r="B337" s="1043"/>
    </row>
    <row r="338" spans="2:2">
      <c r="B338" s="1043"/>
    </row>
    <row r="339" spans="2:2">
      <c r="B339" s="1043"/>
    </row>
    <row r="340" spans="2:2">
      <c r="B340" s="1043"/>
    </row>
    <row r="341" spans="2:2">
      <c r="B341" s="1043"/>
    </row>
    <row r="342" spans="2:2">
      <c r="B342" s="1043"/>
    </row>
    <row r="343" spans="2:2">
      <c r="B343" s="1043"/>
    </row>
    <row r="344" spans="2:2">
      <c r="B344" s="1043"/>
    </row>
    <row r="345" spans="2:2">
      <c r="B345" s="1043"/>
    </row>
    <row r="346" spans="2:2">
      <c r="B346" s="1043"/>
    </row>
    <row r="347" spans="2:2">
      <c r="B347" s="1043"/>
    </row>
    <row r="348" spans="2:2">
      <c r="B348" s="1043"/>
    </row>
    <row r="349" spans="2:2">
      <c r="B349" s="1043"/>
    </row>
    <row r="350" spans="2:2">
      <c r="B350" s="1043"/>
    </row>
    <row r="351" spans="2:2">
      <c r="B351" s="1043"/>
    </row>
    <row r="352" spans="2:2">
      <c r="B352" s="1043"/>
    </row>
    <row r="353" spans="2:2">
      <c r="B353" s="1043"/>
    </row>
    <row r="354" spans="2:2">
      <c r="B354" s="1043"/>
    </row>
    <row r="355" spans="2:2">
      <c r="B355" s="1043"/>
    </row>
    <row r="356" spans="2:2">
      <c r="B356" s="1043"/>
    </row>
    <row r="357" spans="2:2">
      <c r="B357" s="1043"/>
    </row>
    <row r="358" spans="2:2">
      <c r="B358" s="1043"/>
    </row>
    <row r="359" spans="2:2">
      <c r="B359" s="1043"/>
    </row>
    <row r="360" spans="2:2">
      <c r="B360" s="1043"/>
    </row>
    <row r="361" spans="2:2">
      <c r="B361" s="1043"/>
    </row>
    <row r="362" spans="2:2">
      <c r="B362" s="1043"/>
    </row>
    <row r="363" spans="2:2">
      <c r="B363" s="1043"/>
    </row>
    <row r="364" spans="2:2">
      <c r="B364" s="1043"/>
    </row>
    <row r="365" spans="2:2">
      <c r="B365" s="1043"/>
    </row>
    <row r="366" spans="2:2">
      <c r="B366" s="1043"/>
    </row>
    <row r="367" spans="2:2">
      <c r="B367" s="1043"/>
    </row>
    <row r="368" spans="2:2">
      <c r="B368" s="1043"/>
    </row>
    <row r="369" spans="2:2">
      <c r="B369" s="1043"/>
    </row>
    <row r="370" spans="2:2">
      <c r="B370" s="1043"/>
    </row>
    <row r="371" spans="2:2">
      <c r="B371" s="1043"/>
    </row>
    <row r="372" spans="2:2">
      <c r="B372" s="1043"/>
    </row>
    <row r="373" spans="2:2">
      <c r="B373" s="1043"/>
    </row>
    <row r="374" spans="2:2">
      <c r="B374" s="1043"/>
    </row>
    <row r="375" spans="2:2">
      <c r="B375" s="1043"/>
    </row>
    <row r="376" spans="2:2">
      <c r="B376" s="1043"/>
    </row>
    <row r="377" spans="2:2">
      <c r="B377" s="1043"/>
    </row>
    <row r="378" spans="2:2">
      <c r="B378" s="1043"/>
    </row>
    <row r="379" spans="2:2">
      <c r="B379" s="1043"/>
    </row>
    <row r="380" spans="2:2">
      <c r="B380" s="1043"/>
    </row>
    <row r="381" spans="2:2">
      <c r="B381" s="1043"/>
    </row>
    <row r="382" spans="2:2">
      <c r="B382" s="1043"/>
    </row>
  </sheetData>
  <mergeCells count="8">
    <mergeCell ref="A1:J1"/>
    <mergeCell ref="A2:J2"/>
    <mergeCell ref="G17:J17"/>
    <mergeCell ref="A19:B19"/>
    <mergeCell ref="A3:J3"/>
    <mergeCell ref="A4:J4"/>
    <mergeCell ref="A5:J5"/>
    <mergeCell ref="C17:E17"/>
  </mergeCells>
  <pageMargins left="0.7" right="0.7" top="0.75" bottom="0.75" header="0.3" footer="0.3"/>
  <pageSetup scale="56" orientation="portrait" r:id="rId1"/>
  <headerFooter>
    <oddFooter>&amp;RSchedule &amp;A
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55">
    <pageSetUpPr fitToPage="1"/>
  </sheetPr>
  <dimension ref="A1:S42"/>
  <sheetViews>
    <sheetView view="pageBreakPreview" zoomScale="80" zoomScaleNormal="100" zoomScaleSheetLayoutView="80" workbookViewId="0">
      <selection sqref="A1:Q1"/>
    </sheetView>
  </sheetViews>
  <sheetFormatPr defaultColWidth="8.44140625" defaultRowHeight="15"/>
  <cols>
    <col min="1" max="1" width="5.77734375" style="1" customWidth="1"/>
    <col min="2" max="2" width="6.88671875" style="1" customWidth="1"/>
    <col min="3" max="3" width="47" style="1" customWidth="1"/>
    <col min="4" max="7" width="10.5546875" style="1" bestFit="1" customWidth="1"/>
    <col min="8" max="8" width="10.5546875" style="66" bestFit="1" customWidth="1"/>
    <col min="9" max="15" width="10.5546875" style="1" bestFit="1" customWidth="1"/>
    <col min="16" max="16" width="12" style="1" bestFit="1" customWidth="1"/>
    <col min="17" max="17" width="11" style="1" customWidth="1"/>
    <col min="18" max="16384" width="8.44140625" style="1"/>
  </cols>
  <sheetData>
    <row r="1" spans="1:19">
      <c r="A1" s="1260" t="str">
        <f>Allocation!A1</f>
        <v>Atmos Energy Corporation, Kentucky/Mid-States Division</v>
      </c>
      <c r="B1" s="1260"/>
      <c r="C1" s="1260"/>
      <c r="D1" s="1260"/>
      <c r="E1" s="1260"/>
      <c r="F1" s="1260"/>
      <c r="G1" s="1260"/>
      <c r="H1" s="1260"/>
      <c r="I1" s="1260"/>
      <c r="J1" s="1260"/>
      <c r="K1" s="1260"/>
      <c r="L1" s="1260"/>
      <c r="M1" s="1260"/>
      <c r="N1" s="1260"/>
      <c r="O1" s="1260"/>
      <c r="P1" s="1260"/>
      <c r="Q1" s="1260"/>
    </row>
    <row r="2" spans="1:19">
      <c r="A2" s="1260" t="str">
        <f>Allocation!A2</f>
        <v>Kentucky Jurisdiction Case No. 2021-00214</v>
      </c>
      <c r="B2" s="1260"/>
      <c r="C2" s="1260"/>
      <c r="D2" s="1260"/>
      <c r="E2" s="1260"/>
      <c r="F2" s="1260"/>
      <c r="G2" s="1260"/>
      <c r="H2" s="1260"/>
      <c r="I2" s="1260"/>
      <c r="J2" s="1260"/>
      <c r="K2" s="1260"/>
      <c r="L2" s="1260"/>
      <c r="M2" s="1260"/>
      <c r="N2" s="1260"/>
      <c r="O2" s="1260"/>
      <c r="P2" s="1260"/>
      <c r="Q2" s="1260"/>
    </row>
    <row r="3" spans="1:19">
      <c r="A3" s="1261" t="s">
        <v>1210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1261"/>
      <c r="N3" s="1261"/>
      <c r="O3" s="1261"/>
      <c r="P3" s="1261"/>
      <c r="Q3" s="1261"/>
    </row>
    <row r="4" spans="1:19">
      <c r="A4" s="1260" t="str">
        <f>Allocation!A3</f>
        <v>Base Period: Twelve Months Ended September 30, 2021</v>
      </c>
      <c r="B4" s="1260"/>
      <c r="C4" s="1260"/>
      <c r="D4" s="1260"/>
      <c r="E4" s="1260"/>
      <c r="F4" s="1260"/>
      <c r="G4" s="1260"/>
      <c r="H4" s="1260"/>
      <c r="I4" s="1260"/>
      <c r="J4" s="1260"/>
      <c r="K4" s="1260"/>
      <c r="L4" s="1260"/>
      <c r="M4" s="1260"/>
      <c r="N4" s="1260"/>
      <c r="O4" s="1260"/>
      <c r="P4" s="1260"/>
      <c r="Q4" s="1260"/>
    </row>
    <row r="5" spans="1:19">
      <c r="A5" s="27"/>
      <c r="B5" s="26"/>
      <c r="C5" s="26"/>
      <c r="D5" s="26"/>
      <c r="E5" s="26"/>
      <c r="F5" s="26"/>
      <c r="G5" s="26"/>
      <c r="H5" s="317"/>
      <c r="I5" s="26"/>
      <c r="J5" s="26"/>
      <c r="K5" s="26"/>
    </row>
    <row r="6" spans="1:19">
      <c r="A6" s="1106" t="str">
        <f>'B.1 B'!A6</f>
        <v>Data:__X___Base Period______Forecasted Period</v>
      </c>
      <c r="B6" s="42"/>
      <c r="C6" s="31"/>
      <c r="P6" s="1" t="s">
        <v>1368</v>
      </c>
    </row>
    <row r="7" spans="1:19">
      <c r="A7" s="1106" t="str">
        <f>'B.1 B'!A7</f>
        <v>Type of Filing:___X____Original________Updated ________Revised</v>
      </c>
      <c r="B7" s="31"/>
      <c r="C7" s="42"/>
      <c r="P7" s="1" t="s">
        <v>799</v>
      </c>
    </row>
    <row r="8" spans="1:19">
      <c r="A8" s="1064" t="str">
        <f>'B.1 B'!A8</f>
        <v>Workpaper Reference No(s).</v>
      </c>
      <c r="B8" s="6"/>
      <c r="C8" s="6"/>
      <c r="D8" s="6"/>
      <c r="E8" s="6"/>
      <c r="F8" s="6"/>
      <c r="G8" s="29"/>
      <c r="H8" s="74"/>
      <c r="I8" s="6"/>
      <c r="J8" s="6"/>
      <c r="K8" s="29"/>
      <c r="L8" s="6"/>
      <c r="M8" s="29"/>
      <c r="N8" s="29"/>
      <c r="O8" s="29"/>
      <c r="P8" s="29"/>
      <c r="Q8" s="29"/>
    </row>
    <row r="9" spans="1:19">
      <c r="D9" s="48"/>
      <c r="E9" s="193"/>
      <c r="F9" s="2"/>
      <c r="G9" s="2"/>
      <c r="H9" s="67"/>
      <c r="I9" s="2"/>
      <c r="J9" s="193"/>
      <c r="K9" s="2"/>
    </row>
    <row r="10" spans="1:19">
      <c r="A10" s="2" t="s">
        <v>92</v>
      </c>
      <c r="B10" s="2" t="s">
        <v>93</v>
      </c>
      <c r="D10" s="47" t="s">
        <v>106</v>
      </c>
      <c r="E10" s="47" t="s">
        <v>106</v>
      </c>
      <c r="F10" s="47" t="s">
        <v>106</v>
      </c>
      <c r="G10" s="47" t="s">
        <v>106</v>
      </c>
      <c r="H10" s="47" t="s">
        <v>106</v>
      </c>
      <c r="I10" s="47" t="s">
        <v>106</v>
      </c>
      <c r="J10" s="47" t="s">
        <v>106</v>
      </c>
      <c r="K10" s="493" t="s">
        <v>449</v>
      </c>
      <c r="L10" s="47" t="s">
        <v>449</v>
      </c>
      <c r="M10" s="47" t="s">
        <v>449</v>
      </c>
      <c r="N10" s="47" t="s">
        <v>449</v>
      </c>
      <c r="O10" s="47" t="s">
        <v>449</v>
      </c>
      <c r="P10" s="47" t="s">
        <v>449</v>
      </c>
      <c r="Q10" s="91" t="s">
        <v>313</v>
      </c>
    </row>
    <row r="11" spans="1:19">
      <c r="A11" s="9" t="s">
        <v>98</v>
      </c>
      <c r="B11" s="9" t="s">
        <v>99</v>
      </c>
      <c r="C11" s="6"/>
      <c r="D11" s="1107">
        <f>'WP B.4.1B'!C8</f>
        <v>44075</v>
      </c>
      <c r="E11" s="1107">
        <f>'WP B.4.1B'!D8</f>
        <v>44105</v>
      </c>
      <c r="F11" s="1107">
        <f>'WP B.4.1B'!E8</f>
        <v>44136</v>
      </c>
      <c r="G11" s="1107">
        <f>'WP B.4.1B'!F8</f>
        <v>44166</v>
      </c>
      <c r="H11" s="1107">
        <f>'WP B.4.1B'!G8</f>
        <v>44197</v>
      </c>
      <c r="I11" s="1107">
        <f>'WP B.4.1B'!H8</f>
        <v>44228</v>
      </c>
      <c r="J11" s="1107">
        <f>'WP B.4.1B'!I8</f>
        <v>44256</v>
      </c>
      <c r="K11" s="1107">
        <f>'WP B.4.1B'!J8</f>
        <v>44287</v>
      </c>
      <c r="L11" s="1107">
        <f>'WP B.4.1B'!K8</f>
        <v>44317</v>
      </c>
      <c r="M11" s="1107">
        <f>'WP B.4.1B'!L8</f>
        <v>44348</v>
      </c>
      <c r="N11" s="1107">
        <f>'WP B.4.1B'!M8</f>
        <v>44378</v>
      </c>
      <c r="O11" s="1107">
        <f>'WP B.4.1B'!N8</f>
        <v>44409</v>
      </c>
      <c r="P11" s="1107">
        <f>'WP B.4.1B'!O8</f>
        <v>44440</v>
      </c>
      <c r="Q11" s="50" t="s">
        <v>97</v>
      </c>
    </row>
    <row r="12" spans="1:19" ht="15.75">
      <c r="B12" s="12" t="s">
        <v>212</v>
      </c>
      <c r="G12" s="73"/>
    </row>
    <row r="13" spans="1:19">
      <c r="A13" s="2">
        <v>1</v>
      </c>
      <c r="B13" s="318"/>
      <c r="C13" s="4" t="s">
        <v>51</v>
      </c>
      <c r="D13" s="304">
        <f>-'[11]WP- AIC Accts'!H8</f>
        <v>-659350.80000000005</v>
      </c>
      <c r="E13" s="304">
        <f>-'[11]WP- AIC Accts'!I8</f>
        <v>-659350.80000000005</v>
      </c>
      <c r="F13" s="304">
        <f>-'[11]WP- AIC Accts'!J8</f>
        <v>-657820.80000000005</v>
      </c>
      <c r="G13" s="304">
        <f>-'[11]WP- AIC Accts'!K8</f>
        <v>-668701.96</v>
      </c>
      <c r="H13" s="304">
        <f>-'[11]WP- AIC Accts'!L8</f>
        <v>-670714.19999999995</v>
      </c>
      <c r="I13" s="304">
        <f>-'[11]WP- AIC Accts'!M8</f>
        <v>-673519.92</v>
      </c>
      <c r="J13" s="304">
        <f>-'[11]WP- AIC Accts'!N8</f>
        <v>-772542.77</v>
      </c>
      <c r="K13" s="304">
        <f>-'[11]WP- AIC Accts'!O8</f>
        <v>-683775.07499999995</v>
      </c>
      <c r="L13" s="304">
        <f>-'[11]WP- AIC Accts'!P8</f>
        <v>-683775.07499999995</v>
      </c>
      <c r="M13" s="304">
        <f>-'[11]WP- AIC Accts'!Q8</f>
        <v>-683775.07499999995</v>
      </c>
      <c r="N13" s="304">
        <f>-'[11]WP- AIC Accts'!R8</f>
        <v>-683775.07499999995</v>
      </c>
      <c r="O13" s="304">
        <f>-'[11]WP- AIC Accts'!S8</f>
        <v>-683775.07499999995</v>
      </c>
      <c r="P13" s="304">
        <f>-'[11]WP- AIC Accts'!T8</f>
        <v>-683775.07499999995</v>
      </c>
      <c r="Q13" s="274">
        <f>SUM(D13:P13)/13</f>
        <v>-681896.28461538465</v>
      </c>
      <c r="S13" s="640"/>
    </row>
    <row r="14" spans="1:19">
      <c r="A14" s="48">
        <v>2</v>
      </c>
      <c r="B14" s="31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1:19" ht="15.75">
      <c r="A15" s="2">
        <v>3</v>
      </c>
      <c r="B15" s="12" t="s">
        <v>213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9">
      <c r="A16" s="48">
        <v>4</v>
      </c>
      <c r="B16" s="318">
        <v>15560</v>
      </c>
      <c r="C16" s="4" t="s">
        <v>51</v>
      </c>
      <c r="D16" s="304">
        <f>'[11]WP- AIC Accts'!H11</f>
        <v>0</v>
      </c>
      <c r="E16" s="304">
        <f>'[11]WP- AIC Accts'!I11</f>
        <v>0</v>
      </c>
      <c r="F16" s="304">
        <f>'[11]WP- AIC Accts'!J11</f>
        <v>0</v>
      </c>
      <c r="G16" s="304">
        <f>'[11]WP- AIC Accts'!K11</f>
        <v>0</v>
      </c>
      <c r="H16" s="304">
        <f>'[11]WP- AIC Accts'!L11</f>
        <v>0</v>
      </c>
      <c r="I16" s="304">
        <f>'[11]WP- AIC Accts'!M11</f>
        <v>0</v>
      </c>
      <c r="J16" s="304">
        <f>'[11]WP- AIC Accts'!N11</f>
        <v>0</v>
      </c>
      <c r="K16" s="304">
        <f>'[11]WP- AIC Accts'!O11</f>
        <v>0</v>
      </c>
      <c r="L16" s="304">
        <f>'[11]WP- AIC Accts'!P11</f>
        <v>0</v>
      </c>
      <c r="M16" s="304">
        <f>'[11]WP- AIC Accts'!Q11</f>
        <v>0</v>
      </c>
      <c r="N16" s="304">
        <f>'[11]WP- AIC Accts'!R11</f>
        <v>0</v>
      </c>
      <c r="O16" s="304">
        <f>'[11]WP- AIC Accts'!S11</f>
        <v>0</v>
      </c>
      <c r="P16" s="304">
        <f>'[11]WP- AIC Accts'!T11</f>
        <v>0</v>
      </c>
      <c r="Q16" s="274">
        <f>(SUM(D16:P16))/13</f>
        <v>0</v>
      </c>
    </row>
    <row r="17" spans="1:17">
      <c r="A17" s="2">
        <v>5</v>
      </c>
      <c r="B17" s="320"/>
      <c r="C17" s="4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1:17" ht="15.75">
      <c r="A18" s="48">
        <v>6</v>
      </c>
      <c r="B18" s="12" t="s">
        <v>1098</v>
      </c>
      <c r="C18" s="20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</row>
    <row r="19" spans="1:17">
      <c r="A19" s="2">
        <v>7</v>
      </c>
      <c r="B19" s="318">
        <v>15560</v>
      </c>
      <c r="C19" s="4" t="s">
        <v>51</v>
      </c>
      <c r="D19" s="304">
        <f>'[11]WP- AIC Accts'!H14</f>
        <v>0</v>
      </c>
      <c r="E19" s="304">
        <f>'[11]WP- AIC Accts'!I14</f>
        <v>0</v>
      </c>
      <c r="F19" s="304">
        <f>'[11]WP- AIC Accts'!J14</f>
        <v>0</v>
      </c>
      <c r="G19" s="304">
        <f>'[11]WP- AIC Accts'!K14</f>
        <v>0</v>
      </c>
      <c r="H19" s="304">
        <f>'[11]WP- AIC Accts'!L14</f>
        <v>0</v>
      </c>
      <c r="I19" s="304">
        <f>'[11]WP- AIC Accts'!M14</f>
        <v>0</v>
      </c>
      <c r="J19" s="304">
        <f>'[11]WP- AIC Accts'!N14</f>
        <v>0</v>
      </c>
      <c r="K19" s="304">
        <f>'[11]WP- AIC Accts'!O14</f>
        <v>0</v>
      </c>
      <c r="L19" s="304">
        <f>'[11]WP- AIC Accts'!P14</f>
        <v>0</v>
      </c>
      <c r="M19" s="304">
        <f>'[11]WP- AIC Accts'!Q14</f>
        <v>0</v>
      </c>
      <c r="N19" s="304">
        <f>'[11]WP- AIC Accts'!R14</f>
        <v>0</v>
      </c>
      <c r="O19" s="304">
        <f>'[11]WP- AIC Accts'!S14</f>
        <v>0</v>
      </c>
      <c r="P19" s="304">
        <f>'[11]WP- AIC Accts'!T14</f>
        <v>0</v>
      </c>
      <c r="Q19" s="274">
        <f>(SUM(D19:P19))/13</f>
        <v>0</v>
      </c>
    </row>
    <row r="20" spans="1:17">
      <c r="A20" s="48">
        <v>8</v>
      </c>
      <c r="B20" s="320"/>
      <c r="C20" s="4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</row>
    <row r="21" spans="1:17" ht="15.75">
      <c r="A21" s="2">
        <v>9</v>
      </c>
      <c r="B21" s="12" t="s">
        <v>671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7">
      <c r="A22" s="48">
        <v>10</v>
      </c>
      <c r="B22" s="318">
        <v>15560</v>
      </c>
      <c r="C22" s="4" t="s">
        <v>51</v>
      </c>
      <c r="D22" s="304">
        <f>'[11]WP- AIC Accts'!H17</f>
        <v>0</v>
      </c>
      <c r="E22" s="304">
        <f>'[11]WP- AIC Accts'!I17</f>
        <v>0</v>
      </c>
      <c r="F22" s="304">
        <f>'[11]WP- AIC Accts'!J17</f>
        <v>0</v>
      </c>
      <c r="G22" s="304">
        <f>'[11]WP- AIC Accts'!K17</f>
        <v>0</v>
      </c>
      <c r="H22" s="304">
        <f>'[11]WP- AIC Accts'!L17</f>
        <v>0</v>
      </c>
      <c r="I22" s="304">
        <f>'[11]WP- AIC Accts'!M17</f>
        <v>0</v>
      </c>
      <c r="J22" s="304">
        <f>'[11]WP- AIC Accts'!N17</f>
        <v>0</v>
      </c>
      <c r="K22" s="304">
        <f>'[11]WP- AIC Accts'!O17</f>
        <v>0</v>
      </c>
      <c r="L22" s="304">
        <f>'[11]WP- AIC Accts'!P17</f>
        <v>0</v>
      </c>
      <c r="M22" s="304">
        <f>'[11]WP- AIC Accts'!Q17</f>
        <v>0</v>
      </c>
      <c r="N22" s="304">
        <f>'[11]WP- AIC Accts'!R17</f>
        <v>0</v>
      </c>
      <c r="O22" s="304">
        <f>'[11]WP- AIC Accts'!S17</f>
        <v>0</v>
      </c>
      <c r="P22" s="304">
        <f>'[11]WP- AIC Accts'!T17</f>
        <v>0</v>
      </c>
      <c r="Q22" s="274">
        <f>(SUM(D22:P22))/13</f>
        <v>0</v>
      </c>
    </row>
    <row r="23" spans="1:17">
      <c r="A23" s="2"/>
      <c r="B23" s="319"/>
      <c r="D23" s="69"/>
      <c r="E23" s="38"/>
      <c r="F23" s="38"/>
      <c r="G23" s="69"/>
      <c r="H23" s="69"/>
      <c r="I23" s="69"/>
      <c r="J23" s="69"/>
      <c r="K23" s="69"/>
      <c r="L23" s="324"/>
      <c r="M23" s="277"/>
      <c r="N23" s="277"/>
      <c r="O23" s="277"/>
      <c r="P23" s="277"/>
    </row>
    <row r="24" spans="1:17">
      <c r="A24" s="2"/>
      <c r="D24" s="69"/>
      <c r="E24" s="38"/>
      <c r="F24" s="38"/>
      <c r="G24" s="69"/>
      <c r="H24" s="69"/>
      <c r="I24" s="69"/>
      <c r="J24" s="69"/>
      <c r="K24" s="69"/>
      <c r="L24" s="324"/>
      <c r="M24" s="277"/>
      <c r="N24" s="277"/>
      <c r="O24" s="277"/>
      <c r="P24" s="277"/>
    </row>
    <row r="25" spans="1:17">
      <c r="A25" s="31"/>
      <c r="B25" s="31"/>
      <c r="P25" s="277"/>
    </row>
    <row r="26" spans="1:17">
      <c r="A26" s="31"/>
      <c r="B26" s="31" t="s">
        <v>679</v>
      </c>
    </row>
    <row r="27" spans="1:17">
      <c r="A27" s="31"/>
      <c r="B27" s="31" t="s">
        <v>1586</v>
      </c>
    </row>
    <row r="28" spans="1:17">
      <c r="A28" s="31"/>
      <c r="B28" s="31"/>
    </row>
    <row r="29" spans="1:17">
      <c r="A29" s="31"/>
      <c r="B29" s="31"/>
    </row>
    <row r="30" spans="1:17">
      <c r="A30" s="31"/>
      <c r="B30" s="31"/>
    </row>
    <row r="31" spans="1:17">
      <c r="A31" s="31"/>
      <c r="B31" s="31"/>
    </row>
    <row r="32" spans="1:17">
      <c r="A32" s="31"/>
      <c r="B32" s="31"/>
    </row>
    <row r="33" spans="1:2">
      <c r="A33" s="31"/>
      <c r="B33" s="31"/>
    </row>
    <row r="34" spans="1:2">
      <c r="A34" s="31"/>
      <c r="B34" s="31"/>
    </row>
    <row r="35" spans="1:2">
      <c r="A35" s="31"/>
      <c r="B35" s="31"/>
    </row>
    <row r="36" spans="1:2">
      <c r="A36" s="31"/>
      <c r="B36" s="31"/>
    </row>
    <row r="37" spans="1:2">
      <c r="A37" s="31"/>
      <c r="B37" s="31"/>
    </row>
    <row r="38" spans="1:2">
      <c r="A38" s="31"/>
      <c r="B38" s="31"/>
    </row>
    <row r="39" spans="1:2">
      <c r="A39" s="31"/>
      <c r="B39" s="31"/>
    </row>
    <row r="40" spans="1:2">
      <c r="A40" s="31"/>
      <c r="B40" s="31"/>
    </row>
    <row r="41" spans="1:2">
      <c r="A41" s="31"/>
      <c r="B41" s="31"/>
    </row>
    <row r="42" spans="1:2">
      <c r="A42" s="31"/>
      <c r="B42" s="31"/>
    </row>
  </sheetData>
  <mergeCells count="4">
    <mergeCell ref="A1:Q1"/>
    <mergeCell ref="A2:Q2"/>
    <mergeCell ref="A3:Q3"/>
    <mergeCell ref="A4:Q4"/>
  </mergeCells>
  <phoneticPr fontId="21" type="noConversion"/>
  <printOptions horizontalCentered="1"/>
  <pageMargins left="0.54" right="0.53" top="0.93" bottom="1" header="0.5" footer="0.5"/>
  <pageSetup scale="50" orientation="landscape" verticalDpi="300" r:id="rId1"/>
  <headerFooter alignWithMargins="0">
    <oddFooter>&amp;R&amp;A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C16"/>
  <sheetViews>
    <sheetView view="pageBreakPreview" zoomScale="80" zoomScaleNormal="100" zoomScaleSheetLayoutView="80" workbookViewId="0">
      <selection sqref="A1:C1"/>
    </sheetView>
  </sheetViews>
  <sheetFormatPr defaultRowHeight="15"/>
  <cols>
    <col min="1" max="1" width="13.109375" customWidth="1"/>
    <col min="3" max="3" width="38.6640625" customWidth="1"/>
  </cols>
  <sheetData>
    <row r="1" spans="1:3">
      <c r="A1" s="1255" t="str">
        <f>'Table of Contents'!A1:C1</f>
        <v>Atmos Energy Corporation, Kentucky/Mid-States Division</v>
      </c>
      <c r="B1" s="1255"/>
      <c r="C1" s="1255"/>
    </row>
    <row r="2" spans="1:3">
      <c r="A2" s="1255" t="str">
        <f>'Table of Contents'!A2:C2</f>
        <v>Kentucky Jurisdiction Case No. 2021-00214</v>
      </c>
      <c r="B2" s="1255"/>
      <c r="C2" s="1255"/>
    </row>
    <row r="3" spans="1:3">
      <c r="A3" s="1255" t="str">
        <f>'Table of Contents'!A3:C3</f>
        <v>Base Period: Twelve Months Ended September 30, 2021</v>
      </c>
      <c r="B3" s="1255"/>
      <c r="C3" s="1255"/>
    </row>
    <row r="4" spans="1:3">
      <c r="A4" s="1255" t="str">
        <f>'Table of Contents'!A4:C4</f>
        <v>Forecasted Test Period: Twelve Months Ended December 31, 2022</v>
      </c>
      <c r="B4" s="1255"/>
      <c r="C4" s="1255"/>
    </row>
    <row r="14" spans="1:3" ht="15.75">
      <c r="A14" s="272" t="s">
        <v>57</v>
      </c>
      <c r="B14" s="272" t="s">
        <v>609</v>
      </c>
      <c r="C14" s="272" t="s">
        <v>972</v>
      </c>
    </row>
    <row r="15" spans="1:3">
      <c r="A15" s="70"/>
      <c r="B15" s="36"/>
      <c r="C15" s="36"/>
    </row>
    <row r="16" spans="1:3">
      <c r="A16" s="70" t="s">
        <v>169</v>
      </c>
      <c r="B16" s="70">
        <v>1</v>
      </c>
      <c r="C16" s="70" t="s">
        <v>987</v>
      </c>
    </row>
  </sheetData>
  <mergeCells count="4">
    <mergeCell ref="A1:C1"/>
    <mergeCell ref="A2:C2"/>
    <mergeCell ref="A3:C3"/>
    <mergeCell ref="A4:C4"/>
  </mergeCells>
  <phoneticPr fontId="21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65">
    <pageSetUpPr fitToPage="1"/>
  </sheetPr>
  <dimension ref="A1:Q41"/>
  <sheetViews>
    <sheetView view="pageBreakPreview" zoomScale="80" zoomScaleNormal="100" zoomScaleSheetLayoutView="80" workbookViewId="0">
      <selection sqref="A1:Q1"/>
    </sheetView>
  </sheetViews>
  <sheetFormatPr defaultColWidth="8.44140625" defaultRowHeight="15"/>
  <cols>
    <col min="1" max="1" width="5.77734375" style="1" customWidth="1"/>
    <col min="2" max="2" width="7.109375" style="1" customWidth="1"/>
    <col min="3" max="3" width="44.21875" style="1" customWidth="1"/>
    <col min="4" max="7" width="10.5546875" style="1" bestFit="1" customWidth="1"/>
    <col min="8" max="8" width="10.5546875" style="66" bestFit="1" customWidth="1"/>
    <col min="9" max="15" width="10.5546875" style="1" bestFit="1" customWidth="1"/>
    <col min="16" max="16" width="12" style="1" bestFit="1" customWidth="1"/>
    <col min="17" max="17" width="10" style="1" bestFit="1" customWidth="1"/>
    <col min="18" max="16384" width="8.44140625" style="1"/>
  </cols>
  <sheetData>
    <row r="1" spans="1:17">
      <c r="A1" s="1260" t="str">
        <f>Allocation!A1</f>
        <v>Atmos Energy Corporation, Kentucky/Mid-States Division</v>
      </c>
      <c r="B1" s="1260"/>
      <c r="C1" s="1260"/>
      <c r="D1" s="1260"/>
      <c r="E1" s="1260"/>
      <c r="F1" s="1260"/>
      <c r="G1" s="1260"/>
      <c r="H1" s="1260"/>
      <c r="I1" s="1260"/>
      <c r="J1" s="1260"/>
      <c r="K1" s="1260"/>
      <c r="L1" s="1260"/>
      <c r="M1" s="1260"/>
      <c r="N1" s="1260"/>
      <c r="O1" s="1260"/>
      <c r="P1" s="1260"/>
      <c r="Q1" s="1260"/>
    </row>
    <row r="2" spans="1:17">
      <c r="A2" s="1260" t="str">
        <f>Allocation!A2</f>
        <v>Kentucky Jurisdiction Case No. 2021-00214</v>
      </c>
      <c r="B2" s="1260"/>
      <c r="C2" s="1260"/>
      <c r="D2" s="1260"/>
      <c r="E2" s="1260"/>
      <c r="F2" s="1260"/>
      <c r="G2" s="1260"/>
      <c r="H2" s="1260"/>
      <c r="I2" s="1260"/>
      <c r="J2" s="1260"/>
      <c r="K2" s="1260"/>
      <c r="L2" s="1260"/>
      <c r="M2" s="1260"/>
      <c r="N2" s="1260"/>
      <c r="O2" s="1260"/>
      <c r="P2" s="1260"/>
      <c r="Q2" s="1260"/>
    </row>
    <row r="3" spans="1:17">
      <c r="A3" s="1261" t="s">
        <v>1210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1261"/>
      <c r="N3" s="1261"/>
      <c r="O3" s="1261"/>
      <c r="P3" s="1261"/>
      <c r="Q3" s="1261"/>
    </row>
    <row r="4" spans="1:17">
      <c r="A4" s="1260" t="str">
        <f>Allocation!A3</f>
        <v>Base Period: Twelve Months Ended September 30, 2021</v>
      </c>
      <c r="B4" s="1260"/>
      <c r="C4" s="1260"/>
      <c r="D4" s="1260"/>
      <c r="E4" s="1260"/>
      <c r="F4" s="1260"/>
      <c r="G4" s="1260"/>
      <c r="H4" s="1260"/>
      <c r="I4" s="1260"/>
      <c r="J4" s="1260"/>
      <c r="K4" s="1260"/>
      <c r="L4" s="1260"/>
      <c r="M4" s="1260"/>
      <c r="N4" s="1260"/>
      <c r="O4" s="1260"/>
      <c r="P4" s="1260"/>
      <c r="Q4" s="1260"/>
    </row>
    <row r="5" spans="1:17">
      <c r="A5" s="27"/>
      <c r="B5" s="26"/>
      <c r="C5" s="26"/>
      <c r="D5" s="26"/>
      <c r="E5" s="26"/>
      <c r="F5" s="26"/>
      <c r="G5" s="26"/>
      <c r="H5" s="317"/>
      <c r="I5" s="26"/>
      <c r="J5" s="26"/>
      <c r="K5" s="26"/>
    </row>
    <row r="6" spans="1:17">
      <c r="A6" s="1106" t="str">
        <f>'B.1 F '!A6</f>
        <v>Data:______Base Period__X___Forecasted Period</v>
      </c>
      <c r="B6" s="42"/>
      <c r="C6" s="31"/>
      <c r="P6" s="1" t="s">
        <v>1367</v>
      </c>
    </row>
    <row r="7" spans="1:17">
      <c r="A7" s="1106" t="str">
        <f>'B.1 F '!A7</f>
        <v>Type of Filing:___X____Original________Updated ________Revised</v>
      </c>
      <c r="B7" s="31"/>
      <c r="C7" s="42"/>
      <c r="P7" s="1" t="s">
        <v>1148</v>
      </c>
    </row>
    <row r="8" spans="1:17">
      <c r="A8" s="1064" t="str">
        <f>'B.1 F '!A8</f>
        <v>Workpaper Reference No(s).</v>
      </c>
      <c r="B8" s="6"/>
      <c r="C8" s="6"/>
      <c r="D8" s="6"/>
      <c r="E8" s="6"/>
      <c r="F8" s="6"/>
      <c r="G8" s="29"/>
      <c r="H8" s="74"/>
      <c r="I8" s="6"/>
      <c r="J8" s="6"/>
      <c r="K8" s="29"/>
      <c r="L8" s="6"/>
      <c r="M8" s="29"/>
      <c r="N8" s="29"/>
      <c r="O8" s="29"/>
      <c r="P8" s="29"/>
      <c r="Q8" s="29"/>
    </row>
    <row r="9" spans="1:17">
      <c r="D9" s="48"/>
      <c r="E9" s="193"/>
      <c r="F9" s="2"/>
      <c r="G9" s="2"/>
      <c r="H9" s="67"/>
      <c r="I9" s="2"/>
      <c r="J9" s="193"/>
      <c r="K9" s="2"/>
    </row>
    <row r="10" spans="1:17">
      <c r="A10" s="2" t="s">
        <v>92</v>
      </c>
      <c r="B10" s="2" t="s">
        <v>93</v>
      </c>
      <c r="D10" s="47" t="s">
        <v>449</v>
      </c>
      <c r="E10" s="633" t="s">
        <v>449</v>
      </c>
      <c r="F10" s="633" t="s">
        <v>449</v>
      </c>
      <c r="G10" s="633" t="s">
        <v>449</v>
      </c>
      <c r="H10" s="633" t="s">
        <v>449</v>
      </c>
      <c r="I10" s="493" t="s">
        <v>42</v>
      </c>
      <c r="J10" s="493" t="s">
        <v>42</v>
      </c>
      <c r="K10" s="493" t="s">
        <v>42</v>
      </c>
      <c r="L10" s="493" t="s">
        <v>42</v>
      </c>
      <c r="M10" s="493" t="s">
        <v>42</v>
      </c>
      <c r="N10" s="493" t="s">
        <v>42</v>
      </c>
      <c r="O10" s="493" t="s">
        <v>42</v>
      </c>
      <c r="P10" s="493" t="s">
        <v>42</v>
      </c>
      <c r="Q10" s="91" t="s">
        <v>313</v>
      </c>
    </row>
    <row r="11" spans="1:17">
      <c r="A11" s="9" t="s">
        <v>98</v>
      </c>
      <c r="B11" s="9" t="s">
        <v>99</v>
      </c>
      <c r="C11" s="6"/>
      <c r="D11" s="1107">
        <f>'WP B.4.1F'!C8</f>
        <v>44531</v>
      </c>
      <c r="E11" s="1107">
        <f>'WP B.4.1F'!D8</f>
        <v>44562</v>
      </c>
      <c r="F11" s="1107">
        <f>'WP B.4.1F'!E8</f>
        <v>44593</v>
      </c>
      <c r="G11" s="1107">
        <f>'WP B.4.1F'!F8</f>
        <v>44621</v>
      </c>
      <c r="H11" s="1107">
        <f>'WP B.4.1F'!G8</f>
        <v>44652</v>
      </c>
      <c r="I11" s="1107">
        <f>'WP B.4.1F'!H8</f>
        <v>44682</v>
      </c>
      <c r="J11" s="1107">
        <f>'WP B.4.1F'!I8</f>
        <v>44713</v>
      </c>
      <c r="K11" s="1107">
        <f>'WP B.4.1F'!J8</f>
        <v>44743</v>
      </c>
      <c r="L11" s="1107">
        <f>'WP B.4.1F'!K8</f>
        <v>44774</v>
      </c>
      <c r="M11" s="1107">
        <f>'WP B.4.1F'!L8</f>
        <v>44805</v>
      </c>
      <c r="N11" s="1107">
        <f>'WP B.4.1F'!M8</f>
        <v>44835</v>
      </c>
      <c r="O11" s="1107">
        <f>'WP B.4.1F'!N8</f>
        <v>44866</v>
      </c>
      <c r="P11" s="1107">
        <f>'WP B.4.1F'!O8</f>
        <v>44896</v>
      </c>
      <c r="Q11" s="50" t="s">
        <v>97</v>
      </c>
    </row>
    <row r="12" spans="1:17" ht="15.75">
      <c r="B12" s="12" t="s">
        <v>212</v>
      </c>
      <c r="G12" s="73"/>
    </row>
    <row r="13" spans="1:17">
      <c r="A13" s="2">
        <v>1</v>
      </c>
      <c r="B13" s="318"/>
      <c r="C13" s="4" t="s">
        <v>51</v>
      </c>
      <c r="D13" s="304">
        <f>-'[11]WP- AIC Accts'!W8</f>
        <v>-683775.07499999995</v>
      </c>
      <c r="E13" s="304">
        <f>-'[11]WP- AIC Accts'!X8</f>
        <v>-683775.07499999995</v>
      </c>
      <c r="F13" s="304">
        <f>-'[11]WP- AIC Accts'!Y8</f>
        <v>-683775.07499999995</v>
      </c>
      <c r="G13" s="304">
        <f>-'[11]WP- AIC Accts'!Z8</f>
        <v>-683775.07499999995</v>
      </c>
      <c r="H13" s="304">
        <f>-'[11]WP- AIC Accts'!AA8</f>
        <v>-683775.07499999995</v>
      </c>
      <c r="I13" s="304">
        <f>-'[11]WP- AIC Accts'!AB8</f>
        <v>-683775.07499999995</v>
      </c>
      <c r="J13" s="304">
        <f>-'[11]WP- AIC Accts'!AC8</f>
        <v>-683775.07499999995</v>
      </c>
      <c r="K13" s="304">
        <f>-'[11]WP- AIC Accts'!AD8</f>
        <v>-683775.07499999995</v>
      </c>
      <c r="L13" s="304">
        <f>-'[11]WP- AIC Accts'!AE8</f>
        <v>-683775.07499999995</v>
      </c>
      <c r="M13" s="304">
        <f>-'[11]WP- AIC Accts'!AF8</f>
        <v>-683775.07499999995</v>
      </c>
      <c r="N13" s="304">
        <f>-'[11]WP- AIC Accts'!AG8</f>
        <v>-683775.07499999995</v>
      </c>
      <c r="O13" s="304">
        <f>-'[11]WP- AIC Accts'!AH8</f>
        <v>-683775.07499999995</v>
      </c>
      <c r="P13" s="304">
        <f>-'[11]WP- AIC Accts'!AI8</f>
        <v>-683775.07499999995</v>
      </c>
      <c r="Q13" s="274">
        <f>SUM(D13:P13)/13</f>
        <v>-683775.07500000007</v>
      </c>
    </row>
    <row r="14" spans="1:17">
      <c r="A14" s="48">
        <v>2</v>
      </c>
      <c r="B14" s="31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1:17" ht="15.75">
      <c r="A15" s="2">
        <v>3</v>
      </c>
      <c r="B15" s="12" t="s">
        <v>213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7">
      <c r="A16" s="48">
        <v>4</v>
      </c>
      <c r="B16" s="318">
        <v>15560</v>
      </c>
      <c r="C16" s="4" t="s">
        <v>51</v>
      </c>
      <c r="D16" s="304">
        <f>'[11]WP- AIC Accts'!W11</f>
        <v>0</v>
      </c>
      <c r="E16" s="304">
        <f>'[11]WP- AIC Accts'!X11</f>
        <v>0</v>
      </c>
      <c r="F16" s="304">
        <f>'[11]WP- AIC Accts'!Y11</f>
        <v>0</v>
      </c>
      <c r="G16" s="304">
        <f>'[11]WP- AIC Accts'!Z11</f>
        <v>0</v>
      </c>
      <c r="H16" s="304">
        <f>'[11]WP- AIC Accts'!AA11</f>
        <v>0</v>
      </c>
      <c r="I16" s="304">
        <f>'[11]WP- AIC Accts'!AB11</f>
        <v>0</v>
      </c>
      <c r="J16" s="304">
        <f>'[11]WP- AIC Accts'!AC11</f>
        <v>0</v>
      </c>
      <c r="K16" s="304">
        <f>'[11]WP- AIC Accts'!AD11</f>
        <v>0</v>
      </c>
      <c r="L16" s="304">
        <f>'[11]WP- AIC Accts'!AE11</f>
        <v>0</v>
      </c>
      <c r="M16" s="304">
        <f>'[11]WP- AIC Accts'!AF11</f>
        <v>0</v>
      </c>
      <c r="N16" s="304">
        <f>'[11]WP- AIC Accts'!AG11</f>
        <v>0</v>
      </c>
      <c r="O16" s="304">
        <f>'[11]WP- AIC Accts'!AH11</f>
        <v>0</v>
      </c>
      <c r="P16" s="304">
        <f>'[11]WP- AIC Accts'!AI11</f>
        <v>0</v>
      </c>
      <c r="Q16" s="274">
        <f>SUM(D16:P16)/13</f>
        <v>0</v>
      </c>
    </row>
    <row r="17" spans="1:17">
      <c r="A17" s="2">
        <v>5</v>
      </c>
      <c r="B17" s="320"/>
      <c r="C17" s="4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1:17" ht="15.75">
      <c r="A18" s="48">
        <v>6</v>
      </c>
      <c r="B18" s="12" t="s">
        <v>1098</v>
      </c>
      <c r="C18" s="20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</row>
    <row r="19" spans="1:17">
      <c r="A19" s="2">
        <v>7</v>
      </c>
      <c r="B19" s="318">
        <v>15560</v>
      </c>
      <c r="C19" s="4" t="s">
        <v>51</v>
      </c>
      <c r="D19" s="304">
        <f>'[11]WP- AIC Accts'!W14</f>
        <v>0</v>
      </c>
      <c r="E19" s="304">
        <f>'[11]WP- AIC Accts'!X14</f>
        <v>0</v>
      </c>
      <c r="F19" s="304">
        <f>'[11]WP- AIC Accts'!Y14</f>
        <v>0</v>
      </c>
      <c r="G19" s="304">
        <f>'[11]WP- AIC Accts'!Z14</f>
        <v>0</v>
      </c>
      <c r="H19" s="304">
        <f>'[11]WP- AIC Accts'!AA14</f>
        <v>0</v>
      </c>
      <c r="I19" s="304">
        <f>'[11]WP- AIC Accts'!AB14</f>
        <v>0</v>
      </c>
      <c r="J19" s="304">
        <f>'[11]WP- AIC Accts'!AC14</f>
        <v>0</v>
      </c>
      <c r="K19" s="304">
        <f>'[11]WP- AIC Accts'!AD14</f>
        <v>0</v>
      </c>
      <c r="L19" s="304">
        <f>'[11]WP- AIC Accts'!AE14</f>
        <v>0</v>
      </c>
      <c r="M19" s="304">
        <f>'[11]WP- AIC Accts'!AF14</f>
        <v>0</v>
      </c>
      <c r="N19" s="304">
        <f>'[11]WP- AIC Accts'!AG14</f>
        <v>0</v>
      </c>
      <c r="O19" s="304">
        <f>'[11]WP- AIC Accts'!AH14</f>
        <v>0</v>
      </c>
      <c r="P19" s="304">
        <f>'[11]WP- AIC Accts'!AI14</f>
        <v>0</v>
      </c>
      <c r="Q19" s="274">
        <f>SUM(D19:P19)/13</f>
        <v>0</v>
      </c>
    </row>
    <row r="20" spans="1:17">
      <c r="A20" s="48">
        <v>8</v>
      </c>
      <c r="B20" s="320"/>
      <c r="C20" s="4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</row>
    <row r="21" spans="1:17" ht="15.75">
      <c r="A21" s="2">
        <v>9</v>
      </c>
      <c r="B21" s="12" t="s">
        <v>671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7">
      <c r="A22" s="48">
        <v>10</v>
      </c>
      <c r="B22" s="318">
        <v>15560</v>
      </c>
      <c r="C22" s="4" t="s">
        <v>51</v>
      </c>
      <c r="D22" s="304">
        <f>'[11]WP- AIC Accts'!W17</f>
        <v>0</v>
      </c>
      <c r="E22" s="304">
        <f>'[11]WP- AIC Accts'!X17</f>
        <v>0</v>
      </c>
      <c r="F22" s="304">
        <f>'[11]WP- AIC Accts'!Y17</f>
        <v>0</v>
      </c>
      <c r="G22" s="304">
        <f>'[11]WP- AIC Accts'!Z17</f>
        <v>0</v>
      </c>
      <c r="H22" s="304">
        <f>'[11]WP- AIC Accts'!AA17</f>
        <v>0</v>
      </c>
      <c r="I22" s="304">
        <f>'[11]WP- AIC Accts'!AB17</f>
        <v>0</v>
      </c>
      <c r="J22" s="304">
        <f>'[11]WP- AIC Accts'!AC17</f>
        <v>0</v>
      </c>
      <c r="K22" s="304">
        <f>'[11]WP- AIC Accts'!AD17</f>
        <v>0</v>
      </c>
      <c r="L22" s="304">
        <f>'[11]WP- AIC Accts'!AE17</f>
        <v>0</v>
      </c>
      <c r="M22" s="304">
        <f>'[11]WP- AIC Accts'!AF17</f>
        <v>0</v>
      </c>
      <c r="N22" s="304">
        <f>'[11]WP- AIC Accts'!AG17</f>
        <v>0</v>
      </c>
      <c r="O22" s="304">
        <f>'[11]WP- AIC Accts'!AH17</f>
        <v>0</v>
      </c>
      <c r="P22" s="304">
        <f>'[11]WP- AIC Accts'!AI17</f>
        <v>0</v>
      </c>
      <c r="Q22" s="274">
        <f>SUM(D22:P22)/13</f>
        <v>0</v>
      </c>
    </row>
    <row r="23" spans="1:17">
      <c r="A23" s="2"/>
      <c r="B23" s="31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1:17">
      <c r="A24" s="2"/>
      <c r="D24" s="69"/>
      <c r="E24" s="38"/>
      <c r="F24" s="38"/>
      <c r="G24" s="69"/>
      <c r="H24" s="69"/>
      <c r="I24" s="69"/>
      <c r="J24" s="69"/>
      <c r="K24" s="69"/>
      <c r="L24" s="324"/>
      <c r="M24" s="277"/>
      <c r="N24" s="277"/>
      <c r="O24" s="277"/>
      <c r="P24" s="277"/>
    </row>
    <row r="25" spans="1:17">
      <c r="A25" s="31"/>
      <c r="B25" s="31"/>
    </row>
    <row r="26" spans="1:17">
      <c r="A26" s="31"/>
      <c r="B26" s="31" t="s">
        <v>679</v>
      </c>
    </row>
    <row r="27" spans="1:17">
      <c r="A27" s="31"/>
      <c r="B27" s="31" t="s">
        <v>1586</v>
      </c>
    </row>
    <row r="28" spans="1:17">
      <c r="A28" s="31"/>
      <c r="B28" s="31"/>
    </row>
    <row r="29" spans="1:17">
      <c r="A29" s="31"/>
      <c r="B29" s="31"/>
    </row>
    <row r="30" spans="1:17">
      <c r="A30" s="31"/>
      <c r="B30" s="31"/>
    </row>
    <row r="31" spans="1:17">
      <c r="A31" s="31"/>
      <c r="B31" s="31"/>
    </row>
    <row r="32" spans="1:17">
      <c r="A32" s="31"/>
      <c r="B32" s="31"/>
    </row>
    <row r="33" spans="1:2">
      <c r="A33" s="31"/>
      <c r="B33" s="31"/>
    </row>
    <row r="34" spans="1:2">
      <c r="A34" s="31"/>
      <c r="B34" s="31"/>
    </row>
    <row r="35" spans="1:2">
      <c r="A35" s="31"/>
      <c r="B35" s="31"/>
    </row>
    <row r="36" spans="1:2">
      <c r="A36" s="31"/>
      <c r="B36" s="31"/>
    </row>
    <row r="37" spans="1:2">
      <c r="A37" s="31"/>
      <c r="B37" s="31"/>
    </row>
    <row r="38" spans="1:2">
      <c r="A38" s="31"/>
      <c r="B38" s="31"/>
    </row>
    <row r="39" spans="1:2">
      <c r="A39" s="31"/>
      <c r="B39" s="31"/>
    </row>
    <row r="40" spans="1:2">
      <c r="A40" s="31"/>
      <c r="B40" s="31"/>
    </row>
    <row r="41" spans="1:2">
      <c r="A41" s="31"/>
      <c r="B41" s="31"/>
    </row>
  </sheetData>
  <mergeCells count="4">
    <mergeCell ref="A1:Q1"/>
    <mergeCell ref="A2:Q2"/>
    <mergeCell ref="A3:Q3"/>
    <mergeCell ref="A4:Q4"/>
  </mergeCells>
  <phoneticPr fontId="21" type="noConversion"/>
  <printOptions horizontalCentered="1"/>
  <pageMargins left="0.54" right="0.55000000000000004" top="0.87" bottom="1" header="0.5" footer="0.5"/>
  <pageSetup scale="51" orientation="landscape" verticalDpi="300" r:id="rId1"/>
  <headerFooter alignWithMargins="0">
    <oddFooter>&amp;R&amp;A
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12"/>
  <dimension ref="A1:C21"/>
  <sheetViews>
    <sheetView view="pageBreakPreview" zoomScale="80" zoomScaleNormal="100" zoomScaleSheetLayoutView="80" workbookViewId="0">
      <selection sqref="A1:C1"/>
    </sheetView>
  </sheetViews>
  <sheetFormatPr defaultRowHeight="15"/>
  <cols>
    <col min="1" max="1" width="13.109375" customWidth="1"/>
    <col min="3" max="3" width="51.21875" customWidth="1"/>
  </cols>
  <sheetData>
    <row r="1" spans="1:3">
      <c r="A1" s="1255" t="str">
        <f>'Table of Contents'!A1:C1</f>
        <v>Atmos Energy Corporation, Kentucky/Mid-States Division</v>
      </c>
      <c r="B1" s="1255"/>
      <c r="C1" s="1255"/>
    </row>
    <row r="2" spans="1:3">
      <c r="A2" s="1255" t="str">
        <f>'Table of Contents'!A2:C2</f>
        <v>Kentucky Jurisdiction Case No. 2021-00214</v>
      </c>
      <c r="B2" s="1255"/>
      <c r="C2" s="1255"/>
    </row>
    <row r="3" spans="1:3">
      <c r="A3" s="1255" t="str">
        <f>'Table of Contents'!A3:C3</f>
        <v>Base Period: Twelve Months Ended September 30, 2021</v>
      </c>
      <c r="B3" s="1255"/>
      <c r="C3" s="1255"/>
    </row>
    <row r="4" spans="1:3">
      <c r="A4" s="1255" t="str">
        <f>'Table of Contents'!A4:C4</f>
        <v>Forecasted Test Period: Twelve Months Ended December 31, 2022</v>
      </c>
      <c r="B4" s="1255"/>
      <c r="C4" s="1255"/>
    </row>
    <row r="9" spans="1:3" ht="15.75">
      <c r="A9" s="1277" t="s">
        <v>1369</v>
      </c>
      <c r="B9" s="1277"/>
      <c r="C9" s="1277"/>
    </row>
    <row r="11" spans="1:3" ht="15.75">
      <c r="A11" s="1259" t="s">
        <v>58</v>
      </c>
      <c r="B11" s="1259"/>
      <c r="C11" s="1259"/>
    </row>
    <row r="14" spans="1:3">
      <c r="A14" s="194" t="s">
        <v>57</v>
      </c>
      <c r="B14" s="436" t="s">
        <v>609</v>
      </c>
      <c r="C14" s="54" t="s">
        <v>972</v>
      </c>
    </row>
    <row r="15" spans="1:3">
      <c r="A15" s="70"/>
      <c r="B15" s="172"/>
      <c r="C15" s="36"/>
    </row>
    <row r="16" spans="1:3">
      <c r="A16" s="198" t="s">
        <v>367</v>
      </c>
      <c r="B16" s="389">
        <v>1</v>
      </c>
      <c r="C16" s="36" t="s">
        <v>58</v>
      </c>
    </row>
    <row r="17" spans="1:3">
      <c r="A17" s="198" t="s">
        <v>139</v>
      </c>
      <c r="B17" s="389">
        <v>1</v>
      </c>
      <c r="C17" s="36" t="s">
        <v>123</v>
      </c>
    </row>
    <row r="18" spans="1:3">
      <c r="A18" s="198" t="s">
        <v>1149</v>
      </c>
      <c r="B18" s="389">
        <v>10</v>
      </c>
      <c r="C18" s="36" t="s">
        <v>1119</v>
      </c>
    </row>
    <row r="19" spans="1:3">
      <c r="A19" s="198" t="s">
        <v>3</v>
      </c>
      <c r="B19" s="389">
        <v>10</v>
      </c>
      <c r="C19" s="36" t="s">
        <v>456</v>
      </c>
    </row>
    <row r="20" spans="1:3">
      <c r="A20" s="198" t="s">
        <v>455</v>
      </c>
      <c r="B20" s="389">
        <v>2</v>
      </c>
      <c r="C20" t="s">
        <v>457</v>
      </c>
    </row>
    <row r="21" spans="1:3">
      <c r="B21" s="72"/>
    </row>
  </sheetData>
  <mergeCells count="6">
    <mergeCell ref="A9:C9"/>
    <mergeCell ref="A11:C11"/>
    <mergeCell ref="A1:C1"/>
    <mergeCell ref="A2:C2"/>
    <mergeCell ref="A3:C3"/>
    <mergeCell ref="A4:C4"/>
  </mergeCells>
  <phoneticPr fontId="21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8">
    <pageSetUpPr fitToPage="1"/>
  </sheetPr>
  <dimension ref="A1:X35"/>
  <sheetViews>
    <sheetView view="pageBreakPreview" zoomScale="80" zoomScaleNormal="100" zoomScaleSheetLayoutView="80" workbookViewId="0">
      <selection sqref="A1:J1"/>
    </sheetView>
  </sheetViews>
  <sheetFormatPr defaultColWidth="10.109375" defaultRowHeight="15"/>
  <cols>
    <col min="1" max="1" width="5.21875" style="36" customWidth="1"/>
    <col min="2" max="2" width="2.21875" style="36" customWidth="1"/>
    <col min="3" max="3" width="26.109375" style="36" customWidth="1"/>
    <col min="4" max="4" width="13.21875" style="36" customWidth="1"/>
    <col min="5" max="5" width="2.33203125" style="36" customWidth="1"/>
    <col min="6" max="6" width="13.21875" style="36" customWidth="1"/>
    <col min="7" max="7" width="2.109375" style="36" customWidth="1"/>
    <col min="8" max="8" width="12.88671875" style="36" customWidth="1"/>
    <col min="9" max="9" width="2.109375" style="36" customWidth="1"/>
    <col min="10" max="10" width="13.88671875" style="36" customWidth="1"/>
    <col min="11" max="11" width="4.88671875" style="36" customWidth="1"/>
    <col min="12" max="12" width="6.5546875" style="36" bestFit="1" customWidth="1"/>
    <col min="13" max="13" width="11.109375" style="36" customWidth="1"/>
    <col min="14" max="14" width="8" style="36" bestFit="1" customWidth="1"/>
    <col min="15" max="15" width="12" style="36" customWidth="1"/>
    <col min="16" max="16" width="10.109375" style="36" customWidth="1"/>
    <col min="17" max="17" width="3.21875" style="36" customWidth="1"/>
    <col min="18" max="18" width="11.88671875" style="36" customWidth="1"/>
    <col min="19" max="19" width="1.33203125" style="36" customWidth="1"/>
    <col min="20" max="20" width="12.33203125" style="36" customWidth="1"/>
    <col min="21" max="21" width="1.6640625" style="36" customWidth="1"/>
    <col min="22" max="22" width="10.5546875" style="36" bestFit="1" customWidth="1"/>
    <col min="23" max="23" width="0.88671875" style="36" customWidth="1"/>
    <col min="24" max="24" width="10.44140625" style="36" bestFit="1" customWidth="1"/>
    <col min="25" max="16384" width="10.109375" style="36"/>
  </cols>
  <sheetData>
    <row r="1" spans="1:24" s="1" customFormat="1">
      <c r="A1" s="1278" t="str">
        <f>'Table of Contents'!A1:C1</f>
        <v>Atmos Energy Corporation, Kentucky/Mid-States Division</v>
      </c>
      <c r="B1" s="1278"/>
      <c r="C1" s="1278"/>
      <c r="D1" s="1278"/>
      <c r="E1" s="1278"/>
      <c r="F1" s="1278"/>
      <c r="G1" s="1278"/>
      <c r="H1" s="1278"/>
      <c r="I1" s="1278"/>
      <c r="J1" s="1278"/>
    </row>
    <row r="2" spans="1:24" s="1" customFormat="1">
      <c r="A2" s="1278" t="str">
        <f>'Table of Contents'!A2:C2</f>
        <v>Kentucky Jurisdiction Case No. 2021-00214</v>
      </c>
      <c r="B2" s="1278"/>
      <c r="C2" s="1278"/>
      <c r="D2" s="1278"/>
      <c r="E2" s="1278"/>
      <c r="F2" s="1278"/>
      <c r="G2" s="1278"/>
      <c r="H2" s="1278"/>
      <c r="I2" s="1278"/>
      <c r="J2" s="1278"/>
    </row>
    <row r="3" spans="1:24" s="1" customFormat="1">
      <c r="A3" s="1279" t="s">
        <v>58</v>
      </c>
      <c r="B3" s="1279"/>
      <c r="C3" s="1279"/>
      <c r="D3" s="1279"/>
      <c r="E3" s="1279"/>
      <c r="F3" s="1279"/>
      <c r="G3" s="1279"/>
      <c r="H3" s="1279"/>
      <c r="I3" s="1279"/>
      <c r="J3" s="1279"/>
    </row>
    <row r="4" spans="1:24" s="1" customFormat="1">
      <c r="A4" s="1278" t="str">
        <f>'Table of Contents'!A4:C4</f>
        <v>Forecasted Test Period: Twelve Months Ended December 31, 2022</v>
      </c>
      <c r="B4" s="1278"/>
      <c r="C4" s="1278"/>
      <c r="D4" s="1278"/>
      <c r="E4" s="1278"/>
      <c r="F4" s="1278"/>
      <c r="G4" s="1278"/>
      <c r="H4" s="1278"/>
      <c r="I4" s="1278"/>
      <c r="J4" s="1278"/>
    </row>
    <row r="5" spans="1:24" s="1" customFormat="1">
      <c r="A5" s="369"/>
      <c r="B5" s="369"/>
      <c r="C5" s="369"/>
      <c r="D5" s="369"/>
      <c r="E5" s="369"/>
      <c r="F5" s="369"/>
      <c r="G5" s="369"/>
      <c r="H5" s="369"/>
      <c r="I5" s="369"/>
      <c r="J5" s="369"/>
    </row>
    <row r="6" spans="1:24" s="1" customFormat="1"/>
    <row r="7" spans="1:24" s="1" customFormat="1">
      <c r="A7" s="4" t="s">
        <v>852</v>
      </c>
      <c r="I7" s="4"/>
      <c r="J7" s="322" t="s">
        <v>1370</v>
      </c>
    </row>
    <row r="8" spans="1:24" s="1" customFormat="1">
      <c r="A8" s="4" t="s">
        <v>610</v>
      </c>
      <c r="H8" s="4"/>
      <c r="I8" s="4"/>
      <c r="J8" s="413" t="s">
        <v>263</v>
      </c>
    </row>
    <row r="9" spans="1:24" s="1" customFormat="1">
      <c r="A9" s="5" t="s">
        <v>363</v>
      </c>
      <c r="B9" s="6"/>
      <c r="C9" s="6"/>
      <c r="D9" s="6"/>
      <c r="E9" s="6"/>
      <c r="F9" s="6"/>
      <c r="G9" s="6"/>
      <c r="H9" s="5"/>
      <c r="I9" s="5"/>
      <c r="J9" s="453" t="s">
        <v>1621</v>
      </c>
    </row>
    <row r="10" spans="1:24" s="1" customFormat="1">
      <c r="D10" s="48" t="s">
        <v>43</v>
      </c>
      <c r="F10" s="2" t="s">
        <v>42</v>
      </c>
      <c r="J10" s="2" t="s">
        <v>42</v>
      </c>
      <c r="R10" s="593"/>
      <c r="S10" s="593"/>
      <c r="T10" s="593"/>
      <c r="U10" s="593"/>
      <c r="V10" s="593"/>
      <c r="W10" s="593"/>
      <c r="X10" s="593"/>
    </row>
    <row r="11" spans="1:24" s="1" customFormat="1">
      <c r="A11" s="2" t="s">
        <v>92</v>
      </c>
      <c r="D11" s="2" t="s">
        <v>426</v>
      </c>
      <c r="F11" s="2" t="s">
        <v>426</v>
      </c>
      <c r="H11" s="2" t="s">
        <v>393</v>
      </c>
      <c r="J11" s="2" t="s">
        <v>426</v>
      </c>
      <c r="R11" s="593"/>
      <c r="S11" s="593"/>
      <c r="T11" s="593"/>
      <c r="U11" s="593"/>
      <c r="V11" s="593"/>
      <c r="W11" s="593"/>
      <c r="X11" s="593"/>
    </row>
    <row r="12" spans="1:24">
      <c r="A12" s="9" t="s">
        <v>98</v>
      </c>
      <c r="B12" s="6"/>
      <c r="C12" s="5" t="s">
        <v>972</v>
      </c>
      <c r="D12" s="9" t="s">
        <v>424</v>
      </c>
      <c r="E12" s="6"/>
      <c r="F12" s="9" t="s">
        <v>424</v>
      </c>
      <c r="G12" s="6"/>
      <c r="H12" s="9" t="s">
        <v>1093</v>
      </c>
      <c r="I12" s="6"/>
      <c r="J12" s="9" t="s">
        <v>425</v>
      </c>
      <c r="K12" s="1"/>
      <c r="L12" s="593"/>
      <c r="M12" s="1"/>
      <c r="N12" s="1"/>
      <c r="O12" s="601"/>
      <c r="P12" s="602"/>
      <c r="R12" s="593"/>
      <c r="S12" s="593"/>
      <c r="T12" s="593"/>
      <c r="U12" s="593"/>
      <c r="V12" s="603"/>
      <c r="W12" s="603"/>
      <c r="X12" s="593"/>
    </row>
    <row r="13" spans="1:24">
      <c r="D13" s="166"/>
      <c r="F13" s="166"/>
      <c r="H13" s="166"/>
      <c r="J13" s="166"/>
      <c r="L13" s="593"/>
      <c r="O13" s="602"/>
      <c r="P13" s="602"/>
      <c r="R13" s="604"/>
      <c r="S13" s="593"/>
      <c r="T13" s="593"/>
      <c r="U13" s="593"/>
      <c r="V13" s="604"/>
      <c r="W13" s="604"/>
      <c r="X13" s="593"/>
    </row>
    <row r="14" spans="1:24">
      <c r="F14" s="172"/>
      <c r="L14" s="593"/>
      <c r="O14" s="540"/>
      <c r="P14" s="540"/>
      <c r="R14" s="593"/>
      <c r="S14" s="593"/>
      <c r="T14" s="593"/>
      <c r="U14" s="593"/>
      <c r="V14" s="593"/>
      <c r="W14" s="593"/>
      <c r="X14" s="593"/>
    </row>
    <row r="15" spans="1:24">
      <c r="A15" s="166">
        <v>1</v>
      </c>
      <c r="C15" s="159" t="s">
        <v>732</v>
      </c>
      <c r="D15" s="275">
        <f>+'C.2'!D14</f>
        <v>166354705.66691414</v>
      </c>
      <c r="E15" s="172"/>
      <c r="F15" s="275">
        <f>'C.2'!O14</f>
        <v>173466922.94966945</v>
      </c>
      <c r="G15" s="165"/>
      <c r="H15" s="1077">
        <f>A.1!G30</f>
        <v>21798399</v>
      </c>
      <c r="I15" s="165"/>
      <c r="J15" s="1077">
        <f>+F15+H15</f>
        <v>195265321.94966945</v>
      </c>
      <c r="K15" s="165"/>
      <c r="L15" s="616"/>
      <c r="M15" s="402"/>
      <c r="N15" s="165"/>
      <c r="O15" s="543"/>
      <c r="P15" s="541"/>
      <c r="Q15" s="165"/>
      <c r="R15" s="605"/>
      <c r="S15" s="605"/>
      <c r="T15" s="605"/>
      <c r="U15" s="593"/>
      <c r="V15" s="593"/>
      <c r="W15" s="593"/>
      <c r="X15" s="593"/>
    </row>
    <row r="16" spans="1:24">
      <c r="D16" s="172"/>
      <c r="E16" s="172"/>
      <c r="F16" s="195"/>
      <c r="G16" s="165"/>
      <c r="H16" s="165"/>
      <c r="I16" s="165"/>
      <c r="J16" s="165"/>
      <c r="K16" s="165"/>
      <c r="L16" s="611"/>
      <c r="M16" s="165"/>
      <c r="N16" s="165"/>
      <c r="O16" s="542"/>
      <c r="P16" s="541"/>
      <c r="Q16" s="165"/>
      <c r="R16" s="606"/>
      <c r="S16" s="606"/>
      <c r="T16" s="607"/>
      <c r="U16" s="593"/>
      <c r="V16" s="593"/>
      <c r="W16" s="593"/>
      <c r="X16" s="593"/>
    </row>
    <row r="17" spans="1:24">
      <c r="A17" s="166">
        <v>2</v>
      </c>
      <c r="C17" s="159" t="s">
        <v>977</v>
      </c>
      <c r="D17" s="172"/>
      <c r="E17" s="172"/>
      <c r="F17" s="195"/>
      <c r="G17" s="165"/>
      <c r="H17" s="165"/>
      <c r="I17" s="165"/>
      <c r="J17" s="165"/>
      <c r="K17" s="165"/>
      <c r="L17" s="611"/>
      <c r="M17" s="165"/>
      <c r="N17" s="165"/>
      <c r="O17" s="542"/>
      <c r="P17" s="541"/>
      <c r="Q17" s="165"/>
      <c r="R17" s="606"/>
      <c r="S17" s="606"/>
      <c r="T17" s="607"/>
      <c r="U17" s="593"/>
      <c r="V17" s="593"/>
      <c r="W17" s="593"/>
      <c r="X17" s="593"/>
    </row>
    <row r="18" spans="1:24">
      <c r="A18" s="166">
        <v>3</v>
      </c>
      <c r="C18" s="220" t="s">
        <v>24</v>
      </c>
      <c r="D18" s="307">
        <f>+'C.2'!D17</f>
        <v>70283865.695086718</v>
      </c>
      <c r="E18" s="430"/>
      <c r="F18" s="307">
        <f>'C.2'!O17</f>
        <v>77873656.336473569</v>
      </c>
      <c r="G18" s="276"/>
      <c r="H18" s="276"/>
      <c r="I18" s="276"/>
      <c r="J18" s="307">
        <f>+F18+H18</f>
        <v>77873656.336473569</v>
      </c>
      <c r="K18" s="165"/>
      <c r="L18" s="616"/>
      <c r="M18" s="165"/>
      <c r="O18" s="543"/>
      <c r="P18" s="541"/>
      <c r="Q18" s="165"/>
      <c r="R18" s="605"/>
      <c r="S18" s="608"/>
      <c r="T18" s="605"/>
      <c r="U18" s="593"/>
      <c r="V18" s="593"/>
      <c r="W18" s="593"/>
      <c r="X18" s="593"/>
    </row>
    <row r="19" spans="1:24">
      <c r="A19" s="166">
        <v>4</v>
      </c>
      <c r="C19" s="220" t="s">
        <v>453</v>
      </c>
      <c r="D19" s="307">
        <f>SUM('C.2'!D18:D25)</f>
        <v>31311659.436582312</v>
      </c>
      <c r="E19" s="430"/>
      <c r="F19" s="307">
        <f>SUM('C.2'!O18:O25)</f>
        <v>29047435.409500755</v>
      </c>
      <c r="G19" s="276"/>
      <c r="H19" s="307">
        <f>+(H15*H.1!E19)</f>
        <v>108991.995</v>
      </c>
      <c r="I19" s="276"/>
      <c r="J19" s="307">
        <f>+F19+H19</f>
        <v>29156427.404500756</v>
      </c>
      <c r="K19" s="165"/>
      <c r="L19" s="616"/>
      <c r="M19" s="541"/>
      <c r="N19" s="599"/>
      <c r="O19" s="543"/>
      <c r="P19" s="541"/>
      <c r="Q19" s="165"/>
      <c r="R19" s="605"/>
      <c r="S19" s="608"/>
      <c r="T19" s="605"/>
      <c r="U19" s="593"/>
      <c r="V19" s="593"/>
      <c r="W19" s="593"/>
      <c r="X19" s="593"/>
    </row>
    <row r="20" spans="1:24">
      <c r="A20" s="166">
        <v>5</v>
      </c>
      <c r="C20" s="159" t="s">
        <v>1035</v>
      </c>
      <c r="D20" s="307">
        <f>+'C.2'!D26</f>
        <v>19295728.648829721</v>
      </c>
      <c r="E20" s="430"/>
      <c r="F20" s="307">
        <f>+'C.2'!O26</f>
        <v>20604446.98537245</v>
      </c>
      <c r="G20" s="437"/>
      <c r="H20" s="276"/>
      <c r="I20" s="437"/>
      <c r="J20" s="1108">
        <f>+F20+H20</f>
        <v>20604446.98537245</v>
      </c>
      <c r="K20" s="165"/>
      <c r="L20" s="616"/>
      <c r="M20" s="165"/>
      <c r="N20" s="600"/>
      <c r="O20" s="543"/>
      <c r="P20" s="541"/>
      <c r="Q20" s="165"/>
      <c r="R20" s="605"/>
      <c r="S20" s="608"/>
      <c r="T20" s="605"/>
      <c r="U20" s="593"/>
      <c r="V20" s="593"/>
      <c r="W20" s="593"/>
      <c r="X20" s="593"/>
    </row>
    <row r="21" spans="1:24">
      <c r="A21" s="166">
        <v>6</v>
      </c>
      <c r="C21" s="159" t="s">
        <v>621</v>
      </c>
      <c r="D21" s="307">
        <f>+'C.2'!D27</f>
        <v>9749303.3507630825</v>
      </c>
      <c r="E21" s="430"/>
      <c r="F21" s="307">
        <f>+'C.2'!O27</f>
        <v>10232555.792246947</v>
      </c>
      <c r="G21" s="437"/>
      <c r="H21" s="307">
        <f>(H15*H.1!E21)</f>
        <v>43596.798000000003</v>
      </c>
      <c r="I21" s="437"/>
      <c r="J21" s="1108">
        <f>+F21+H21</f>
        <v>10276152.590246947</v>
      </c>
      <c r="K21" s="165"/>
      <c r="L21" s="616"/>
      <c r="M21" s="541"/>
      <c r="N21" s="599"/>
      <c r="O21" s="543"/>
      <c r="P21" s="541"/>
      <c r="Q21" s="165"/>
      <c r="R21" s="605"/>
      <c r="S21" s="608"/>
      <c r="T21" s="605"/>
      <c r="U21" s="593"/>
      <c r="V21" s="593"/>
      <c r="W21" s="593"/>
      <c r="X21" s="593"/>
    </row>
    <row r="22" spans="1:24">
      <c r="A22" s="166">
        <v>7</v>
      </c>
      <c r="C22" s="159"/>
      <c r="D22" s="346"/>
      <c r="E22" s="346"/>
      <c r="F22" s="437"/>
      <c r="G22" s="437"/>
      <c r="H22" s="276"/>
      <c r="I22" s="437"/>
      <c r="J22" s="437"/>
      <c r="K22" s="165"/>
      <c r="L22" s="611"/>
      <c r="M22" s="165"/>
      <c r="O22" s="543"/>
      <c r="P22" s="541"/>
      <c r="Q22" s="165"/>
      <c r="R22" s="609"/>
      <c r="S22" s="609"/>
      <c r="T22" s="610"/>
      <c r="U22" s="593"/>
      <c r="V22" s="593"/>
      <c r="W22" s="593"/>
      <c r="X22" s="593"/>
    </row>
    <row r="23" spans="1:24">
      <c r="A23" s="166">
        <v>8</v>
      </c>
      <c r="C23" s="159" t="s">
        <v>302</v>
      </c>
      <c r="D23" s="1065">
        <f>+E!E23</f>
        <v>6502637.9678139454</v>
      </c>
      <c r="E23" s="346"/>
      <c r="F23" s="1065">
        <f>E!G23</f>
        <v>6290436.7297105687</v>
      </c>
      <c r="G23" s="437"/>
      <c r="H23" s="1065">
        <f>((+H15-H19-H21)*0.05)+((+H15-H19-H21-((+H15-H19-H21)*0.05))*0.21)</f>
        <v>5400629.6466464996</v>
      </c>
      <c r="I23" s="437"/>
      <c r="J23" s="1109">
        <f>+F23+H23</f>
        <v>11691066.376357067</v>
      </c>
      <c r="K23" s="165"/>
      <c r="L23" s="994"/>
      <c r="M23" s="165"/>
      <c r="N23" s="165"/>
      <c r="O23" s="543"/>
      <c r="P23" s="541"/>
      <c r="Q23" s="165"/>
      <c r="R23" s="605"/>
      <c r="S23" s="608"/>
      <c r="T23" s="605"/>
      <c r="U23" s="593"/>
      <c r="V23" s="593"/>
      <c r="W23" s="593"/>
      <c r="X23" s="593"/>
    </row>
    <row r="24" spans="1:24">
      <c r="A24" s="166">
        <v>9</v>
      </c>
      <c r="C24" s="159" t="s">
        <v>1102</v>
      </c>
      <c r="D24" s="1077">
        <f>SUM(D18:D23)</f>
        <v>137143195.09907576</v>
      </c>
      <c r="F24" s="275">
        <f>SUM(F18:F23)</f>
        <v>144048531.2533043</v>
      </c>
      <c r="G24" s="165"/>
      <c r="H24" s="1077">
        <f>SUM(H18:H23)</f>
        <v>5553218.4396464992</v>
      </c>
      <c r="I24" s="165"/>
      <c r="J24" s="1077">
        <f>SUM(J18:J23)</f>
        <v>149601749.69295081</v>
      </c>
      <c r="K24" s="165"/>
      <c r="L24" s="616"/>
      <c r="M24" s="165"/>
      <c r="N24" s="165"/>
      <c r="O24" s="543"/>
      <c r="P24" s="541"/>
      <c r="Q24" s="165"/>
      <c r="R24" s="605"/>
      <c r="S24" s="608"/>
      <c r="T24" s="605"/>
      <c r="U24" s="593"/>
      <c r="V24" s="593"/>
      <c r="W24" s="593"/>
      <c r="X24" s="593"/>
    </row>
    <row r="25" spans="1:24">
      <c r="D25" s="165"/>
      <c r="F25" s="195"/>
      <c r="G25" s="165"/>
      <c r="H25" s="165"/>
      <c r="I25" s="165"/>
      <c r="J25" s="165"/>
      <c r="K25" s="165"/>
      <c r="L25" s="611"/>
      <c r="M25" s="165"/>
      <c r="N25" s="165"/>
      <c r="O25" s="542"/>
      <c r="P25" s="541"/>
      <c r="Q25" s="165"/>
      <c r="R25" s="605"/>
      <c r="S25" s="608"/>
      <c r="T25" s="605"/>
      <c r="U25" s="593"/>
      <c r="V25" s="593"/>
      <c r="W25" s="593"/>
      <c r="X25" s="593"/>
    </row>
    <row r="26" spans="1:24" ht="15.75" thickBot="1">
      <c r="A26" s="166">
        <v>10</v>
      </c>
      <c r="C26" s="159" t="s">
        <v>786</v>
      </c>
      <c r="D26" s="1110">
        <f>D15-D24</f>
        <v>29211510.567838371</v>
      </c>
      <c r="F26" s="1111">
        <f>F15-F24</f>
        <v>29418391.696365148</v>
      </c>
      <c r="G26" s="165"/>
      <c r="H26" s="1111">
        <f>H15-H24</f>
        <v>16245180.560353501</v>
      </c>
      <c r="I26" s="165"/>
      <c r="J26" s="1110">
        <f>J15-J24</f>
        <v>45663572.256718636</v>
      </c>
      <c r="K26" s="165"/>
      <c r="L26" s="616"/>
      <c r="M26" s="165"/>
      <c r="N26" s="165"/>
      <c r="O26" s="543"/>
      <c r="P26" s="541"/>
      <c r="Q26" s="165"/>
      <c r="R26" s="605"/>
      <c r="S26" s="608"/>
      <c r="T26" s="605"/>
      <c r="U26" s="593"/>
      <c r="V26" s="593"/>
      <c r="W26" s="593"/>
      <c r="X26" s="593"/>
    </row>
    <row r="27" spans="1:24" ht="15.75" thickTop="1">
      <c r="F27" s="195"/>
      <c r="G27" s="165"/>
      <c r="H27" s="165"/>
      <c r="I27" s="165"/>
      <c r="J27" s="165"/>
      <c r="K27" s="165"/>
      <c r="L27" s="611"/>
      <c r="M27" s="165"/>
      <c r="N27" s="165"/>
      <c r="O27" s="165"/>
      <c r="P27" s="165"/>
      <c r="Q27" s="165"/>
      <c r="R27" s="593"/>
      <c r="S27" s="609"/>
      <c r="T27" s="607"/>
      <c r="U27" s="593"/>
      <c r="V27" s="593"/>
      <c r="W27" s="593"/>
      <c r="X27" s="593"/>
    </row>
    <row r="28" spans="1:24">
      <c r="A28" s="166">
        <v>11</v>
      </c>
      <c r="C28" s="159" t="s">
        <v>269</v>
      </c>
      <c r="D28" s="307">
        <f>+'B.1 B'!F27</f>
        <v>547733497.68499041</v>
      </c>
      <c r="E28" s="346"/>
      <c r="F28" s="307">
        <f>+'B.1 F '!F27</f>
        <v>596130007.08261716</v>
      </c>
      <c r="G28" s="437"/>
      <c r="H28" s="437"/>
      <c r="I28" s="437"/>
      <c r="J28" s="1108">
        <f>+'B.1 F '!F27</f>
        <v>596130007.08261716</v>
      </c>
      <c r="K28" s="165"/>
      <c r="L28" s="611"/>
      <c r="M28" s="165"/>
      <c r="N28" s="165"/>
      <c r="O28" s="165"/>
      <c r="P28" s="165"/>
      <c r="Q28" s="165"/>
      <c r="R28" s="605"/>
      <c r="S28" s="609"/>
      <c r="T28" s="605"/>
      <c r="U28" s="593"/>
      <c r="V28" s="593"/>
      <c r="W28" s="593"/>
      <c r="X28" s="593"/>
    </row>
    <row r="29" spans="1:24"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593"/>
      <c r="S29" s="593"/>
      <c r="T29" s="611"/>
      <c r="U29" s="593"/>
      <c r="V29" s="593"/>
      <c r="W29" s="593"/>
      <c r="X29" s="593"/>
    </row>
    <row r="30" spans="1:24">
      <c r="A30" s="166">
        <v>12</v>
      </c>
      <c r="C30" s="159" t="s">
        <v>731</v>
      </c>
      <c r="D30" s="1112">
        <f>(D26/D28)</f>
        <v>5.3331612346700662E-2</v>
      </c>
      <c r="F30" s="1112">
        <f>(F26/F28)</f>
        <v>4.9348952991537763E-2</v>
      </c>
      <c r="H30" s="199"/>
      <c r="J30" s="1112">
        <f>(J26/J28)</f>
        <v>7.6600023005367959E-2</v>
      </c>
      <c r="K30" s="165"/>
      <c r="L30" s="165"/>
      <c r="M30" s="165"/>
      <c r="R30" s="612"/>
      <c r="S30" s="593"/>
      <c r="T30" s="612"/>
      <c r="U30" s="593"/>
      <c r="V30" s="612"/>
      <c r="W30" s="612"/>
      <c r="X30" s="612"/>
    </row>
    <row r="31" spans="1:24">
      <c r="F31" s="165"/>
      <c r="H31" s="199"/>
      <c r="J31" s="165"/>
      <c r="K31" s="165"/>
      <c r="L31" s="165"/>
      <c r="M31" s="165"/>
      <c r="R31" s="593"/>
      <c r="S31" s="593"/>
      <c r="T31" s="593"/>
      <c r="U31" s="593"/>
      <c r="V31" s="593"/>
      <c r="W31" s="593"/>
      <c r="X31" s="593"/>
    </row>
    <row r="32" spans="1:24">
      <c r="F32" s="165"/>
      <c r="H32" s="165"/>
      <c r="J32" s="165"/>
      <c r="K32" s="165"/>
      <c r="L32" s="165"/>
      <c r="M32" s="165"/>
      <c r="R32" s="593"/>
      <c r="S32" s="593"/>
      <c r="T32" s="593"/>
      <c r="U32" s="593"/>
      <c r="V32" s="593"/>
      <c r="W32" s="593"/>
      <c r="X32" s="593"/>
    </row>
    <row r="33" spans="3:24">
      <c r="C33" s="545"/>
      <c r="D33" s="546"/>
      <c r="E33" s="546"/>
      <c r="F33" s="546"/>
      <c r="G33" s="546"/>
      <c r="H33" s="546"/>
      <c r="I33" s="546"/>
      <c r="J33" s="546"/>
      <c r="K33" s="165"/>
      <c r="L33" s="165"/>
      <c r="M33" s="165"/>
      <c r="R33" s="593"/>
      <c r="S33" s="593"/>
      <c r="T33" s="593"/>
      <c r="U33" s="593"/>
      <c r="V33" s="593"/>
      <c r="W33" s="593"/>
      <c r="X33" s="593"/>
    </row>
    <row r="34" spans="3:24">
      <c r="F34" s="165"/>
      <c r="K34" s="165"/>
      <c r="L34" s="165"/>
      <c r="M34" s="165"/>
    </row>
    <row r="35" spans="3:24">
      <c r="F35" s="165"/>
      <c r="K35" s="165"/>
      <c r="L35" s="165"/>
      <c r="M35" s="165"/>
    </row>
  </sheetData>
  <mergeCells count="4">
    <mergeCell ref="A1:J1"/>
    <mergeCell ref="A2:J2"/>
    <mergeCell ref="A3:J3"/>
    <mergeCell ref="A4:J4"/>
  </mergeCells>
  <phoneticPr fontId="21" type="noConversion"/>
  <printOptions horizontalCentered="1"/>
  <pageMargins left="0.75" right="0.69" top="0.8" bottom="0.5" header="0.5" footer="0.5"/>
  <pageSetup orientation="landscape" verticalDpi="300" r:id="rId1"/>
  <headerFooter alignWithMargins="0">
    <oddFooter>&amp;RSchedule &amp;A
Page &amp;P of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9">
    <pageSetUpPr fitToPage="1"/>
  </sheetPr>
  <dimension ref="A1:W95"/>
  <sheetViews>
    <sheetView view="pageBreakPreview" zoomScale="80" zoomScaleNormal="100" zoomScaleSheetLayoutView="80" workbookViewId="0">
      <selection sqref="A1:O1"/>
    </sheetView>
  </sheetViews>
  <sheetFormatPr defaultColWidth="7.109375" defaultRowHeight="15"/>
  <cols>
    <col min="1" max="1" width="3.5546875" style="36" customWidth="1"/>
    <col min="2" max="2" width="2.21875" style="36" customWidth="1"/>
    <col min="3" max="3" width="27.5546875" style="36" customWidth="1"/>
    <col min="4" max="4" width="13.109375" style="36" bestFit="1" customWidth="1"/>
    <col min="5" max="5" width="1.33203125" style="36" customWidth="1"/>
    <col min="6" max="6" width="12.6640625" style="36" customWidth="1"/>
    <col min="7" max="7" width="6.21875" style="36" bestFit="1" customWidth="1"/>
    <col min="8" max="8" width="7.33203125" style="36" customWidth="1"/>
    <col min="9" max="9" width="6" style="36" customWidth="1"/>
    <col min="10" max="10" width="1.44140625" style="36" customWidth="1"/>
    <col min="11" max="11" width="12.88671875" style="36" customWidth="1"/>
    <col min="12" max="12" width="1.44140625" style="36" customWidth="1"/>
    <col min="13" max="13" width="11.5546875" style="36" customWidth="1"/>
    <col min="14" max="14" width="23.77734375" style="36" bestFit="1" customWidth="1"/>
    <col min="15" max="15" width="13.44140625" style="36" customWidth="1"/>
    <col min="16" max="16" width="11.77734375" style="36" bestFit="1" customWidth="1"/>
    <col min="17" max="17" width="2.109375" style="36" customWidth="1"/>
    <col min="18" max="18" width="8.5546875" style="36" customWidth="1"/>
    <col min="19" max="21" width="7.109375" style="36"/>
    <col min="22" max="22" width="8" style="36" bestFit="1" customWidth="1"/>
    <col min="23" max="23" width="9.21875" style="36" customWidth="1"/>
    <col min="24" max="16384" width="7.109375" style="36"/>
  </cols>
  <sheetData>
    <row r="1" spans="1:20" s="1" customFormat="1">
      <c r="A1" s="1255" t="str">
        <f>'Table of Contents'!A1:C1</f>
        <v>Atmos Energy Corporation, Kentucky/Mid-States Division</v>
      </c>
      <c r="B1" s="1255"/>
      <c r="C1" s="1255"/>
      <c r="D1" s="1255"/>
      <c r="E1" s="1255"/>
      <c r="F1" s="1255"/>
      <c r="G1" s="1255"/>
      <c r="H1" s="1255"/>
      <c r="I1" s="1255"/>
      <c r="J1" s="1255"/>
      <c r="K1" s="1255"/>
      <c r="L1" s="1255"/>
      <c r="M1" s="1255"/>
      <c r="N1" s="1255"/>
      <c r="O1" s="1255"/>
    </row>
    <row r="2" spans="1:20" s="1" customFormat="1">
      <c r="A2" s="1255" t="str">
        <f>'Table of Contents'!A2:C2</f>
        <v>Kentucky Jurisdiction Case No. 2021-00214</v>
      </c>
      <c r="B2" s="1255"/>
      <c r="C2" s="1255"/>
      <c r="D2" s="1255"/>
      <c r="E2" s="1255"/>
      <c r="F2" s="1255"/>
      <c r="G2" s="1255"/>
      <c r="H2" s="1255"/>
      <c r="I2" s="1255"/>
      <c r="J2" s="1255"/>
      <c r="K2" s="1255"/>
      <c r="L2" s="1255"/>
      <c r="M2" s="1255"/>
      <c r="N2" s="1255"/>
      <c r="O2" s="1255"/>
    </row>
    <row r="3" spans="1:20" s="1" customFormat="1">
      <c r="A3" s="1280" t="s">
        <v>395</v>
      </c>
      <c r="B3" s="1280"/>
      <c r="C3" s="1280"/>
      <c r="D3" s="1280"/>
      <c r="E3" s="1280"/>
      <c r="F3" s="1280"/>
      <c r="G3" s="1280"/>
      <c r="H3" s="1280"/>
      <c r="I3" s="1280"/>
      <c r="J3" s="1280"/>
      <c r="K3" s="1280"/>
      <c r="L3" s="1280"/>
      <c r="M3" s="1280"/>
      <c r="N3" s="1280"/>
      <c r="O3" s="1280"/>
    </row>
    <row r="4" spans="1:20" s="1" customFormat="1">
      <c r="A4" s="1255" t="str">
        <f>'Table of Contents'!A3:C3</f>
        <v>Base Period: Twelve Months Ended September 30, 2021</v>
      </c>
      <c r="B4" s="1255"/>
      <c r="C4" s="1255"/>
      <c r="D4" s="1255"/>
      <c r="E4" s="1255"/>
      <c r="F4" s="1255"/>
      <c r="G4" s="1255"/>
      <c r="H4" s="1255"/>
      <c r="I4" s="1255"/>
      <c r="J4" s="1255"/>
      <c r="K4" s="1255"/>
      <c r="L4" s="1255"/>
      <c r="M4" s="1255"/>
      <c r="N4" s="1255"/>
      <c r="O4" s="1255"/>
    </row>
    <row r="5" spans="1:20" s="1" customFormat="1">
      <c r="A5" s="1255" t="str">
        <f>'Table of Contents'!A4:C4</f>
        <v>Forecasted Test Period: Twelve Months Ended December 31, 2022</v>
      </c>
      <c r="B5" s="1255"/>
      <c r="C5" s="1255"/>
      <c r="D5" s="1255"/>
      <c r="E5" s="1255"/>
      <c r="F5" s="1255"/>
      <c r="G5" s="1255"/>
      <c r="H5" s="1255"/>
      <c r="I5" s="1255"/>
      <c r="J5" s="1255"/>
      <c r="K5" s="1255"/>
      <c r="L5" s="1255"/>
      <c r="M5" s="1255"/>
      <c r="N5" s="1255"/>
      <c r="O5" s="1255"/>
    </row>
    <row r="6" spans="1:20" s="1" customFormat="1">
      <c r="C6" s="221"/>
    </row>
    <row r="7" spans="1:20" s="1" customFormat="1">
      <c r="A7" s="82" t="str">
        <f>'C.1'!A7</f>
        <v>Data:__X____Base Period___X___Forecasted Period</v>
      </c>
      <c r="K7" s="222"/>
      <c r="O7" s="322" t="s">
        <v>1371</v>
      </c>
    </row>
    <row r="8" spans="1:20" s="1" customFormat="1">
      <c r="A8" s="82" t="str">
        <f>'C.1'!A8</f>
        <v>Type of Filing:___X____Original________Updated ________Revised</v>
      </c>
      <c r="K8" s="222"/>
      <c r="O8" s="415" t="s">
        <v>264</v>
      </c>
    </row>
    <row r="9" spans="1:20" s="1" customFormat="1">
      <c r="A9" s="1064" t="str">
        <f>'C.1'!A9</f>
        <v>Workpaper Reference No(s).____________________</v>
      </c>
      <c r="B9" s="6"/>
      <c r="C9" s="6"/>
      <c r="D9" s="6"/>
      <c r="E9" s="6"/>
      <c r="F9" s="6"/>
      <c r="G9" s="6"/>
      <c r="H9" s="6"/>
      <c r="I9" s="6"/>
      <c r="J9" s="6"/>
      <c r="K9" s="223"/>
      <c r="L9" s="6"/>
      <c r="M9" s="29"/>
      <c r="N9" s="29"/>
      <c r="O9" s="1113" t="str">
        <f>'C.1'!J9</f>
        <v>Witness: Christian, Densman</v>
      </c>
    </row>
    <row r="10" spans="1:20">
      <c r="A10" s="1"/>
      <c r="B10" s="1"/>
      <c r="C10" s="1"/>
      <c r="D10" s="2" t="s">
        <v>1109</v>
      </c>
      <c r="E10" s="1"/>
      <c r="F10" s="1"/>
      <c r="G10" s="224"/>
      <c r="H10" s="70" t="s">
        <v>1308</v>
      </c>
      <c r="K10" s="166" t="s">
        <v>42</v>
      </c>
      <c r="O10" s="70" t="s">
        <v>127</v>
      </c>
    </row>
    <row r="11" spans="1:20">
      <c r="A11" s="179" t="s">
        <v>92</v>
      </c>
      <c r="C11" s="166" t="s">
        <v>1112</v>
      </c>
      <c r="D11" s="179" t="s">
        <v>733</v>
      </c>
      <c r="F11" s="70" t="s">
        <v>446</v>
      </c>
      <c r="G11" s="70" t="s">
        <v>444</v>
      </c>
      <c r="H11" s="166" t="s">
        <v>1309</v>
      </c>
      <c r="I11" s="70" t="s">
        <v>444</v>
      </c>
      <c r="K11" s="179" t="s">
        <v>733</v>
      </c>
      <c r="M11" s="70" t="s">
        <v>126</v>
      </c>
      <c r="N11" s="70" t="s">
        <v>444</v>
      </c>
      <c r="O11" s="70" t="s">
        <v>128</v>
      </c>
    </row>
    <row r="12" spans="1:20">
      <c r="A12" s="225" t="s">
        <v>98</v>
      </c>
      <c r="B12" s="168"/>
      <c r="C12" s="225" t="s">
        <v>1111</v>
      </c>
      <c r="D12" s="200" t="s">
        <v>1110</v>
      </c>
      <c r="E12" s="168"/>
      <c r="F12" s="200" t="s">
        <v>974</v>
      </c>
      <c r="G12" s="226" t="s">
        <v>445</v>
      </c>
      <c r="H12" s="200" t="s">
        <v>1310</v>
      </c>
      <c r="I12" s="226" t="s">
        <v>445</v>
      </c>
      <c r="J12" s="168"/>
      <c r="K12" s="200" t="s">
        <v>1110</v>
      </c>
      <c r="L12" s="168"/>
      <c r="M12" s="363" t="s">
        <v>974</v>
      </c>
      <c r="N12" s="226" t="s">
        <v>445</v>
      </c>
      <c r="O12" s="194" t="s">
        <v>975</v>
      </c>
    </row>
    <row r="13" spans="1:20">
      <c r="C13" s="15"/>
      <c r="D13" s="166"/>
      <c r="F13" s="166"/>
      <c r="H13" s="166"/>
      <c r="K13" s="182"/>
      <c r="M13" s="618"/>
      <c r="O13" s="166"/>
    </row>
    <row r="14" spans="1:20">
      <c r="A14" s="227">
        <v>1</v>
      </c>
      <c r="C14" s="159" t="s">
        <v>732</v>
      </c>
      <c r="D14" s="422">
        <f>+'C.2.1 B'!D33</f>
        <v>166354705.66691414</v>
      </c>
      <c r="E14" s="172"/>
      <c r="F14" s="275">
        <f>+K14-D14</f>
        <v>7112217.2827553153</v>
      </c>
      <c r="G14" s="235" t="s">
        <v>1049</v>
      </c>
      <c r="H14" s="195"/>
      <c r="I14" s="172"/>
      <c r="J14" s="172"/>
      <c r="K14" s="422">
        <f>'C.2.1 F'!D28</f>
        <v>173466922.94966945</v>
      </c>
      <c r="L14" s="230"/>
      <c r="M14" s="939"/>
      <c r="N14" s="235"/>
      <c r="O14" s="275">
        <f>+K14+M14</f>
        <v>173466922.94966945</v>
      </c>
      <c r="P14" s="228"/>
    </row>
    <row r="15" spans="1:20">
      <c r="A15" s="206">
        <v>2</v>
      </c>
      <c r="C15" s="224"/>
      <c r="D15" s="230"/>
      <c r="E15" s="172"/>
      <c r="F15" s="230"/>
      <c r="G15" s="230"/>
      <c r="H15" s="230"/>
      <c r="I15" s="172"/>
      <c r="J15" s="172"/>
      <c r="K15" s="230"/>
      <c r="L15" s="230"/>
      <c r="M15" s="393"/>
      <c r="N15" s="230"/>
      <c r="O15" s="393"/>
      <c r="P15" s="228"/>
      <c r="T15" s="1007"/>
    </row>
    <row r="16" spans="1:20">
      <c r="A16" s="227">
        <v>3</v>
      </c>
      <c r="C16" s="159" t="s">
        <v>977</v>
      </c>
      <c r="D16" s="172"/>
      <c r="E16" s="172"/>
      <c r="F16" s="172"/>
      <c r="G16" s="172"/>
      <c r="H16" s="172"/>
      <c r="I16" s="172"/>
      <c r="J16" s="172"/>
      <c r="K16" s="172"/>
      <c r="L16" s="172"/>
      <c r="M16" s="393"/>
      <c r="N16" s="172"/>
      <c r="O16" s="393"/>
      <c r="P16" s="228"/>
      <c r="Q16" s="199"/>
      <c r="S16" s="199"/>
      <c r="T16" s="228"/>
    </row>
    <row r="17" spans="1:23">
      <c r="A17" s="206">
        <v>4</v>
      </c>
      <c r="C17" s="220" t="s">
        <v>24</v>
      </c>
      <c r="D17" s="1114">
        <f>+'C.2.1 B'!D105</f>
        <v>70283865.695086718</v>
      </c>
      <c r="E17" s="172"/>
      <c r="F17" s="307">
        <f t="shared" ref="F17:F28" si="0">+K17-D17-H17</f>
        <v>7589790.6413868517</v>
      </c>
      <c r="G17" s="235" t="s">
        <v>1049</v>
      </c>
      <c r="H17" s="195"/>
      <c r="I17" s="172"/>
      <c r="J17" s="172"/>
      <c r="K17" s="1114">
        <f>'C.2.1 F'!D100</f>
        <v>77873656.336473569</v>
      </c>
      <c r="L17" s="230"/>
      <c r="M17" s="276">
        <v>0</v>
      </c>
      <c r="N17" s="230"/>
      <c r="O17" s="307">
        <f t="shared" ref="O17:O22" si="1">+K17+M17</f>
        <v>77873656.336473569</v>
      </c>
      <c r="P17" s="228"/>
      <c r="Q17" s="199"/>
      <c r="S17" s="199"/>
      <c r="T17" s="228"/>
    </row>
    <row r="18" spans="1:23">
      <c r="A18" s="227">
        <v>5</v>
      </c>
      <c r="C18" s="220" t="s">
        <v>630</v>
      </c>
      <c r="D18" s="1115">
        <f>+'C.2.1 B'!D39+'C.2.1 B'!D43</f>
        <v>0</v>
      </c>
      <c r="E18" s="172"/>
      <c r="F18" s="307">
        <f t="shared" si="0"/>
        <v>0</v>
      </c>
      <c r="G18" s="235" t="s">
        <v>1049</v>
      </c>
      <c r="H18" s="195"/>
      <c r="I18" s="172"/>
      <c r="J18" s="172"/>
      <c r="K18" s="1114">
        <f>'C.2.1 F'!D34+'C.2.1 F'!D38</f>
        <v>0</v>
      </c>
      <c r="L18" s="195"/>
      <c r="M18" s="276">
        <v>0</v>
      </c>
      <c r="N18" s="195"/>
      <c r="O18" s="307">
        <f t="shared" si="1"/>
        <v>0</v>
      </c>
      <c r="P18" s="228"/>
    </row>
    <row r="19" spans="1:23">
      <c r="A19" s="206">
        <v>6</v>
      </c>
      <c r="C19" s="220" t="s">
        <v>631</v>
      </c>
      <c r="D19" s="1115">
        <f>+'C.2.1 B'!D55+'C.2.1 B'!D65</f>
        <v>742884.54297584889</v>
      </c>
      <c r="E19" s="172"/>
      <c r="F19" s="307">
        <f t="shared" si="0"/>
        <v>12773.005638504634</v>
      </c>
      <c r="G19" s="235" t="s">
        <v>1049</v>
      </c>
      <c r="H19" s="195"/>
      <c r="I19" s="172"/>
      <c r="J19" s="172"/>
      <c r="K19" s="1114">
        <f>'C.2.1 F'!D50+'C.2.1 F'!D60</f>
        <v>755657.54861435352</v>
      </c>
      <c r="L19" s="195"/>
      <c r="M19" s="276">
        <v>0</v>
      </c>
      <c r="N19" s="195"/>
      <c r="O19" s="307">
        <f t="shared" si="1"/>
        <v>755657.54861435352</v>
      </c>
      <c r="P19" s="228"/>
    </row>
    <row r="20" spans="1:23">
      <c r="A20" s="227">
        <v>7</v>
      </c>
      <c r="C20" s="220" t="s">
        <v>646</v>
      </c>
      <c r="D20" s="1115">
        <f>+'C.2.1 B'!D75+'C.2.1 B'!D83</f>
        <v>201245.43671156355</v>
      </c>
      <c r="E20" s="172"/>
      <c r="F20" s="307">
        <f t="shared" si="0"/>
        <v>5104.9120574531844</v>
      </c>
      <c r="G20" s="235" t="s">
        <v>1049</v>
      </c>
      <c r="H20" s="195"/>
      <c r="I20" s="172"/>
      <c r="J20" s="172"/>
      <c r="K20" s="1114">
        <f>'C.2.1 F'!D70+'C.2.1 F'!D78</f>
        <v>206350.34876901674</v>
      </c>
      <c r="L20" s="195"/>
      <c r="M20" s="276">
        <v>0</v>
      </c>
      <c r="N20" s="195"/>
      <c r="O20" s="307">
        <f t="shared" si="1"/>
        <v>206350.34876901674</v>
      </c>
      <c r="P20" s="228"/>
      <c r="R20" s="477"/>
      <c r="S20" s="477"/>
      <c r="T20" s="477"/>
      <c r="U20" s="477"/>
      <c r="V20" s="477"/>
      <c r="W20" s="477"/>
    </row>
    <row r="21" spans="1:23">
      <c r="A21" s="206">
        <v>8</v>
      </c>
      <c r="C21" s="232" t="s">
        <v>667</v>
      </c>
      <c r="D21" s="1115">
        <f>+'C.2.1 B'!D120+'C.2.1 B'!D133</f>
        <v>9060381.4914577212</v>
      </c>
      <c r="E21" s="172"/>
      <c r="F21" s="307">
        <f t="shared" si="0"/>
        <v>139317.89927778393</v>
      </c>
      <c r="G21" s="235" t="s">
        <v>1049</v>
      </c>
      <c r="H21" s="195"/>
      <c r="I21" s="389" t="s">
        <v>768</v>
      </c>
      <c r="J21" s="172"/>
      <c r="K21" s="1116">
        <f>'C.2.1 F'!D115+'C.2.1 F'!D128</f>
        <v>9199699.3907355051</v>
      </c>
      <c r="L21" s="195"/>
      <c r="M21" s="307">
        <f>-'F.2.2'!H20</f>
        <v>0</v>
      </c>
      <c r="N21" s="210"/>
      <c r="O21" s="307">
        <f t="shared" si="1"/>
        <v>9199699.3907355051</v>
      </c>
      <c r="P21" s="228"/>
      <c r="R21" s="477"/>
      <c r="S21" s="477"/>
      <c r="T21" s="477"/>
      <c r="U21" s="477"/>
      <c r="V21" s="477"/>
      <c r="W21" s="477"/>
    </row>
    <row r="22" spans="1:23">
      <c r="A22" s="227">
        <v>9</v>
      </c>
      <c r="C22" s="232" t="s">
        <v>69</v>
      </c>
      <c r="D22" s="1115">
        <f>+'C.2.1 B'!D140</f>
        <v>2888691.1579940091</v>
      </c>
      <c r="E22" s="172"/>
      <c r="F22" s="307">
        <f t="shared" si="0"/>
        <v>-489178.38204885693</v>
      </c>
      <c r="G22" s="235" t="s">
        <v>1049</v>
      </c>
      <c r="H22" s="195"/>
      <c r="I22" s="389" t="s">
        <v>768</v>
      </c>
      <c r="J22" s="172"/>
      <c r="K22" s="1114">
        <f>'C.2.1 F'!D135</f>
        <v>2399512.7759451522</v>
      </c>
      <c r="L22" s="195"/>
      <c r="M22" s="276">
        <v>0</v>
      </c>
      <c r="N22" s="195"/>
      <c r="O22" s="307">
        <f t="shared" si="1"/>
        <v>2399512.7759451522</v>
      </c>
      <c r="P22" s="228"/>
      <c r="R22" s="477"/>
      <c r="S22" s="477"/>
      <c r="T22" s="550"/>
      <c r="U22" s="477"/>
      <c r="V22" s="477"/>
      <c r="W22" s="477"/>
    </row>
    <row r="23" spans="1:23">
      <c r="A23" s="206">
        <v>10</v>
      </c>
      <c r="C23" s="220" t="s">
        <v>70</v>
      </c>
      <c r="D23" s="1114">
        <f>+'C.2.1 B'!D147</f>
        <v>170525.99226331359</v>
      </c>
      <c r="E23" s="172"/>
      <c r="F23" s="307">
        <f t="shared" si="0"/>
        <v>4605.3183138320164</v>
      </c>
      <c r="G23" s="235" t="s">
        <v>1049</v>
      </c>
      <c r="H23" s="195"/>
      <c r="I23" s="389" t="s">
        <v>768</v>
      </c>
      <c r="J23" s="172"/>
      <c r="K23" s="1114">
        <f>'C.2.1 F'!D142</f>
        <v>175131.3105771456</v>
      </c>
      <c r="L23" s="230"/>
      <c r="M23" s="276">
        <v>0</v>
      </c>
      <c r="N23" s="210"/>
      <c r="O23" s="307">
        <f>+K23+M23</f>
        <v>175131.3105771456</v>
      </c>
      <c r="P23" s="228"/>
      <c r="R23" s="477"/>
      <c r="S23" s="477"/>
      <c r="T23" s="551"/>
      <c r="U23" s="477"/>
      <c r="V23" s="477"/>
      <c r="W23" s="477"/>
    </row>
    <row r="24" spans="1:23">
      <c r="A24" s="227">
        <v>11</v>
      </c>
      <c r="C24" s="232" t="s">
        <v>490</v>
      </c>
      <c r="D24" s="1114">
        <f>+'C.2.1 B'!D154</f>
        <v>323515.5802244044</v>
      </c>
      <c r="E24" s="172"/>
      <c r="F24" s="307">
        <f t="shared" si="0"/>
        <v>4158.0839464988676</v>
      </c>
      <c r="G24" s="235" t="s">
        <v>1049</v>
      </c>
      <c r="H24" s="195"/>
      <c r="I24" s="389" t="s">
        <v>768</v>
      </c>
      <c r="J24" s="172"/>
      <c r="K24" s="1114">
        <f>'C.2.1 F'!D149</f>
        <v>327673.66417090327</v>
      </c>
      <c r="L24" s="230"/>
      <c r="M24" s="307">
        <f>-F.4!K29</f>
        <v>-172549.05559251021</v>
      </c>
      <c r="N24" s="210" t="s">
        <v>548</v>
      </c>
      <c r="O24" s="307">
        <f>+K24+M24</f>
        <v>155124.60857839306</v>
      </c>
      <c r="P24" s="228"/>
      <c r="R24" s="477"/>
      <c r="S24" s="477"/>
      <c r="T24" s="551"/>
      <c r="U24" s="477"/>
      <c r="V24" s="477"/>
      <c r="W24" s="477"/>
    </row>
    <row r="25" spans="1:23">
      <c r="A25" s="206">
        <v>12</v>
      </c>
      <c r="C25" s="232" t="s">
        <v>491</v>
      </c>
      <c r="D25" s="1114">
        <f>+'C.2.1 B'!D168+'C.2.1 B'!D172</f>
        <v>17924415.234955449</v>
      </c>
      <c r="E25" s="172"/>
      <c r="F25" s="307">
        <f t="shared" si="0"/>
        <v>182206.12395458668</v>
      </c>
      <c r="G25" s="235" t="s">
        <v>1049</v>
      </c>
      <c r="H25" s="195"/>
      <c r="I25" s="389" t="s">
        <v>768</v>
      </c>
      <c r="J25" s="172"/>
      <c r="K25" s="1114">
        <f>'C.2.1 F'!D163+'C.2.1 F'!D167</f>
        <v>18106621.358910035</v>
      </c>
      <c r="L25" s="230"/>
      <c r="M25" s="307">
        <f>F.6!D152-F.8!I24-F.10!F41-F.11!F19+F.1!H93-F.9!F19</f>
        <v>-1950661.9326288453</v>
      </c>
      <c r="N25" s="210" t="s">
        <v>1662</v>
      </c>
      <c r="O25" s="307">
        <f>+K25+M25</f>
        <v>16155959.42628119</v>
      </c>
      <c r="P25" s="228"/>
      <c r="Q25" s="199"/>
      <c r="R25" s="477"/>
      <c r="S25" s="477"/>
      <c r="T25" s="551"/>
      <c r="U25" s="477"/>
      <c r="V25" s="477"/>
      <c r="W25" s="477"/>
    </row>
    <row r="26" spans="1:23">
      <c r="A26" s="227">
        <v>13</v>
      </c>
      <c r="C26" s="234" t="s">
        <v>90</v>
      </c>
      <c r="D26" s="1114">
        <f>+'C.2.1 B'!D176</f>
        <v>19295728.648829721</v>
      </c>
      <c r="E26" s="172"/>
      <c r="F26" s="307">
        <f t="shared" si="0"/>
        <v>1308718.3365427293</v>
      </c>
      <c r="G26" s="235" t="s">
        <v>1049</v>
      </c>
      <c r="H26" s="195"/>
      <c r="I26" s="172"/>
      <c r="J26" s="172"/>
      <c r="K26" s="1114">
        <f>'C.2.1 F'!D171</f>
        <v>20604446.98537245</v>
      </c>
      <c r="L26" s="230"/>
      <c r="M26" s="307">
        <f>O26-K26</f>
        <v>0</v>
      </c>
      <c r="N26" s="230"/>
      <c r="O26" s="1114">
        <f>'C.2.1 F'!D171</f>
        <v>20604446.98537245</v>
      </c>
      <c r="P26" s="228"/>
      <c r="Q26" s="199"/>
      <c r="R26" s="477"/>
      <c r="S26" s="552"/>
      <c r="T26" s="551"/>
      <c r="U26" s="477"/>
      <c r="V26" s="477"/>
      <c r="W26" s="477"/>
    </row>
    <row r="27" spans="1:23">
      <c r="A27" s="206">
        <v>14</v>
      </c>
      <c r="C27" s="232" t="s">
        <v>587</v>
      </c>
      <c r="D27" s="1114">
        <f>+'C.2.1 B'!D178</f>
        <v>9749303.3507630825</v>
      </c>
      <c r="F27" s="1108">
        <f t="shared" si="0"/>
        <v>577083.62717701495</v>
      </c>
      <c r="G27" s="229" t="s">
        <v>1049</v>
      </c>
      <c r="H27" s="165"/>
      <c r="K27" s="1114">
        <f>'C.2.1 F'!D172</f>
        <v>10326386.977940097</v>
      </c>
      <c r="L27" s="195"/>
      <c r="M27" s="307">
        <f>-F.10!F43</f>
        <v>-93831.185693149659</v>
      </c>
      <c r="N27" s="210" t="s">
        <v>1323</v>
      </c>
      <c r="O27" s="1108">
        <f>+K27+M27</f>
        <v>10232555.792246947</v>
      </c>
      <c r="P27" s="228"/>
      <c r="Q27" s="199"/>
      <c r="S27" s="199"/>
      <c r="T27" s="165"/>
    </row>
    <row r="28" spans="1:23">
      <c r="A28" s="227">
        <v>15</v>
      </c>
      <c r="C28" s="234" t="s">
        <v>562</v>
      </c>
      <c r="D28" s="1114">
        <f>+'C.2.1 B'!D179</f>
        <v>6502637.9678139454</v>
      </c>
      <c r="F28" s="1108">
        <f t="shared" si="0"/>
        <v>-212201.23810337763</v>
      </c>
      <c r="H28" s="165"/>
      <c r="K28" s="1114">
        <f>'C.2.1 F'!D173</f>
        <v>6290436.7297105677</v>
      </c>
      <c r="L28" s="230"/>
      <c r="M28" s="1114">
        <f>+O28-K28</f>
        <v>0</v>
      </c>
      <c r="N28" s="235"/>
      <c r="O28" s="1114">
        <f>+E!G23</f>
        <v>6290436.7297105687</v>
      </c>
      <c r="P28" s="228"/>
      <c r="Q28" s="199"/>
      <c r="S28" s="199"/>
      <c r="T28" s="228"/>
    </row>
    <row r="29" spans="1:23">
      <c r="A29" s="206">
        <v>16</v>
      </c>
      <c r="C29" s="178"/>
      <c r="D29" s="170"/>
      <c r="F29" s="236"/>
      <c r="H29" s="237"/>
      <c r="K29" s="170"/>
      <c r="L29" s="165"/>
      <c r="M29" s="167"/>
      <c r="N29" s="165"/>
      <c r="O29" s="167"/>
      <c r="P29" s="228"/>
    </row>
    <row r="30" spans="1:23">
      <c r="A30" s="227">
        <v>17</v>
      </c>
      <c r="C30" s="192"/>
      <c r="D30" s="165"/>
      <c r="F30" s="165"/>
      <c r="H30" s="165"/>
      <c r="K30" s="165"/>
      <c r="L30" s="165"/>
      <c r="M30" s="231"/>
      <c r="N30" s="165"/>
      <c r="O30" s="231"/>
      <c r="P30" s="228"/>
      <c r="T30" s="233"/>
    </row>
    <row r="31" spans="1:23">
      <c r="A31" s="206">
        <v>18</v>
      </c>
      <c r="C31" s="159" t="s">
        <v>1102</v>
      </c>
      <c r="D31" s="1077">
        <f>SUM(D17:D29)</f>
        <v>137143195.09907576</v>
      </c>
      <c r="F31" s="1077">
        <f>SUM(F17:F29)</f>
        <v>9122378.3281430192</v>
      </c>
      <c r="H31" s="1077">
        <f>SUM(H21:H29)</f>
        <v>0</v>
      </c>
      <c r="K31" s="1077">
        <f>SUM(K17:K29)</f>
        <v>146265573.42721882</v>
      </c>
      <c r="L31" s="165"/>
      <c r="M31" s="1077">
        <f>SUM(M17:M29)</f>
        <v>-2217042.1739145052</v>
      </c>
      <c r="N31" s="165"/>
      <c r="O31" s="1077">
        <f>SUM(O17:O29)</f>
        <v>144048531.2533043</v>
      </c>
      <c r="P31" s="228"/>
    </row>
    <row r="32" spans="1:23">
      <c r="A32" s="227">
        <v>19</v>
      </c>
      <c r="D32" s="228"/>
      <c r="F32" s="228"/>
      <c r="H32" s="228"/>
      <c r="K32" s="228"/>
      <c r="L32" s="228"/>
      <c r="M32" s="228"/>
      <c r="N32" s="228"/>
      <c r="O32" s="228"/>
      <c r="P32" s="228"/>
    </row>
    <row r="33" spans="1:21" ht="15.75" thickBot="1">
      <c r="A33" s="206">
        <v>20</v>
      </c>
      <c r="C33" s="159" t="s">
        <v>1172</v>
      </c>
      <c r="D33" s="1110">
        <f>D14-D31</f>
        <v>29211510.567838371</v>
      </c>
      <c r="F33" s="1110">
        <f>F14-F31</f>
        <v>-2010161.0453877039</v>
      </c>
      <c r="H33" s="1110">
        <f>H14-H31</f>
        <v>0</v>
      </c>
      <c r="K33" s="1110">
        <f>K14-K31</f>
        <v>27201349.522450626</v>
      </c>
      <c r="L33" s="165"/>
      <c r="M33" s="1110">
        <f>M14-M31</f>
        <v>2217042.1739145052</v>
      </c>
      <c r="N33" s="165"/>
      <c r="O33" s="1110">
        <f>O14-O31</f>
        <v>29418391.696365148</v>
      </c>
      <c r="P33" s="228"/>
      <c r="Q33" s="199"/>
      <c r="S33" s="199"/>
      <c r="T33" s="165"/>
      <c r="U33" s="165"/>
    </row>
    <row r="34" spans="1:21" ht="15.75" thickTop="1">
      <c r="A34" s="206"/>
      <c r="D34" s="165"/>
      <c r="F34" s="165"/>
      <c r="G34" s="165"/>
      <c r="H34" s="165"/>
      <c r="K34" s="201"/>
      <c r="L34" s="165"/>
      <c r="M34" s="201"/>
      <c r="N34" s="165"/>
      <c r="O34" s="165"/>
      <c r="P34" s="165"/>
      <c r="Q34" s="199"/>
      <c r="S34" s="199"/>
      <c r="T34" s="165"/>
      <c r="U34" s="165"/>
    </row>
    <row r="35" spans="1:21">
      <c r="A35" s="227"/>
      <c r="D35" s="238"/>
      <c r="F35" s="165"/>
      <c r="G35" s="165"/>
      <c r="H35" s="165"/>
      <c r="K35" s="238"/>
      <c r="L35" s="165"/>
      <c r="M35" s="199"/>
      <c r="N35" s="165"/>
      <c r="O35" s="238"/>
      <c r="P35" s="165"/>
    </row>
    <row r="36" spans="1:21">
      <c r="A36" s="227"/>
      <c r="C36" s="620"/>
      <c r="D36" s="541"/>
      <c r="E36" s="540"/>
      <c r="F36" s="541"/>
      <c r="G36" s="541"/>
      <c r="H36" s="541"/>
      <c r="I36" s="540"/>
      <c r="J36" s="540"/>
      <c r="K36" s="541"/>
      <c r="L36" s="165"/>
      <c r="M36" s="276"/>
      <c r="N36" s="165"/>
      <c r="O36" s="238"/>
      <c r="P36" s="165"/>
    </row>
    <row r="37" spans="1:21">
      <c r="A37" s="227"/>
      <c r="C37" s="540"/>
      <c r="D37" s="621"/>
      <c r="E37" s="540"/>
      <c r="F37" s="541"/>
      <c r="G37" s="541"/>
      <c r="H37" s="541"/>
      <c r="I37" s="540"/>
      <c r="J37" s="540"/>
      <c r="K37" s="621"/>
      <c r="L37" s="165"/>
      <c r="M37" s="199"/>
      <c r="N37" s="165"/>
      <c r="O37" s="238"/>
      <c r="P37" s="165"/>
    </row>
    <row r="38" spans="1:21" s="240" customFormat="1">
      <c r="A38" s="206"/>
      <c r="B38" s="239"/>
      <c r="C38" s="620"/>
      <c r="D38" s="541"/>
      <c r="E38" s="540"/>
      <c r="F38" s="541"/>
      <c r="G38" s="541"/>
      <c r="H38" s="541"/>
      <c r="I38" s="540"/>
      <c r="J38" s="540"/>
      <c r="K38" s="541"/>
      <c r="L38" s="241"/>
      <c r="N38" s="241"/>
      <c r="P38" s="241"/>
    </row>
    <row r="39" spans="1:21" s="240" customFormat="1">
      <c r="A39" s="242"/>
      <c r="B39" s="243"/>
      <c r="C39" s="620"/>
      <c r="D39" s="541"/>
      <c r="E39" s="540"/>
      <c r="F39" s="541"/>
      <c r="G39" s="541"/>
      <c r="H39" s="541"/>
      <c r="I39" s="540"/>
      <c r="J39" s="540"/>
      <c r="K39" s="541"/>
      <c r="L39" s="241"/>
      <c r="M39" s="244"/>
      <c r="N39" s="241"/>
      <c r="O39" s="244"/>
      <c r="P39" s="241"/>
      <c r="T39" s="245"/>
    </row>
    <row r="40" spans="1:21" s="240" customFormat="1">
      <c r="D40" s="241"/>
      <c r="F40" s="241"/>
      <c r="G40" s="241"/>
      <c r="K40" s="241"/>
      <c r="L40" s="241"/>
      <c r="M40" s="541"/>
      <c r="N40" s="540"/>
    </row>
    <row r="41" spans="1:21">
      <c r="A41" s="240"/>
      <c r="B41" s="240"/>
      <c r="C41" s="240"/>
      <c r="D41" s="165"/>
      <c r="F41" s="165"/>
      <c r="G41" s="165"/>
      <c r="H41" s="199"/>
      <c r="K41" s="165"/>
      <c r="L41" s="165"/>
      <c r="M41" s="541"/>
      <c r="N41" s="541"/>
      <c r="O41" s="199"/>
      <c r="P41" s="165"/>
    </row>
    <row r="42" spans="1:21">
      <c r="A42" s="192"/>
      <c r="D42" s="165"/>
      <c r="F42" s="165"/>
      <c r="G42" s="165"/>
      <c r="K42" s="165"/>
      <c r="L42" s="165"/>
      <c r="M42" s="541"/>
      <c r="N42" s="541"/>
      <c r="P42" s="165"/>
      <c r="Q42" s="199"/>
      <c r="S42" s="199"/>
      <c r="T42" s="165"/>
      <c r="U42" s="165"/>
    </row>
    <row r="43" spans="1:21">
      <c r="A43" s="192"/>
      <c r="D43" s="165"/>
      <c r="F43" s="165"/>
      <c r="G43" s="165"/>
      <c r="H43" s="199"/>
      <c r="K43" s="165"/>
      <c r="L43" s="165"/>
      <c r="M43" s="169"/>
      <c r="N43" s="541"/>
      <c r="O43" s="199"/>
      <c r="P43" s="165"/>
      <c r="Q43" s="199"/>
      <c r="S43" s="199"/>
      <c r="T43" s="165"/>
      <c r="U43" s="165"/>
    </row>
    <row r="44" spans="1:21">
      <c r="A44" s="192"/>
      <c r="C44" s="192"/>
      <c r="D44" s="165"/>
      <c r="F44" s="165"/>
      <c r="G44" s="165"/>
      <c r="M44" s="678"/>
      <c r="N44" s="540"/>
    </row>
    <row r="45" spans="1:21">
      <c r="A45" s="192"/>
      <c r="C45" s="192"/>
      <c r="D45" s="165"/>
      <c r="F45" s="165"/>
      <c r="G45" s="165"/>
    </row>
    <row r="46" spans="1:21">
      <c r="D46" s="165"/>
      <c r="F46" s="165"/>
      <c r="G46" s="165"/>
      <c r="K46" s="233"/>
      <c r="L46" s="233"/>
      <c r="N46" s="233"/>
      <c r="P46" s="233"/>
      <c r="T46" s="233"/>
    </row>
    <row r="47" spans="1:21">
      <c r="A47" s="192"/>
      <c r="D47" s="165"/>
      <c r="F47" s="165"/>
      <c r="G47" s="165"/>
    </row>
    <row r="48" spans="1:21">
      <c r="C48" s="224"/>
      <c r="E48" s="165"/>
      <c r="G48" s="165"/>
    </row>
    <row r="49" spans="1:23">
      <c r="A49" s="192"/>
      <c r="C49" s="192"/>
      <c r="E49" s="165"/>
      <c r="F49" s="199"/>
      <c r="G49" s="165"/>
      <c r="H49" s="199"/>
      <c r="K49" s="199"/>
      <c r="L49" s="228"/>
      <c r="M49" s="199"/>
      <c r="N49" s="228"/>
      <c r="O49" s="199"/>
      <c r="P49" s="228"/>
      <c r="Q49" s="199"/>
      <c r="S49" s="199"/>
      <c r="T49" s="165"/>
      <c r="V49" s="192"/>
    </row>
    <row r="50" spans="1:23">
      <c r="C50" s="192"/>
      <c r="D50" s="199"/>
      <c r="E50" s="165"/>
      <c r="F50" s="199"/>
      <c r="G50" s="165"/>
      <c r="H50" s="199"/>
      <c r="K50" s="199"/>
      <c r="L50" s="228"/>
      <c r="M50" s="199"/>
      <c r="N50" s="228"/>
      <c r="O50" s="199"/>
      <c r="P50" s="228"/>
      <c r="Q50" s="199"/>
      <c r="S50" s="199"/>
      <c r="T50" s="165"/>
    </row>
    <row r="51" spans="1:23">
      <c r="D51" s="199"/>
      <c r="V51" s="192"/>
    </row>
    <row r="52" spans="1:23">
      <c r="V52" s="228"/>
      <c r="W52" s="165"/>
    </row>
    <row r="53" spans="1:23">
      <c r="V53" s="228"/>
      <c r="W53" s="165"/>
    </row>
    <row r="56" spans="1:23">
      <c r="V56" s="233"/>
    </row>
    <row r="58" spans="1:23">
      <c r="S58" s="165"/>
      <c r="T58" s="165"/>
    </row>
    <row r="59" spans="1:23">
      <c r="E59" s="228"/>
      <c r="R59" s="228"/>
      <c r="S59" s="165"/>
      <c r="T59" s="165"/>
    </row>
    <row r="62" spans="1:23">
      <c r="R62" s="233"/>
    </row>
    <row r="63" spans="1:23">
      <c r="R63" s="228"/>
    </row>
    <row r="64" spans="1:23">
      <c r="R64" s="228"/>
    </row>
    <row r="65" spans="1:18">
      <c r="R65" s="228"/>
    </row>
    <row r="67" spans="1:18">
      <c r="A67" s="192"/>
    </row>
    <row r="68" spans="1:18">
      <c r="A68" s="192"/>
      <c r="C68" s="192"/>
      <c r="G68" s="233"/>
      <c r="I68" s="233"/>
      <c r="J68" s="233"/>
      <c r="L68" s="233"/>
      <c r="N68" s="233"/>
      <c r="P68" s="233"/>
      <c r="R68" s="233"/>
    </row>
    <row r="69" spans="1:18">
      <c r="G69" s="228"/>
      <c r="R69" s="228"/>
    </row>
    <row r="70" spans="1:18">
      <c r="A70" s="192"/>
    </row>
    <row r="71" spans="1:18">
      <c r="A71" s="192"/>
    </row>
    <row r="72" spans="1:18">
      <c r="A72" s="192"/>
    </row>
    <row r="73" spans="1:18">
      <c r="A73" s="192"/>
    </row>
    <row r="75" spans="1:18">
      <c r="A75" s="192"/>
    </row>
    <row r="76" spans="1:18">
      <c r="A76" s="192"/>
    </row>
    <row r="79" spans="1:18">
      <c r="A79" s="192"/>
    </row>
    <row r="80" spans="1:18">
      <c r="C80" s="192"/>
    </row>
    <row r="86" spans="7:18">
      <c r="G86" s="228"/>
      <c r="I86" s="228"/>
      <c r="J86" s="228"/>
      <c r="L86" s="228"/>
      <c r="N86" s="228"/>
      <c r="P86" s="228"/>
      <c r="R86" s="228"/>
    </row>
    <row r="87" spans="7:18">
      <c r="G87" s="228"/>
      <c r="I87" s="228"/>
      <c r="J87" s="228"/>
      <c r="L87" s="228"/>
      <c r="N87" s="228"/>
      <c r="P87" s="228"/>
      <c r="R87" s="228"/>
    </row>
    <row r="88" spans="7:18">
      <c r="G88" s="228"/>
      <c r="I88" s="228"/>
      <c r="J88" s="228"/>
      <c r="L88" s="228"/>
      <c r="N88" s="228"/>
      <c r="P88" s="228"/>
      <c r="R88" s="228"/>
    </row>
    <row r="89" spans="7:18">
      <c r="G89" s="228"/>
      <c r="I89" s="228"/>
      <c r="J89" s="228"/>
      <c r="L89" s="228"/>
      <c r="N89" s="228"/>
      <c r="P89" s="228"/>
      <c r="R89" s="228"/>
    </row>
    <row r="90" spans="7:18">
      <c r="G90" s="228"/>
      <c r="I90" s="228"/>
      <c r="J90" s="228"/>
      <c r="L90" s="228"/>
      <c r="N90" s="228"/>
      <c r="P90" s="228"/>
      <c r="R90" s="228"/>
    </row>
    <row r="91" spans="7:18">
      <c r="G91" s="228"/>
      <c r="I91" s="228"/>
      <c r="J91" s="228"/>
      <c r="L91" s="228"/>
      <c r="N91" s="228"/>
      <c r="P91" s="228"/>
      <c r="R91" s="228"/>
    </row>
    <row r="92" spans="7:18">
      <c r="G92" s="228"/>
      <c r="I92" s="228"/>
      <c r="J92" s="228"/>
      <c r="L92" s="228"/>
      <c r="N92" s="228"/>
      <c r="P92" s="228"/>
      <c r="R92" s="228"/>
    </row>
    <row r="93" spans="7:18">
      <c r="G93" s="228"/>
      <c r="I93" s="228"/>
      <c r="J93" s="228"/>
      <c r="L93" s="228"/>
      <c r="N93" s="228"/>
      <c r="P93" s="228"/>
      <c r="R93" s="228"/>
    </row>
    <row r="94" spans="7:18">
      <c r="G94" s="228"/>
      <c r="I94" s="228"/>
      <c r="J94" s="228"/>
      <c r="L94" s="228"/>
      <c r="N94" s="228"/>
      <c r="P94" s="228"/>
      <c r="R94" s="228"/>
    </row>
    <row r="95" spans="7:18">
      <c r="G95" s="228"/>
      <c r="I95" s="228"/>
      <c r="J95" s="228"/>
      <c r="L95" s="228"/>
      <c r="N95" s="228"/>
      <c r="P95" s="228"/>
      <c r="R95" s="228"/>
    </row>
  </sheetData>
  <mergeCells count="5">
    <mergeCell ref="A5:O5"/>
    <mergeCell ref="A1:O1"/>
    <mergeCell ref="A2:O2"/>
    <mergeCell ref="A3:O3"/>
    <mergeCell ref="A4:O4"/>
  </mergeCells>
  <phoneticPr fontId="21" type="noConversion"/>
  <printOptions horizontalCentered="1"/>
  <pageMargins left="0.38" right="0.5" top="0.75" bottom="0.5" header="0.5" footer="0.5"/>
  <pageSetup scale="74" orientation="landscape" verticalDpi="300" r:id="rId1"/>
  <headerFooter alignWithMargins="0">
    <oddFooter>&amp;RSchedule &amp;A
Page &amp;P of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1"/>
  <dimension ref="A1:H197"/>
  <sheetViews>
    <sheetView view="pageBreakPreview" topLeftCell="A112" zoomScale="80" zoomScaleNormal="100" zoomScaleSheetLayoutView="80" workbookViewId="0">
      <selection sqref="A1:D1"/>
    </sheetView>
  </sheetViews>
  <sheetFormatPr defaultColWidth="8.44140625" defaultRowHeight="15.75" customHeight="1"/>
  <cols>
    <col min="1" max="1" width="4.77734375" style="56" customWidth="1"/>
    <col min="2" max="2" width="11.88671875" style="56" customWidth="1"/>
    <col min="3" max="3" width="49.109375" style="56" customWidth="1"/>
    <col min="4" max="4" width="15.5546875" style="56" customWidth="1"/>
    <col min="5" max="5" width="7.21875" style="56" customWidth="1"/>
    <col min="6" max="6" width="11.44140625" style="56" bestFit="1" customWidth="1"/>
    <col min="7" max="7" width="10" style="56" bestFit="1" customWidth="1"/>
    <col min="8" max="8" width="10.21875" style="56" customWidth="1"/>
    <col min="9" max="16384" width="8.44140625" style="56"/>
  </cols>
  <sheetData>
    <row r="1" spans="1:7" ht="15.75" customHeight="1">
      <c r="A1" s="1281" t="str">
        <f>'Table of Contents'!A1:C1</f>
        <v>Atmos Energy Corporation, Kentucky/Mid-States Division</v>
      </c>
      <c r="B1" s="1281"/>
      <c r="C1" s="1281"/>
      <c r="D1" s="1281"/>
    </row>
    <row r="2" spans="1:7" ht="15.75" customHeight="1">
      <c r="A2" s="1281" t="str">
        <f>'Table of Contents'!A2:C2</f>
        <v>Kentucky Jurisdiction Case No. 2021-00214</v>
      </c>
      <c r="B2" s="1281"/>
      <c r="C2" s="1281"/>
      <c r="D2" s="1281"/>
    </row>
    <row r="3" spans="1:7" ht="15.75" customHeight="1">
      <c r="A3" s="1281" t="s">
        <v>1119</v>
      </c>
      <c r="B3" s="1281"/>
      <c r="C3" s="1281"/>
      <c r="D3" s="1281"/>
    </row>
    <row r="4" spans="1:7" ht="15.75" customHeight="1">
      <c r="A4" s="1281" t="str">
        <f>'Table of Contents'!A3:C3</f>
        <v>Base Period: Twelve Months Ended September 30, 2021</v>
      </c>
      <c r="B4" s="1281"/>
      <c r="C4" s="1281"/>
      <c r="D4" s="1281"/>
    </row>
    <row r="5" spans="1:7" ht="15.75" customHeight="1">
      <c r="A5" s="59"/>
      <c r="B5" s="59"/>
      <c r="C5" s="174"/>
      <c r="D5" s="174"/>
    </row>
    <row r="6" spans="1:7" ht="15.75" customHeight="1">
      <c r="A6" s="60" t="s">
        <v>53</v>
      </c>
      <c r="D6" s="418" t="s">
        <v>1372</v>
      </c>
    </row>
    <row r="7" spans="1:7" ht="15.75" customHeight="1">
      <c r="A7" s="4" t="s">
        <v>610</v>
      </c>
      <c r="D7" s="419" t="s">
        <v>707</v>
      </c>
    </row>
    <row r="8" spans="1:7" ht="15.75" customHeight="1">
      <c r="A8" s="211" t="s">
        <v>363</v>
      </c>
      <c r="B8" s="212"/>
      <c r="C8" s="212"/>
      <c r="D8" s="1117" t="str">
        <f>'C.1'!J9</f>
        <v>Witness: Christian, Densman</v>
      </c>
    </row>
    <row r="9" spans="1:7" ht="15.75" customHeight="1">
      <c r="D9" s="246"/>
    </row>
    <row r="10" spans="1:7" ht="15.75" customHeight="1">
      <c r="A10" s="247" t="s">
        <v>92</v>
      </c>
      <c r="B10" s="246" t="s">
        <v>336</v>
      </c>
      <c r="C10" s="247" t="s">
        <v>336</v>
      </c>
      <c r="D10" s="246" t="s">
        <v>973</v>
      </c>
    </row>
    <row r="11" spans="1:7" ht="15.75" customHeight="1">
      <c r="A11" s="248" t="s">
        <v>98</v>
      </c>
      <c r="B11" s="249" t="s">
        <v>1258</v>
      </c>
      <c r="C11" s="248" t="s">
        <v>216</v>
      </c>
      <c r="D11" s="249" t="s">
        <v>312</v>
      </c>
    </row>
    <row r="12" spans="1:7" ht="15.75" customHeight="1">
      <c r="D12" s="246" t="s">
        <v>1076</v>
      </c>
    </row>
    <row r="13" spans="1:7" ht="15.75" customHeight="1">
      <c r="A13" s="246">
        <v>1</v>
      </c>
      <c r="B13" s="250"/>
      <c r="C13" s="251" t="s">
        <v>64</v>
      </c>
    </row>
    <row r="14" spans="1:7" ht="15.75" customHeight="1">
      <c r="A14" s="246">
        <f>A13+1</f>
        <v>2</v>
      </c>
      <c r="B14" s="250"/>
      <c r="C14" s="251" t="s">
        <v>134</v>
      </c>
      <c r="D14" s="88"/>
    </row>
    <row r="15" spans="1:7" ht="15.75" customHeight="1">
      <c r="A15" s="246">
        <f t="shared" ref="A15:A85" si="0">A14+1</f>
        <v>3</v>
      </c>
      <c r="B15" s="438">
        <v>4800</v>
      </c>
      <c r="C15" s="252" t="s">
        <v>129</v>
      </c>
      <c r="D15" s="299">
        <f>-'C.2.2 B 09'!P17</f>
        <v>93481690.702966988</v>
      </c>
      <c r="F15" s="348"/>
      <c r="G15" s="348"/>
    </row>
    <row r="16" spans="1:7" ht="15.75" customHeight="1">
      <c r="A16" s="246">
        <f t="shared" si="0"/>
        <v>4</v>
      </c>
      <c r="B16" s="571">
        <v>4805</v>
      </c>
      <c r="C16" s="572" t="s">
        <v>1263</v>
      </c>
      <c r="D16" s="305">
        <f>-'C.2.2 B 09'!P18</f>
        <v>2265575.4499999997</v>
      </c>
      <c r="F16" s="348"/>
      <c r="G16" s="348"/>
    </row>
    <row r="17" spans="1:8" ht="15.75" customHeight="1">
      <c r="A17" s="246">
        <f t="shared" si="0"/>
        <v>5</v>
      </c>
      <c r="B17" s="571">
        <v>4811</v>
      </c>
      <c r="C17" s="572" t="s">
        <v>130</v>
      </c>
      <c r="D17" s="305">
        <f>-'C.2.2 B 09'!P19</f>
        <v>40468226.853622571</v>
      </c>
      <c r="F17" s="348"/>
      <c r="G17" s="348"/>
    </row>
    <row r="18" spans="1:8" ht="15.75" customHeight="1">
      <c r="A18" s="246">
        <f t="shared" si="0"/>
        <v>6</v>
      </c>
      <c r="B18" s="571">
        <v>4812</v>
      </c>
      <c r="C18" s="572" t="s">
        <v>131</v>
      </c>
      <c r="D18" s="305">
        <f>-'C.2.2 B 09'!P20</f>
        <v>4548662.3270437289</v>
      </c>
      <c r="F18" s="348"/>
      <c r="G18" s="348"/>
    </row>
    <row r="19" spans="1:8" ht="15.75" customHeight="1">
      <c r="A19" s="246">
        <f t="shared" si="0"/>
        <v>7</v>
      </c>
      <c r="B19" s="571">
        <v>4815</v>
      </c>
      <c r="C19" s="572" t="s">
        <v>1264</v>
      </c>
      <c r="D19" s="305">
        <f>-'C.2.2 B 09'!P21</f>
        <v>917459.40000000014</v>
      </c>
      <c r="F19" s="348"/>
      <c r="G19" s="348"/>
    </row>
    <row r="20" spans="1:8" ht="15.75" customHeight="1">
      <c r="A20" s="246">
        <f t="shared" si="0"/>
        <v>8</v>
      </c>
      <c r="B20" s="571">
        <v>4816</v>
      </c>
      <c r="C20" s="572" t="s">
        <v>1300</v>
      </c>
      <c r="D20" s="305">
        <f>-'C.2.2 B 09'!P22</f>
        <v>16639.27</v>
      </c>
      <c r="F20" s="348"/>
      <c r="G20" s="348"/>
    </row>
    <row r="21" spans="1:8" ht="15.75" customHeight="1">
      <c r="A21" s="246">
        <f t="shared" si="0"/>
        <v>9</v>
      </c>
      <c r="B21" s="571">
        <v>4820</v>
      </c>
      <c r="C21" s="572" t="s">
        <v>771</v>
      </c>
      <c r="D21" s="305">
        <f>-'C.2.2 B 09'!P23</f>
        <v>5882491.037973485</v>
      </c>
      <c r="F21" s="348"/>
      <c r="G21" s="348"/>
    </row>
    <row r="22" spans="1:8" ht="15.75" customHeight="1">
      <c r="A22" s="246">
        <f t="shared" si="0"/>
        <v>10</v>
      </c>
      <c r="B22" s="571">
        <v>4825</v>
      </c>
      <c r="C22" s="572" t="s">
        <v>1265</v>
      </c>
      <c r="D22" s="306">
        <f>-'C.2.2 B 09'!P24</f>
        <v>179716.08999999994</v>
      </c>
      <c r="F22" s="348"/>
      <c r="G22" s="348"/>
    </row>
    <row r="23" spans="1:8" ht="15.75" customHeight="1">
      <c r="A23" s="246">
        <f t="shared" si="0"/>
        <v>11</v>
      </c>
      <c r="B23" s="246"/>
      <c r="C23" s="247" t="s">
        <v>1136</v>
      </c>
      <c r="D23" s="299">
        <f>SUM(D15:D22)</f>
        <v>147760461.13160682</v>
      </c>
    </row>
    <row r="24" spans="1:8" ht="15.75" customHeight="1">
      <c r="A24" s="246">
        <f t="shared" si="0"/>
        <v>12</v>
      </c>
      <c r="B24" s="246"/>
      <c r="D24" s="88"/>
    </row>
    <row r="25" spans="1:8" ht="15.75" customHeight="1">
      <c r="A25" s="246">
        <f t="shared" si="0"/>
        <v>13</v>
      </c>
      <c r="B25" s="439"/>
      <c r="C25" s="251" t="s">
        <v>63</v>
      </c>
      <c r="D25" s="385"/>
    </row>
    <row r="26" spans="1:8" ht="15.75" customHeight="1">
      <c r="A26" s="246">
        <f t="shared" si="0"/>
        <v>14</v>
      </c>
      <c r="B26" s="438">
        <v>4870</v>
      </c>
      <c r="C26" s="252" t="s">
        <v>1000</v>
      </c>
      <c r="D26" s="299">
        <f>-'C.2.2 B 09'!P25</f>
        <v>490350.28302817419</v>
      </c>
    </row>
    <row r="27" spans="1:8" ht="15.75" customHeight="1">
      <c r="A27" s="246">
        <f t="shared" si="0"/>
        <v>15</v>
      </c>
      <c r="B27" s="438">
        <v>4880</v>
      </c>
      <c r="C27" s="252" t="s">
        <v>1001</v>
      </c>
      <c r="D27" s="305">
        <f>-'C.2.2 B 09'!P26</f>
        <v>234281</v>
      </c>
    </row>
    <row r="28" spans="1:8" ht="15.75" customHeight="1">
      <c r="A28" s="246">
        <f t="shared" si="0"/>
        <v>16</v>
      </c>
      <c r="B28" s="440">
        <v>4893</v>
      </c>
      <c r="C28" s="255" t="s">
        <v>62</v>
      </c>
      <c r="D28" s="305">
        <f>-'C.2.2 B 09'!P27</f>
        <v>16646735.096687652</v>
      </c>
      <c r="F28" s="482"/>
    </row>
    <row r="29" spans="1:8" ht="15.75" customHeight="1">
      <c r="A29" s="246">
        <f t="shared" si="0"/>
        <v>17</v>
      </c>
      <c r="B29" s="438">
        <v>4950</v>
      </c>
      <c r="C29" s="252" t="s">
        <v>657</v>
      </c>
      <c r="D29" s="305">
        <f>-'C.2.2 B 09'!P28</f>
        <v>1222878.1555915009</v>
      </c>
      <c r="F29" s="88"/>
      <c r="G29" s="88"/>
      <c r="H29" s="482"/>
    </row>
    <row r="30" spans="1:8" ht="15.75" customHeight="1">
      <c r="A30" s="246"/>
      <c r="B30" s="438">
        <v>4960</v>
      </c>
      <c r="C30" s="252" t="s">
        <v>1526</v>
      </c>
      <c r="D30" s="305">
        <f>-'C.2.2 B 09'!P29</f>
        <v>0</v>
      </c>
      <c r="F30" s="88"/>
      <c r="G30" s="88"/>
      <c r="H30" s="482"/>
    </row>
    <row r="31" spans="1:8" ht="15.75" customHeight="1">
      <c r="A31" s="246">
        <f>A29+1</f>
        <v>18</v>
      </c>
      <c r="B31" s="439"/>
      <c r="C31" s="247" t="s">
        <v>1137</v>
      </c>
      <c r="D31" s="1118">
        <f>SUM(D26:D30)</f>
        <v>18594244.535307325</v>
      </c>
    </row>
    <row r="32" spans="1:8" ht="15.75" customHeight="1">
      <c r="A32" s="246">
        <f t="shared" si="0"/>
        <v>19</v>
      </c>
      <c r="B32" s="439"/>
      <c r="D32" s="385"/>
      <c r="F32" s="589"/>
      <c r="G32" s="88"/>
    </row>
    <row r="33" spans="1:8" ht="15.75" customHeight="1">
      <c r="A33" s="246">
        <f t="shared" si="0"/>
        <v>20</v>
      </c>
      <c r="B33" s="246"/>
      <c r="C33" s="247" t="s">
        <v>65</v>
      </c>
      <c r="D33" s="299">
        <f>D23+D31</f>
        <v>166354705.66691414</v>
      </c>
      <c r="E33" s="256"/>
      <c r="F33" s="88"/>
      <c r="G33" s="88"/>
      <c r="H33" s="482"/>
    </row>
    <row r="34" spans="1:8" ht="15.75" customHeight="1">
      <c r="A34" s="246">
        <f t="shared" si="0"/>
        <v>21</v>
      </c>
      <c r="B34" s="439"/>
      <c r="D34" s="385"/>
      <c r="F34" s="88"/>
      <c r="G34" s="88"/>
    </row>
    <row r="35" spans="1:8" ht="15.75" customHeight="1">
      <c r="A35" s="246">
        <f t="shared" si="0"/>
        <v>22</v>
      </c>
      <c r="B35" s="439"/>
      <c r="C35" s="251" t="s">
        <v>300</v>
      </c>
      <c r="D35" s="385"/>
    </row>
    <row r="36" spans="1:8" ht="15.75" customHeight="1">
      <c r="A36" s="246">
        <f t="shared" si="0"/>
        <v>23</v>
      </c>
      <c r="B36" s="439"/>
      <c r="C36" s="257" t="s">
        <v>656</v>
      </c>
      <c r="D36" s="339"/>
    </row>
    <row r="37" spans="1:8" ht="15.75" customHeight="1">
      <c r="A37" s="246">
        <f t="shared" si="0"/>
        <v>24</v>
      </c>
      <c r="B37" s="441">
        <v>7560</v>
      </c>
      <c r="C37" s="252" t="s">
        <v>324</v>
      </c>
      <c r="D37" s="386">
        <f>'C.2.2 B 09'!P30</f>
        <v>0</v>
      </c>
    </row>
    <row r="38" spans="1:8" ht="15.75" customHeight="1">
      <c r="A38" s="246">
        <f t="shared" si="0"/>
        <v>25</v>
      </c>
      <c r="B38" s="441">
        <v>7590</v>
      </c>
      <c r="C38" s="252" t="s">
        <v>1299</v>
      </c>
      <c r="D38" s="306">
        <f>'C.2.2 B 09'!P31</f>
        <v>0</v>
      </c>
    </row>
    <row r="39" spans="1:8" ht="15.75" customHeight="1">
      <c r="A39" s="246">
        <f t="shared" si="0"/>
        <v>26</v>
      </c>
      <c r="B39" s="439"/>
      <c r="C39" s="258" t="s">
        <v>432</v>
      </c>
      <c r="D39" s="299">
        <f>SUM(D37:D38)</f>
        <v>0</v>
      </c>
    </row>
    <row r="40" spans="1:8" ht="15.75" customHeight="1">
      <c r="A40" s="246">
        <f t="shared" si="0"/>
        <v>27</v>
      </c>
      <c r="B40" s="439"/>
      <c r="C40" s="258"/>
      <c r="D40" s="299"/>
    </row>
    <row r="41" spans="1:8" ht="15.75" customHeight="1">
      <c r="A41" s="246">
        <f t="shared" si="0"/>
        <v>28</v>
      </c>
      <c r="B41" s="439"/>
      <c r="C41" s="257" t="s">
        <v>1120</v>
      </c>
      <c r="D41" s="305"/>
    </row>
    <row r="42" spans="1:8" ht="15.75" customHeight="1">
      <c r="A42" s="246">
        <f t="shared" si="0"/>
        <v>29</v>
      </c>
      <c r="B42" s="441">
        <v>7610</v>
      </c>
      <c r="C42" s="252" t="s">
        <v>1121</v>
      </c>
      <c r="D42" s="416">
        <v>0</v>
      </c>
    </row>
    <row r="43" spans="1:8" ht="15.75" customHeight="1">
      <c r="A43" s="246">
        <f t="shared" si="0"/>
        <v>30</v>
      </c>
      <c r="B43" s="439"/>
      <c r="C43" s="60"/>
      <c r="D43" s="299">
        <f>SUM(D42)</f>
        <v>0</v>
      </c>
    </row>
    <row r="44" spans="1:8" ht="15.75" customHeight="1">
      <c r="A44" s="246">
        <f t="shared" si="0"/>
        <v>31</v>
      </c>
      <c r="B44" s="439"/>
      <c r="C44" s="257" t="s">
        <v>1012</v>
      </c>
      <c r="D44" s="339"/>
    </row>
    <row r="45" spans="1:8" ht="15.75" customHeight="1">
      <c r="A45" s="246">
        <f t="shared" si="0"/>
        <v>32</v>
      </c>
      <c r="B45" s="441">
        <v>8140</v>
      </c>
      <c r="C45" s="252" t="s">
        <v>666</v>
      </c>
      <c r="D45" s="417">
        <f>'C.2.2 B 09'!P47</f>
        <v>652.79921909830921</v>
      </c>
    </row>
    <row r="46" spans="1:8" ht="15.75" customHeight="1">
      <c r="A46" s="246">
        <f t="shared" si="0"/>
        <v>33</v>
      </c>
      <c r="B46" s="441">
        <v>8150</v>
      </c>
      <c r="C46" s="252" t="s">
        <v>292</v>
      </c>
      <c r="D46" s="386">
        <v>0</v>
      </c>
    </row>
    <row r="47" spans="1:8" ht="15.75" customHeight="1">
      <c r="A47" s="246">
        <f t="shared" si="0"/>
        <v>34</v>
      </c>
      <c r="B47" s="441">
        <v>8160</v>
      </c>
      <c r="C47" s="252" t="s">
        <v>503</v>
      </c>
      <c r="D47" s="386">
        <f>'C.2.2 B 09'!P48</f>
        <v>369389.02369628148</v>
      </c>
    </row>
    <row r="48" spans="1:8" ht="15.75" customHeight="1">
      <c r="A48" s="246">
        <f t="shared" si="0"/>
        <v>35</v>
      </c>
      <c r="B48" s="441">
        <v>8170</v>
      </c>
      <c r="C48" s="252" t="s">
        <v>504</v>
      </c>
      <c r="D48" s="386">
        <f>'C.2.2 B 09'!P49</f>
        <v>40264.413116811884</v>
      </c>
    </row>
    <row r="49" spans="1:4" ht="15.75" customHeight="1">
      <c r="A49" s="246">
        <f t="shared" si="0"/>
        <v>36</v>
      </c>
      <c r="B49" s="441">
        <v>8180</v>
      </c>
      <c r="C49" s="252" t="s">
        <v>143</v>
      </c>
      <c r="D49" s="386">
        <f>'C.2.2 B 09'!P50</f>
        <v>50808.891728857488</v>
      </c>
    </row>
    <row r="50" spans="1:4" ht="15.75" customHeight="1">
      <c r="A50" s="246">
        <f t="shared" si="0"/>
        <v>37</v>
      </c>
      <c r="B50" s="442">
        <v>8190</v>
      </c>
      <c r="C50" s="259" t="s">
        <v>144</v>
      </c>
      <c r="D50" s="386">
        <f>'C.2.2 B 09'!P51</f>
        <v>990.76244810870321</v>
      </c>
    </row>
    <row r="51" spans="1:4" ht="15.75" customHeight="1">
      <c r="A51" s="246">
        <f t="shared" si="0"/>
        <v>38</v>
      </c>
      <c r="B51" s="442">
        <v>8200</v>
      </c>
      <c r="C51" s="259" t="s">
        <v>471</v>
      </c>
      <c r="D51" s="386">
        <f>'C.2.2 B 09'!P52</f>
        <v>7882.6273086040865</v>
      </c>
    </row>
    <row r="52" spans="1:4" ht="15.75" customHeight="1">
      <c r="A52" s="246">
        <f t="shared" si="0"/>
        <v>39</v>
      </c>
      <c r="B52" s="442">
        <v>8210</v>
      </c>
      <c r="C52" s="259" t="s">
        <v>472</v>
      </c>
      <c r="D52" s="386">
        <f>'C.2.2 B 09'!P53</f>
        <v>38457.93470080541</v>
      </c>
    </row>
    <row r="53" spans="1:4" ht="15.75" customHeight="1">
      <c r="A53" s="246">
        <f t="shared" si="0"/>
        <v>40</v>
      </c>
      <c r="B53" s="442">
        <v>8240</v>
      </c>
      <c r="C53" s="259" t="s">
        <v>579</v>
      </c>
      <c r="D53" s="386">
        <f>'C.2.2 B 09'!P54</f>
        <v>0</v>
      </c>
    </row>
    <row r="54" spans="1:4" ht="15.75" customHeight="1">
      <c r="A54" s="246">
        <f t="shared" si="0"/>
        <v>41</v>
      </c>
      <c r="B54" s="442">
        <v>8250</v>
      </c>
      <c r="C54" s="259" t="s">
        <v>632</v>
      </c>
      <c r="D54" s="306">
        <f>'C.2.2 B 09'!P55</f>
        <v>9209.3257488211129</v>
      </c>
    </row>
    <row r="55" spans="1:4" ht="15.75" customHeight="1">
      <c r="A55" s="246">
        <f t="shared" si="0"/>
        <v>42</v>
      </c>
      <c r="B55" s="439"/>
      <c r="C55" s="258" t="s">
        <v>1013</v>
      </c>
      <c r="D55" s="299">
        <f>SUM(D45:D54)</f>
        <v>517655.77796738845</v>
      </c>
    </row>
    <row r="56" spans="1:4" ht="15.75" customHeight="1">
      <c r="A56" s="246">
        <f t="shared" si="0"/>
        <v>43</v>
      </c>
      <c r="B56" s="439"/>
      <c r="C56" s="60"/>
      <c r="D56" s="305"/>
    </row>
    <row r="57" spans="1:4" ht="15.75" customHeight="1">
      <c r="A57" s="246">
        <f t="shared" si="0"/>
        <v>44</v>
      </c>
      <c r="B57" s="439"/>
      <c r="C57" s="257" t="s">
        <v>999</v>
      </c>
      <c r="D57" s="305"/>
    </row>
    <row r="58" spans="1:4" ht="15.75" customHeight="1">
      <c r="A58" s="246">
        <f t="shared" si="0"/>
        <v>45</v>
      </c>
      <c r="B58" s="442">
        <v>8310</v>
      </c>
      <c r="C58" s="259" t="s">
        <v>633</v>
      </c>
      <c r="D58" s="417">
        <f>'C.2.2 B 09'!P56</f>
        <v>554.20453105239903</v>
      </c>
    </row>
    <row r="59" spans="1:4" ht="15.75" customHeight="1">
      <c r="A59" s="246">
        <f t="shared" si="0"/>
        <v>46</v>
      </c>
      <c r="B59" s="442">
        <v>8320</v>
      </c>
      <c r="C59" s="259" t="s">
        <v>634</v>
      </c>
      <c r="D59" s="386">
        <v>0</v>
      </c>
    </row>
    <row r="60" spans="1:4" ht="15.75" customHeight="1">
      <c r="A60" s="246">
        <f t="shared" si="0"/>
        <v>47</v>
      </c>
      <c r="B60" s="442">
        <v>8340</v>
      </c>
      <c r="C60" s="259" t="s">
        <v>635</v>
      </c>
      <c r="D60" s="386">
        <f>'C.2.2 B 09'!P57</f>
        <v>0</v>
      </c>
    </row>
    <row r="61" spans="1:4" ht="15.75" customHeight="1">
      <c r="A61" s="246">
        <f t="shared" si="0"/>
        <v>48</v>
      </c>
      <c r="B61" s="442">
        <v>8350</v>
      </c>
      <c r="C61" s="259" t="s">
        <v>636</v>
      </c>
      <c r="D61" s="386">
        <f>'C.2.2 B 09'!P58</f>
        <v>0</v>
      </c>
    </row>
    <row r="62" spans="1:4" ht="15.75" customHeight="1">
      <c r="A62" s="246">
        <f t="shared" si="0"/>
        <v>49</v>
      </c>
      <c r="B62" s="442">
        <v>8360</v>
      </c>
      <c r="C62" s="259" t="s">
        <v>1024</v>
      </c>
      <c r="D62" s="386">
        <f>'C.2.2 B 09'!P59</f>
        <v>0</v>
      </c>
    </row>
    <row r="63" spans="1:4" ht="15.75" customHeight="1">
      <c r="A63" s="246">
        <f t="shared" si="0"/>
        <v>50</v>
      </c>
      <c r="B63" s="442">
        <v>8370</v>
      </c>
      <c r="C63" s="259" t="s">
        <v>1293</v>
      </c>
      <c r="D63" s="386">
        <f>'C.2.2 B 09'!P60</f>
        <v>0</v>
      </c>
    </row>
    <row r="64" spans="1:4" ht="15.75" customHeight="1">
      <c r="A64" s="246">
        <f t="shared" si="0"/>
        <v>51</v>
      </c>
      <c r="B64" s="443" t="s">
        <v>293</v>
      </c>
      <c r="C64" s="259" t="s">
        <v>443</v>
      </c>
      <c r="D64" s="386">
        <f>'C.2.2 B 09'!P61</f>
        <v>224674.56047740806</v>
      </c>
    </row>
    <row r="65" spans="1:7" ht="15.75" customHeight="1">
      <c r="A65" s="246">
        <f t="shared" si="0"/>
        <v>52</v>
      </c>
      <c r="B65" s="439"/>
      <c r="C65" s="258" t="s">
        <v>1014</v>
      </c>
      <c r="D65" s="1118">
        <f>SUM(D58:D64)</f>
        <v>225228.76500846047</v>
      </c>
    </row>
    <row r="66" spans="1:7" ht="15.75" customHeight="1">
      <c r="A66" s="246">
        <f t="shared" si="0"/>
        <v>53</v>
      </c>
      <c r="B66" s="439"/>
      <c r="C66" s="60"/>
      <c r="D66" s="305"/>
    </row>
    <row r="67" spans="1:7" ht="15.75" customHeight="1">
      <c r="A67" s="246">
        <f t="shared" si="0"/>
        <v>54</v>
      </c>
      <c r="B67" s="439"/>
      <c r="C67" s="257" t="s">
        <v>1015</v>
      </c>
      <c r="D67" s="305"/>
    </row>
    <row r="68" spans="1:7" ht="15.75" customHeight="1">
      <c r="A68" s="246">
        <f t="shared" si="0"/>
        <v>55</v>
      </c>
      <c r="B68" s="442">
        <v>8500</v>
      </c>
      <c r="C68" s="259" t="s">
        <v>666</v>
      </c>
      <c r="D68" s="417">
        <f>'C.2.2 B 09'!P62</f>
        <v>14402.042351015742</v>
      </c>
    </row>
    <row r="69" spans="1:7" ht="15.75" customHeight="1">
      <c r="A69" s="246">
        <f t="shared" si="0"/>
        <v>56</v>
      </c>
      <c r="B69" s="442">
        <v>8520</v>
      </c>
      <c r="C69" s="259" t="s">
        <v>1294</v>
      </c>
      <c r="D69" s="386">
        <f>'C.2.2 B 09'!P63</f>
        <v>0</v>
      </c>
      <c r="G69" s="642"/>
    </row>
    <row r="70" spans="1:7" ht="15.75" customHeight="1">
      <c r="A70" s="246">
        <f t="shared" si="0"/>
        <v>57</v>
      </c>
      <c r="B70" s="442">
        <v>8550</v>
      </c>
      <c r="C70" s="259" t="s">
        <v>1344</v>
      </c>
      <c r="D70" s="386">
        <f>'C.2.2 B 09'!P64</f>
        <v>206.00858813511107</v>
      </c>
      <c r="G70" s="642"/>
    </row>
    <row r="71" spans="1:7" ht="15.75" customHeight="1">
      <c r="A71" s="246">
        <f t="shared" si="0"/>
        <v>58</v>
      </c>
      <c r="B71" s="442">
        <v>8560</v>
      </c>
      <c r="C71" s="259" t="s">
        <v>637</v>
      </c>
      <c r="D71" s="386">
        <f>'C.2.2 B 09'!P65</f>
        <v>170757.24883325773</v>
      </c>
    </row>
    <row r="72" spans="1:7" ht="15.75" customHeight="1">
      <c r="A72" s="246">
        <f t="shared" si="0"/>
        <v>59</v>
      </c>
      <c r="B72" s="442">
        <v>8570</v>
      </c>
      <c r="C72" s="259" t="s">
        <v>638</v>
      </c>
      <c r="D72" s="386">
        <f>'C.2.2 B 09'!P66</f>
        <v>11888.465981015079</v>
      </c>
    </row>
    <row r="73" spans="1:7" ht="15.75" customHeight="1">
      <c r="A73" s="246">
        <f t="shared" si="0"/>
        <v>60</v>
      </c>
      <c r="B73" s="442">
        <v>8590</v>
      </c>
      <c r="C73" s="259" t="s">
        <v>641</v>
      </c>
      <c r="D73" s="386">
        <v>0</v>
      </c>
    </row>
    <row r="74" spans="1:7" ht="15.75" customHeight="1">
      <c r="A74" s="246">
        <f t="shared" si="0"/>
        <v>61</v>
      </c>
      <c r="B74" s="442">
        <v>8600</v>
      </c>
      <c r="C74" s="259" t="s">
        <v>762</v>
      </c>
      <c r="D74" s="306">
        <v>0</v>
      </c>
    </row>
    <row r="75" spans="1:7" ht="15.75" customHeight="1">
      <c r="A75" s="246">
        <f t="shared" si="0"/>
        <v>62</v>
      </c>
      <c r="B75" s="439"/>
      <c r="C75" s="258" t="s">
        <v>991</v>
      </c>
      <c r="D75" s="299">
        <f>SUM(D68:D74)</f>
        <v>197253.76575342368</v>
      </c>
    </row>
    <row r="76" spans="1:7" ht="15.75" customHeight="1">
      <c r="A76" s="246">
        <f t="shared" si="0"/>
        <v>63</v>
      </c>
      <c r="B76" s="439"/>
      <c r="C76" s="60"/>
      <c r="D76" s="305"/>
    </row>
    <row r="77" spans="1:7" ht="15.75" customHeight="1">
      <c r="A77" s="246">
        <f t="shared" si="0"/>
        <v>64</v>
      </c>
      <c r="B77" s="439"/>
      <c r="C77" s="257" t="s">
        <v>992</v>
      </c>
      <c r="D77" s="305"/>
    </row>
    <row r="78" spans="1:7" ht="15.75" customHeight="1">
      <c r="A78" s="246">
        <f t="shared" si="0"/>
        <v>65</v>
      </c>
      <c r="B78" s="442">
        <v>8620</v>
      </c>
      <c r="C78" s="259" t="s">
        <v>956</v>
      </c>
      <c r="D78" s="417">
        <v>0</v>
      </c>
    </row>
    <row r="79" spans="1:7" ht="15.75" customHeight="1">
      <c r="A79" s="246">
        <f t="shared" si="0"/>
        <v>66</v>
      </c>
      <c r="B79" s="442">
        <v>8630</v>
      </c>
      <c r="C79" s="259" t="s">
        <v>502</v>
      </c>
      <c r="D79" s="386">
        <f>'C.2.2 B 09'!P67</f>
        <v>3991.6709581398791</v>
      </c>
    </row>
    <row r="80" spans="1:7" ht="15.75" customHeight="1">
      <c r="A80" s="246">
        <f t="shared" si="0"/>
        <v>67</v>
      </c>
      <c r="B80" s="442">
        <v>8640</v>
      </c>
      <c r="C80" s="259" t="s">
        <v>586</v>
      </c>
      <c r="D80" s="386">
        <f>'C.2.2 B 09'!P68</f>
        <v>0</v>
      </c>
    </row>
    <row r="81" spans="1:5" ht="15.75" customHeight="1">
      <c r="A81" s="246">
        <f t="shared" si="0"/>
        <v>68</v>
      </c>
      <c r="B81" s="442">
        <v>8650</v>
      </c>
      <c r="C81" s="259" t="s">
        <v>639</v>
      </c>
      <c r="D81" s="386">
        <f>'C.2.2 B 09'!P69</f>
        <v>0</v>
      </c>
    </row>
    <row r="82" spans="1:5" ht="15.75" customHeight="1">
      <c r="A82" s="246">
        <f t="shared" si="0"/>
        <v>69</v>
      </c>
      <c r="B82" s="442">
        <v>8670</v>
      </c>
      <c r="C82" s="259" t="s">
        <v>640</v>
      </c>
      <c r="D82" s="306">
        <v>0</v>
      </c>
    </row>
    <row r="83" spans="1:5" ht="15.75" customHeight="1">
      <c r="A83" s="246">
        <f t="shared" si="0"/>
        <v>70</v>
      </c>
      <c r="B83" s="439"/>
      <c r="C83" s="258" t="s">
        <v>993</v>
      </c>
      <c r="D83" s="299">
        <f>SUM(D78:D82)</f>
        <v>3991.6709581398791</v>
      </c>
    </row>
    <row r="84" spans="1:5" ht="15.75" customHeight="1">
      <c r="A84" s="246">
        <f t="shared" si="0"/>
        <v>71</v>
      </c>
      <c r="B84" s="439"/>
      <c r="C84" s="60"/>
      <c r="D84" s="305"/>
    </row>
    <row r="85" spans="1:5" ht="15.75" customHeight="1">
      <c r="A85" s="246">
        <f t="shared" si="0"/>
        <v>72</v>
      </c>
      <c r="B85" s="439"/>
      <c r="C85" s="257" t="s">
        <v>325</v>
      </c>
      <c r="D85" s="385"/>
    </row>
    <row r="86" spans="1:5" ht="15.75" customHeight="1">
      <c r="A86" s="246">
        <f t="shared" ref="A86:A149" si="1">A85+1</f>
        <v>73</v>
      </c>
      <c r="B86" s="438">
        <v>8001</v>
      </c>
      <c r="C86" s="252" t="s">
        <v>859</v>
      </c>
      <c r="D86" s="417">
        <f>'C.2.2 B 09'!P32</f>
        <v>0</v>
      </c>
      <c r="E86" s="278"/>
    </row>
    <row r="87" spans="1:5" ht="15.75" customHeight="1">
      <c r="A87" s="246">
        <f t="shared" si="1"/>
        <v>74</v>
      </c>
      <c r="B87" s="438">
        <v>8010</v>
      </c>
      <c r="C87" s="84" t="s">
        <v>1192</v>
      </c>
      <c r="D87" s="386">
        <f>'C.2.2 B 09'!P33</f>
        <v>95420.316587995243</v>
      </c>
      <c r="E87" s="278"/>
    </row>
    <row r="88" spans="1:5" ht="15.75" customHeight="1">
      <c r="A88" s="246">
        <f t="shared" si="1"/>
        <v>75</v>
      </c>
      <c r="B88" s="438">
        <v>8040</v>
      </c>
      <c r="C88" s="247" t="s">
        <v>301</v>
      </c>
      <c r="D88" s="386">
        <f>'C.2.2 B 09'!P34</f>
        <v>41885461.303493425</v>
      </c>
      <c r="E88" s="278"/>
    </row>
    <row r="89" spans="1:5" ht="15.75" customHeight="1">
      <c r="A89" s="246">
        <f t="shared" si="1"/>
        <v>76</v>
      </c>
      <c r="B89" s="438">
        <v>8045</v>
      </c>
      <c r="C89" s="247" t="s">
        <v>1118</v>
      </c>
      <c r="D89" s="386">
        <v>0</v>
      </c>
      <c r="E89" s="278"/>
    </row>
    <row r="90" spans="1:5" ht="15.75" customHeight="1">
      <c r="A90" s="246">
        <f t="shared" si="1"/>
        <v>77</v>
      </c>
      <c r="B90" s="438">
        <v>8050</v>
      </c>
      <c r="C90" s="252" t="s">
        <v>898</v>
      </c>
      <c r="D90" s="386">
        <f>'C.2.2 B 09'!P35</f>
        <v>-29052.866696697703</v>
      </c>
      <c r="E90" s="278"/>
    </row>
    <row r="91" spans="1:5" ht="15.75" customHeight="1">
      <c r="A91" s="246">
        <f t="shared" si="1"/>
        <v>78</v>
      </c>
      <c r="B91" s="438">
        <v>8051</v>
      </c>
      <c r="C91" s="247" t="s">
        <v>803</v>
      </c>
      <c r="D91" s="386">
        <f>'C.2.2 B 09'!P36</f>
        <v>43006111.184041083</v>
      </c>
      <c r="E91" s="278"/>
    </row>
    <row r="92" spans="1:5" ht="15.75" customHeight="1">
      <c r="A92" s="246">
        <f t="shared" si="1"/>
        <v>79</v>
      </c>
      <c r="B92" s="438">
        <v>8052</v>
      </c>
      <c r="C92" s="247" t="s">
        <v>418</v>
      </c>
      <c r="D92" s="386">
        <f>'C.2.2 B 09'!P37</f>
        <v>21544384.186337348</v>
      </c>
      <c r="E92" s="278"/>
    </row>
    <row r="93" spans="1:5" ht="15.75" customHeight="1">
      <c r="A93" s="246">
        <f t="shared" si="1"/>
        <v>80</v>
      </c>
      <c r="B93" s="438">
        <v>8053</v>
      </c>
      <c r="C93" s="247" t="s">
        <v>827</v>
      </c>
      <c r="D93" s="386">
        <f>'C.2.2 B 09'!P38</f>
        <v>3981546.8873757222</v>
      </c>
      <c r="E93" s="278"/>
    </row>
    <row r="94" spans="1:5" ht="15.75" customHeight="1">
      <c r="A94" s="246">
        <f t="shared" si="1"/>
        <v>81</v>
      </c>
      <c r="B94" s="438">
        <v>8054</v>
      </c>
      <c r="C94" s="247" t="s">
        <v>828</v>
      </c>
      <c r="D94" s="386">
        <f>'C.2.2 B 09'!P39</f>
        <v>3926694.0571634956</v>
      </c>
      <c r="E94" s="278"/>
    </row>
    <row r="95" spans="1:5" ht="15.75" customHeight="1">
      <c r="A95" s="246">
        <f t="shared" si="1"/>
        <v>82</v>
      </c>
      <c r="B95" s="438">
        <v>8057</v>
      </c>
      <c r="C95" s="247" t="s">
        <v>279</v>
      </c>
      <c r="D95" s="386">
        <v>0</v>
      </c>
      <c r="E95" s="278"/>
    </row>
    <row r="96" spans="1:5" ht="15.75" customHeight="1">
      <c r="A96" s="246">
        <f t="shared" si="1"/>
        <v>83</v>
      </c>
      <c r="B96" s="438">
        <v>8058</v>
      </c>
      <c r="C96" s="247" t="s">
        <v>280</v>
      </c>
      <c r="D96" s="386">
        <f>'C.2.2 B 09'!P40</f>
        <v>-2164109.6599417925</v>
      </c>
      <c r="E96" s="278"/>
    </row>
    <row r="97" spans="1:6" ht="15.75" customHeight="1">
      <c r="A97" s="246">
        <f t="shared" si="1"/>
        <v>84</v>
      </c>
      <c r="B97" s="438">
        <v>8059</v>
      </c>
      <c r="C97" s="247" t="s">
        <v>281</v>
      </c>
      <c r="D97" s="386">
        <f>'C.2.2 B 09'!P41</f>
        <v>-74385845.407893091</v>
      </c>
      <c r="E97" s="278"/>
    </row>
    <row r="98" spans="1:6" ht="15.75" customHeight="1">
      <c r="A98" s="246">
        <f t="shared" si="1"/>
        <v>85</v>
      </c>
      <c r="B98" s="438">
        <v>8060</v>
      </c>
      <c r="C98" s="247" t="s">
        <v>994</v>
      </c>
      <c r="D98" s="386">
        <f>'C.2.2 B 09'!P42</f>
        <v>954716.42730625137</v>
      </c>
      <c r="E98" s="278"/>
    </row>
    <row r="99" spans="1:6" ht="15.75" customHeight="1">
      <c r="A99" s="246">
        <f t="shared" si="1"/>
        <v>86</v>
      </c>
      <c r="B99" s="438">
        <v>8081</v>
      </c>
      <c r="C99" s="247" t="s">
        <v>282</v>
      </c>
      <c r="D99" s="386">
        <f>'C.2.2 B 09'!P43</f>
        <v>12286131.091316184</v>
      </c>
      <c r="E99" s="278"/>
    </row>
    <row r="100" spans="1:6" ht="15.75" customHeight="1">
      <c r="A100" s="246">
        <f t="shared" si="1"/>
        <v>87</v>
      </c>
      <c r="B100" s="438">
        <v>8082</v>
      </c>
      <c r="C100" s="247" t="s">
        <v>66</v>
      </c>
      <c r="D100" s="386">
        <f>'C.2.2 B 09'!P44</f>
        <v>-11336098.562756769</v>
      </c>
      <c r="E100" s="278"/>
    </row>
    <row r="101" spans="1:6" ht="15.75" customHeight="1">
      <c r="A101" s="246">
        <f t="shared" si="1"/>
        <v>88</v>
      </c>
      <c r="B101" s="438">
        <v>8110</v>
      </c>
      <c r="C101" s="247" t="s">
        <v>1193</v>
      </c>
      <c r="D101" s="386">
        <v>0</v>
      </c>
      <c r="E101" s="278"/>
    </row>
    <row r="102" spans="1:6" ht="15.75" customHeight="1">
      <c r="A102" s="246">
        <f t="shared" si="1"/>
        <v>89</v>
      </c>
      <c r="B102" s="438">
        <v>8120</v>
      </c>
      <c r="C102" s="247" t="s">
        <v>1010</v>
      </c>
      <c r="D102" s="386">
        <f>'C.2.2 B 09'!P45</f>
        <v>-10760.959889134454</v>
      </c>
      <c r="E102" s="278"/>
    </row>
    <row r="103" spans="1:6" ht="15.75" customHeight="1">
      <c r="A103" s="246">
        <f t="shared" si="1"/>
        <v>90</v>
      </c>
      <c r="B103" s="438">
        <v>8130</v>
      </c>
      <c r="C103" s="247" t="s">
        <v>1010</v>
      </c>
      <c r="D103" s="386">
        <v>0</v>
      </c>
      <c r="E103" s="278"/>
    </row>
    <row r="104" spans="1:6" ht="15.75" customHeight="1">
      <c r="A104" s="246">
        <f t="shared" si="1"/>
        <v>91</v>
      </c>
      <c r="B104" s="438">
        <v>8580</v>
      </c>
      <c r="C104" s="247" t="s">
        <v>1191</v>
      </c>
      <c r="D104" s="306">
        <f>'C.2.2 B 09'!P46</f>
        <v>30529267.698642705</v>
      </c>
      <c r="E104" s="278"/>
      <c r="F104" s="477"/>
    </row>
    <row r="105" spans="1:6" ht="15.75" customHeight="1">
      <c r="A105" s="246">
        <f t="shared" si="1"/>
        <v>92</v>
      </c>
      <c r="B105" s="439"/>
      <c r="C105" s="260" t="s">
        <v>1011</v>
      </c>
      <c r="D105" s="299">
        <f>SUM(D86:D104)</f>
        <v>70283865.695086718</v>
      </c>
      <c r="F105" s="78"/>
    </row>
    <row r="106" spans="1:6" ht="15.75" customHeight="1">
      <c r="A106" s="246">
        <f t="shared" si="1"/>
        <v>93</v>
      </c>
      <c r="B106" s="439"/>
      <c r="D106" s="339"/>
    </row>
    <row r="107" spans="1:6" ht="15.75" customHeight="1">
      <c r="A107" s="246">
        <f t="shared" si="1"/>
        <v>94</v>
      </c>
      <c r="B107" s="439"/>
      <c r="C107" s="257" t="s">
        <v>1034</v>
      </c>
      <c r="D107" s="339"/>
    </row>
    <row r="108" spans="1:6" ht="15.75" customHeight="1">
      <c r="A108" s="246">
        <f t="shared" si="1"/>
        <v>95</v>
      </c>
      <c r="B108" s="438">
        <v>8700</v>
      </c>
      <c r="C108" s="252" t="s">
        <v>642</v>
      </c>
      <c r="D108" s="417">
        <f>'C.2.2 B 09'!P70</f>
        <v>1047733.6321712979</v>
      </c>
    </row>
    <row r="109" spans="1:6" ht="15.75" customHeight="1">
      <c r="A109" s="246">
        <f t="shared" si="1"/>
        <v>96</v>
      </c>
      <c r="B109" s="438">
        <v>8710</v>
      </c>
      <c r="C109" s="252" t="s">
        <v>643</v>
      </c>
      <c r="D109" s="386">
        <f>'C.2.2 B 09'!P71</f>
        <v>398.30229242484654</v>
      </c>
    </row>
    <row r="110" spans="1:6" ht="15.75" customHeight="1">
      <c r="A110" s="246">
        <f t="shared" si="1"/>
        <v>97</v>
      </c>
      <c r="B110" s="438">
        <v>8711</v>
      </c>
      <c r="C110" s="247" t="s">
        <v>342</v>
      </c>
      <c r="D110" s="386">
        <f>'C.2.2 B 09'!P72</f>
        <v>108130.06033341784</v>
      </c>
    </row>
    <row r="111" spans="1:6" ht="15.75" customHeight="1">
      <c r="A111" s="246">
        <f t="shared" si="1"/>
        <v>98</v>
      </c>
      <c r="B111" s="438">
        <v>8720</v>
      </c>
      <c r="C111" s="252" t="s">
        <v>948</v>
      </c>
      <c r="D111" s="386">
        <f>'C.2.2 B 09'!P73</f>
        <v>0</v>
      </c>
    </row>
    <row r="112" spans="1:6" ht="15.75" customHeight="1">
      <c r="A112" s="246">
        <f t="shared" si="1"/>
        <v>99</v>
      </c>
      <c r="B112" s="438">
        <v>8740</v>
      </c>
      <c r="C112" s="252" t="s">
        <v>949</v>
      </c>
      <c r="D112" s="386">
        <f>'C.2.2 B 09'!P74</f>
        <v>5883580.8375892984</v>
      </c>
    </row>
    <row r="113" spans="1:4" ht="15.75" customHeight="1">
      <c r="A113" s="246">
        <f t="shared" si="1"/>
        <v>100</v>
      </c>
      <c r="B113" s="438">
        <v>8750</v>
      </c>
      <c r="C113" s="252" t="s">
        <v>953</v>
      </c>
      <c r="D113" s="386">
        <f>'C.2.2 B 09'!P75</f>
        <v>489307.97897301236</v>
      </c>
    </row>
    <row r="114" spans="1:4" ht="15.75" customHeight="1">
      <c r="A114" s="246">
        <f t="shared" si="1"/>
        <v>101</v>
      </c>
      <c r="B114" s="438">
        <v>8760</v>
      </c>
      <c r="C114" s="252" t="s">
        <v>954</v>
      </c>
      <c r="D114" s="386">
        <f>'C.2.2 B 09'!P76</f>
        <v>26329.750437463888</v>
      </c>
    </row>
    <row r="115" spans="1:4" ht="15.75" customHeight="1">
      <c r="A115" s="246">
        <f t="shared" si="1"/>
        <v>102</v>
      </c>
      <c r="B115" s="438">
        <v>8770</v>
      </c>
      <c r="C115" s="252" t="s">
        <v>955</v>
      </c>
      <c r="D115" s="386">
        <f>'C.2.2 B 09'!P77</f>
        <v>3528.6627085332993</v>
      </c>
    </row>
    <row r="116" spans="1:4" ht="15.75" customHeight="1">
      <c r="A116" s="246">
        <f t="shared" si="1"/>
        <v>103</v>
      </c>
      <c r="B116" s="438">
        <v>8780</v>
      </c>
      <c r="C116" s="252" t="s">
        <v>950</v>
      </c>
      <c r="D116" s="386">
        <f>'C.2.2 B 09'!P78</f>
        <v>1048204.1291761572</v>
      </c>
    </row>
    <row r="117" spans="1:4" ht="15.75" customHeight="1">
      <c r="A117" s="246">
        <f t="shared" si="1"/>
        <v>104</v>
      </c>
      <c r="B117" s="438">
        <v>8790</v>
      </c>
      <c r="C117" s="252" t="s">
        <v>951</v>
      </c>
      <c r="D117" s="386">
        <f>'C.2.2 B 09'!P79</f>
        <v>0</v>
      </c>
    </row>
    <row r="118" spans="1:4" ht="15.75" customHeight="1">
      <c r="A118" s="246">
        <f t="shared" si="1"/>
        <v>105</v>
      </c>
      <c r="B118" s="438">
        <v>8800</v>
      </c>
      <c r="C118" s="252" t="s">
        <v>952</v>
      </c>
      <c r="D118" s="386">
        <f>'C.2.2 B 09'!P80</f>
        <v>1763.1729030686154</v>
      </c>
    </row>
    <row r="119" spans="1:4" ht="15.75" customHeight="1">
      <c r="A119" s="246">
        <f t="shared" si="1"/>
        <v>106</v>
      </c>
      <c r="B119" s="438">
        <v>8810</v>
      </c>
      <c r="C119" s="252" t="s">
        <v>762</v>
      </c>
      <c r="D119" s="306">
        <f>'C.2.2 B 09'!P81</f>
        <v>360992.15024819155</v>
      </c>
    </row>
    <row r="120" spans="1:4" ht="15.75" customHeight="1">
      <c r="A120" s="246">
        <f t="shared" si="1"/>
        <v>107</v>
      </c>
      <c r="B120" s="439"/>
      <c r="C120" s="258" t="s">
        <v>654</v>
      </c>
      <c r="D120" s="299">
        <f>SUM(D108:D119)</f>
        <v>8969968.6768328659</v>
      </c>
    </row>
    <row r="121" spans="1:4" ht="15.75" customHeight="1">
      <c r="A121" s="246">
        <f t="shared" si="1"/>
        <v>108</v>
      </c>
      <c r="B121" s="439"/>
      <c r="C121" s="60"/>
      <c r="D121" s="305"/>
    </row>
    <row r="122" spans="1:4" ht="15.75" customHeight="1">
      <c r="A122" s="246">
        <f t="shared" si="1"/>
        <v>109</v>
      </c>
      <c r="B122" s="246"/>
      <c r="C122" s="257" t="s">
        <v>655</v>
      </c>
      <c r="D122" s="385"/>
    </row>
    <row r="123" spans="1:4" ht="15.75" customHeight="1">
      <c r="A123" s="246">
        <f t="shared" si="1"/>
        <v>110</v>
      </c>
      <c r="B123" s="438">
        <v>8850</v>
      </c>
      <c r="C123" s="252" t="s">
        <v>642</v>
      </c>
      <c r="D123" s="417">
        <f>'C.2.2 B 09'!P82</f>
        <v>179.81142107718031</v>
      </c>
    </row>
    <row r="124" spans="1:4" ht="15.75" customHeight="1">
      <c r="A124" s="246">
        <f t="shared" si="1"/>
        <v>111</v>
      </c>
      <c r="B124" s="438">
        <v>8860</v>
      </c>
      <c r="C124" s="252" t="s">
        <v>956</v>
      </c>
      <c r="D124" s="386">
        <f>'C.2.2 B 09'!P83</f>
        <v>0</v>
      </c>
    </row>
    <row r="125" spans="1:4" ht="15.75" customHeight="1">
      <c r="A125" s="246">
        <f t="shared" si="1"/>
        <v>112</v>
      </c>
      <c r="B125" s="438">
        <v>8870</v>
      </c>
      <c r="C125" s="252" t="s">
        <v>502</v>
      </c>
      <c r="D125" s="386">
        <f>'C.2.2 B 09'!P84</f>
        <v>17839.213183980395</v>
      </c>
    </row>
    <row r="126" spans="1:4" ht="15.75" customHeight="1">
      <c r="A126" s="246">
        <f t="shared" si="1"/>
        <v>113</v>
      </c>
      <c r="B126" s="438">
        <v>8890</v>
      </c>
      <c r="C126" s="252" t="s">
        <v>953</v>
      </c>
      <c r="D126" s="386">
        <f>'C.2.2 B 09'!P85</f>
        <v>60064.995009882761</v>
      </c>
    </row>
    <row r="127" spans="1:4" ht="15.75" customHeight="1">
      <c r="A127" s="246">
        <f t="shared" si="1"/>
        <v>114</v>
      </c>
      <c r="B127" s="438">
        <v>8900</v>
      </c>
      <c r="C127" s="252" t="s">
        <v>954</v>
      </c>
      <c r="D127" s="386">
        <f>'C.2.2 B 09'!P86</f>
        <v>0</v>
      </c>
    </row>
    <row r="128" spans="1:4" ht="15.75" customHeight="1">
      <c r="A128" s="246">
        <f t="shared" si="1"/>
        <v>115</v>
      </c>
      <c r="B128" s="438">
        <v>8910</v>
      </c>
      <c r="C128" s="252" t="s">
        <v>955</v>
      </c>
      <c r="D128" s="386">
        <f>'C.2.2 B 09'!P87</f>
        <v>2086.6285678884633</v>
      </c>
    </row>
    <row r="129" spans="1:5" ht="15.75" customHeight="1">
      <c r="A129" s="246">
        <f t="shared" si="1"/>
        <v>116</v>
      </c>
      <c r="B129" s="438">
        <v>8920</v>
      </c>
      <c r="C129" s="252" t="s">
        <v>1036</v>
      </c>
      <c r="D129" s="386">
        <f>'C.2.2 B 09'!P88</f>
        <v>1242.4432562449874</v>
      </c>
    </row>
    <row r="130" spans="1:5" ht="15.75" customHeight="1">
      <c r="A130" s="246">
        <f t="shared" si="1"/>
        <v>117</v>
      </c>
      <c r="B130" s="438">
        <v>8930</v>
      </c>
      <c r="C130" s="252" t="s">
        <v>957</v>
      </c>
      <c r="D130" s="386">
        <f>'C.2.2 B 09'!P89</f>
        <v>8086.7084515030847</v>
      </c>
    </row>
    <row r="131" spans="1:5" ht="15.75" customHeight="1">
      <c r="A131" s="246">
        <f t="shared" si="1"/>
        <v>118</v>
      </c>
      <c r="B131" s="438">
        <v>8940</v>
      </c>
      <c r="C131" s="252" t="s">
        <v>640</v>
      </c>
      <c r="D131" s="386">
        <f>'C.2.2 B 09'!P90</f>
        <v>913.01473427814244</v>
      </c>
    </row>
    <row r="132" spans="1:5" ht="15.75" customHeight="1">
      <c r="A132" s="246">
        <f t="shared" si="1"/>
        <v>119</v>
      </c>
      <c r="B132" s="438">
        <v>8950</v>
      </c>
      <c r="C132" s="252" t="s">
        <v>291</v>
      </c>
      <c r="D132" s="306">
        <v>0</v>
      </c>
    </row>
    <row r="133" spans="1:5" ht="15.75" customHeight="1">
      <c r="A133" s="246">
        <f t="shared" si="1"/>
        <v>120</v>
      </c>
      <c r="B133" s="439"/>
      <c r="C133" s="258" t="s">
        <v>419</v>
      </c>
      <c r="D133" s="299">
        <f>SUM(D123:D132)</f>
        <v>90412.814624855018</v>
      </c>
    </row>
    <row r="134" spans="1:5" ht="15.75" customHeight="1">
      <c r="A134" s="246">
        <f t="shared" si="1"/>
        <v>121</v>
      </c>
      <c r="B134" s="439"/>
      <c r="C134" s="258"/>
      <c r="D134" s="305"/>
    </row>
    <row r="135" spans="1:5" ht="15.75" customHeight="1">
      <c r="A135" s="246">
        <f t="shared" si="1"/>
        <v>122</v>
      </c>
      <c r="B135" s="246"/>
      <c r="C135" s="257" t="s">
        <v>420</v>
      </c>
      <c r="D135" s="385"/>
    </row>
    <row r="136" spans="1:5" ht="15.75" customHeight="1">
      <c r="A136" s="246">
        <f t="shared" si="1"/>
        <v>123</v>
      </c>
      <c r="B136" s="438">
        <v>9010</v>
      </c>
      <c r="C136" s="252" t="s">
        <v>474</v>
      </c>
      <c r="D136" s="417">
        <f>'C.2.2 B 09'!P91</f>
        <v>0</v>
      </c>
    </row>
    <row r="137" spans="1:5" ht="15.75" customHeight="1">
      <c r="A137" s="246">
        <f t="shared" si="1"/>
        <v>124</v>
      </c>
      <c r="B137" s="438">
        <v>9020</v>
      </c>
      <c r="C137" s="252" t="s">
        <v>661</v>
      </c>
      <c r="D137" s="386">
        <f>'C.2.2 B 09'!P92</f>
        <v>905449.44301402231</v>
      </c>
    </row>
    <row r="138" spans="1:5" ht="15.75" customHeight="1">
      <c r="A138" s="246">
        <f t="shared" si="1"/>
        <v>125</v>
      </c>
      <c r="B138" s="438">
        <v>9030</v>
      </c>
      <c r="C138" s="252" t="s">
        <v>958</v>
      </c>
      <c r="D138" s="386">
        <f>'C.2.2 B 09'!P93</f>
        <v>1103205.2549799869</v>
      </c>
    </row>
    <row r="139" spans="1:5" ht="15.75" customHeight="1">
      <c r="A139" s="246">
        <f t="shared" si="1"/>
        <v>126</v>
      </c>
      <c r="B139" s="438">
        <v>9040</v>
      </c>
      <c r="C139" s="252" t="s">
        <v>662</v>
      </c>
      <c r="D139" s="306">
        <f>'C.2.2 B 09'!P94</f>
        <v>880036.46</v>
      </c>
      <c r="E139" s="467"/>
    </row>
    <row r="140" spans="1:5" ht="15.75" customHeight="1">
      <c r="A140" s="246">
        <f t="shared" si="1"/>
        <v>127</v>
      </c>
      <c r="B140" s="246"/>
      <c r="C140" s="258" t="s">
        <v>538</v>
      </c>
      <c r="D140" s="299">
        <f>SUM(D136:D139)</f>
        <v>2888691.1579940091</v>
      </c>
    </row>
    <row r="141" spans="1:5" ht="15.75" customHeight="1">
      <c r="A141" s="246">
        <f t="shared" si="1"/>
        <v>128</v>
      </c>
      <c r="B141" s="439"/>
      <c r="C141" s="258"/>
      <c r="D141" s="305"/>
    </row>
    <row r="142" spans="1:5" ht="15.75" customHeight="1">
      <c r="A142" s="246">
        <f t="shared" si="1"/>
        <v>129</v>
      </c>
      <c r="B142" s="439"/>
      <c r="C142" s="257" t="s">
        <v>539</v>
      </c>
      <c r="D142" s="339"/>
    </row>
    <row r="143" spans="1:5" ht="15.75" customHeight="1">
      <c r="A143" s="246">
        <f t="shared" si="1"/>
        <v>130</v>
      </c>
      <c r="B143" s="438">
        <v>9070</v>
      </c>
      <c r="C143" s="252" t="s">
        <v>474</v>
      </c>
      <c r="D143" s="417">
        <v>0</v>
      </c>
    </row>
    <row r="144" spans="1:5" ht="15.75" customHeight="1">
      <c r="A144" s="246">
        <f t="shared" si="1"/>
        <v>131</v>
      </c>
      <c r="B144" s="438">
        <v>9080</v>
      </c>
      <c r="C144" s="252" t="s">
        <v>660</v>
      </c>
      <c r="D144" s="386">
        <v>0</v>
      </c>
    </row>
    <row r="145" spans="1:4" ht="15.75" customHeight="1">
      <c r="A145" s="246">
        <f t="shared" si="1"/>
        <v>132</v>
      </c>
      <c r="B145" s="438">
        <v>9090</v>
      </c>
      <c r="C145" s="252" t="s">
        <v>659</v>
      </c>
      <c r="D145" s="386">
        <f>'C.2.2 B 09'!P95</f>
        <v>170409.79010111588</v>
      </c>
    </row>
    <row r="146" spans="1:4" ht="15.75" customHeight="1">
      <c r="A146" s="246">
        <f t="shared" si="1"/>
        <v>133</v>
      </c>
      <c r="B146" s="438">
        <v>9100</v>
      </c>
      <c r="C146" s="252" t="s">
        <v>448</v>
      </c>
      <c r="D146" s="306">
        <f>'C.2.2 B 09'!P96</f>
        <v>116.20216219769976</v>
      </c>
    </row>
    <row r="147" spans="1:4" ht="15.75" customHeight="1">
      <c r="A147" s="246">
        <f t="shared" si="1"/>
        <v>134</v>
      </c>
      <c r="B147" s="246"/>
      <c r="C147" s="258" t="s">
        <v>847</v>
      </c>
      <c r="D147" s="299">
        <f>SUM(D143:D146)</f>
        <v>170525.99226331359</v>
      </c>
    </row>
    <row r="148" spans="1:4" ht="15.75" customHeight="1">
      <c r="A148" s="246">
        <f t="shared" si="1"/>
        <v>135</v>
      </c>
      <c r="B148" s="246"/>
      <c r="C148" s="250"/>
      <c r="D148" s="385"/>
    </row>
    <row r="149" spans="1:4" ht="15.75" customHeight="1">
      <c r="A149" s="246">
        <f t="shared" si="1"/>
        <v>136</v>
      </c>
      <c r="B149" s="246"/>
      <c r="C149" s="257" t="s">
        <v>490</v>
      </c>
      <c r="D149" s="385"/>
    </row>
    <row r="150" spans="1:4" ht="15.75" customHeight="1">
      <c r="A150" s="246">
        <f t="shared" ref="A150:A183" si="2">A149+1</f>
        <v>137</v>
      </c>
      <c r="B150" s="438">
        <v>9110</v>
      </c>
      <c r="C150" s="252" t="s">
        <v>474</v>
      </c>
      <c r="D150" s="417">
        <f>'C.2.2 B 09'!P97</f>
        <v>217036.03087186429</v>
      </c>
    </row>
    <row r="151" spans="1:4" ht="15.75" customHeight="1">
      <c r="A151" s="246">
        <f t="shared" si="2"/>
        <v>138</v>
      </c>
      <c r="B151" s="438">
        <v>9120</v>
      </c>
      <c r="C151" s="252" t="s">
        <v>763</v>
      </c>
      <c r="D151" s="386">
        <f>'C.2.2 B 09'!P98</f>
        <v>58954.974529856161</v>
      </c>
    </row>
    <row r="152" spans="1:4" ht="15.75" customHeight="1">
      <c r="A152" s="246">
        <f t="shared" si="2"/>
        <v>139</v>
      </c>
      <c r="B152" s="438">
        <v>9130</v>
      </c>
      <c r="C152" s="252" t="s">
        <v>844</v>
      </c>
      <c r="D152" s="386">
        <f>'C.2.2 B 09'!P99</f>
        <v>47524.574822683928</v>
      </c>
    </row>
    <row r="153" spans="1:4" ht="15.75" customHeight="1">
      <c r="A153" s="246">
        <f t="shared" si="2"/>
        <v>140</v>
      </c>
      <c r="B153" s="438">
        <v>9160</v>
      </c>
      <c r="C153" s="252" t="s">
        <v>829</v>
      </c>
      <c r="D153" s="306">
        <v>0</v>
      </c>
    </row>
    <row r="154" spans="1:4" ht="15.75" customHeight="1">
      <c r="A154" s="246">
        <f t="shared" si="2"/>
        <v>141</v>
      </c>
      <c r="B154" s="246"/>
      <c r="C154" s="258" t="s">
        <v>1096</v>
      </c>
      <c r="D154" s="299">
        <f>SUM(D150:D153)</f>
        <v>323515.5802244044</v>
      </c>
    </row>
    <row r="155" spans="1:4" ht="15.75" customHeight="1">
      <c r="A155" s="246">
        <f t="shared" si="2"/>
        <v>142</v>
      </c>
      <c r="B155" s="439"/>
      <c r="D155" s="385"/>
    </row>
    <row r="156" spans="1:4" ht="15.75" customHeight="1">
      <c r="A156" s="246">
        <f t="shared" si="2"/>
        <v>143</v>
      </c>
      <c r="B156" s="246"/>
      <c r="C156" s="257" t="s">
        <v>1097</v>
      </c>
      <c r="D156" s="385"/>
    </row>
    <row r="157" spans="1:4" ht="15.75" customHeight="1">
      <c r="A157" s="246">
        <f t="shared" si="2"/>
        <v>144</v>
      </c>
      <c r="B157" s="438">
        <v>9200</v>
      </c>
      <c r="C157" s="252" t="s">
        <v>754</v>
      </c>
      <c r="D157" s="417">
        <f>'C.2.2 B 09'!P100</f>
        <v>180273.90253351486</v>
      </c>
    </row>
    <row r="158" spans="1:4" ht="15.75" customHeight="1">
      <c r="A158" s="246">
        <f t="shared" si="2"/>
        <v>145</v>
      </c>
      <c r="B158" s="438">
        <v>9210</v>
      </c>
      <c r="C158" s="252" t="s">
        <v>755</v>
      </c>
      <c r="D158" s="386">
        <f>'C.2.2 B 09'!P101</f>
        <v>8473.4698661444381</v>
      </c>
    </row>
    <row r="159" spans="1:4" ht="15.75" customHeight="1">
      <c r="A159" s="246">
        <f t="shared" si="2"/>
        <v>146</v>
      </c>
      <c r="B159" s="438">
        <v>9220</v>
      </c>
      <c r="C159" s="252" t="s">
        <v>756</v>
      </c>
      <c r="D159" s="386">
        <f>'C.2.2 B 09'!P102</f>
        <v>15178190.516582308</v>
      </c>
    </row>
    <row r="160" spans="1:4" ht="15.75" customHeight="1">
      <c r="A160" s="246">
        <f t="shared" si="2"/>
        <v>147</v>
      </c>
      <c r="B160" s="438">
        <v>9230</v>
      </c>
      <c r="C160" s="252" t="s">
        <v>757</v>
      </c>
      <c r="D160" s="386">
        <f>'C.2.2 B 09'!P103</f>
        <v>257301.81802105528</v>
      </c>
    </row>
    <row r="161" spans="1:7" ht="15.75" customHeight="1">
      <c r="A161" s="246">
        <f t="shared" si="2"/>
        <v>148</v>
      </c>
      <c r="B161" s="438">
        <v>9240</v>
      </c>
      <c r="C161" s="252" t="s">
        <v>307</v>
      </c>
      <c r="D161" s="386">
        <f>'C.2.2 B 09'!P104</f>
        <v>72573.430469133324</v>
      </c>
    </row>
    <row r="162" spans="1:7" ht="15.75" customHeight="1">
      <c r="A162" s="246">
        <f t="shared" si="2"/>
        <v>149</v>
      </c>
      <c r="B162" s="438">
        <v>9250</v>
      </c>
      <c r="C162" s="252" t="s">
        <v>758</v>
      </c>
      <c r="D162" s="386">
        <f>'C.2.2 B 09'!P105</f>
        <v>65994.044220792654</v>
      </c>
    </row>
    <row r="163" spans="1:7" ht="15.75" customHeight="1">
      <c r="A163" s="246">
        <f t="shared" si="2"/>
        <v>150</v>
      </c>
      <c r="B163" s="438">
        <v>9260</v>
      </c>
      <c r="C163" s="252" t="s">
        <v>760</v>
      </c>
      <c r="D163" s="386">
        <f>'C.2.2 B 09'!P106</f>
        <v>1904418.8557737505</v>
      </c>
    </row>
    <row r="164" spans="1:7" ht="15.75" customHeight="1">
      <c r="A164" s="246">
        <f t="shared" si="2"/>
        <v>151</v>
      </c>
      <c r="B164" s="438">
        <v>9270</v>
      </c>
      <c r="C164" s="252" t="s">
        <v>308</v>
      </c>
      <c r="D164" s="386">
        <f>'C.2.2 B 09'!P107</f>
        <v>1091.1456125372256</v>
      </c>
    </row>
    <row r="165" spans="1:7" ht="15.75" customHeight="1">
      <c r="A165" s="246">
        <f t="shared" si="2"/>
        <v>152</v>
      </c>
      <c r="B165" s="438">
        <v>9280</v>
      </c>
      <c r="C165" s="252" t="s">
        <v>761</v>
      </c>
      <c r="D165" s="386">
        <f>'C.2.2 B 09'!P108</f>
        <v>158729.09349454116</v>
      </c>
    </row>
    <row r="166" spans="1:7" ht="15.75" customHeight="1">
      <c r="A166" s="246">
        <f t="shared" si="2"/>
        <v>153</v>
      </c>
      <c r="B166" s="444">
        <v>930.2</v>
      </c>
      <c r="C166" s="252" t="s">
        <v>309</v>
      </c>
      <c r="D166" s="386">
        <f>'C.2.2 B 09'!P109</f>
        <v>95809.425457897407</v>
      </c>
    </row>
    <row r="167" spans="1:7" ht="15.75" customHeight="1">
      <c r="A167" s="246">
        <f t="shared" si="2"/>
        <v>154</v>
      </c>
      <c r="B167" s="438">
        <v>9310</v>
      </c>
      <c r="C167" s="252" t="s">
        <v>183</v>
      </c>
      <c r="D167" s="416">
        <f>'C.2.2 B 09'!P110</f>
        <v>1559.5329237729823</v>
      </c>
    </row>
    <row r="168" spans="1:7" ht="15.75" customHeight="1">
      <c r="A168" s="246">
        <f t="shared" si="2"/>
        <v>155</v>
      </c>
      <c r="B168" s="246"/>
      <c r="C168" s="258" t="s">
        <v>753</v>
      </c>
      <c r="D168" s="299">
        <f>SUM(D157:D167)</f>
        <v>17924415.234955449</v>
      </c>
    </row>
    <row r="169" spans="1:7" ht="15.75" customHeight="1">
      <c r="A169" s="246">
        <f t="shared" si="2"/>
        <v>156</v>
      </c>
      <c r="B169" s="246"/>
      <c r="C169" s="250"/>
      <c r="D169" s="385"/>
    </row>
    <row r="170" spans="1:7" ht="15.75" customHeight="1">
      <c r="A170" s="246">
        <f t="shared" si="2"/>
        <v>157</v>
      </c>
      <c r="B170" s="246"/>
      <c r="C170" s="257" t="s">
        <v>764</v>
      </c>
      <c r="D170" s="385"/>
    </row>
    <row r="171" spans="1:7" ht="15.75" customHeight="1">
      <c r="A171" s="246">
        <f t="shared" si="2"/>
        <v>158</v>
      </c>
      <c r="B171" s="438">
        <v>9320</v>
      </c>
      <c r="C171" s="252" t="s">
        <v>850</v>
      </c>
      <c r="D171" s="416">
        <f>'C.2.2 B 09'!P111</f>
        <v>0</v>
      </c>
    </row>
    <row r="172" spans="1:7" ht="15.75" customHeight="1">
      <c r="A172" s="246">
        <f t="shared" si="2"/>
        <v>159</v>
      </c>
      <c r="B172" s="246"/>
      <c r="C172" s="258" t="s">
        <v>726</v>
      </c>
      <c r="D172" s="1119">
        <f>SUM(D171:D171)</f>
        <v>0</v>
      </c>
    </row>
    <row r="173" spans="1:7" ht="15.75" customHeight="1">
      <c r="A173" s="246">
        <f t="shared" si="2"/>
        <v>160</v>
      </c>
      <c r="B173" s="439"/>
      <c r="D173" s="339"/>
    </row>
    <row r="174" spans="1:7" ht="15.75" customHeight="1">
      <c r="A174" s="246">
        <f t="shared" si="2"/>
        <v>161</v>
      </c>
      <c r="B174" s="246"/>
      <c r="C174" s="251" t="s">
        <v>327</v>
      </c>
      <c r="D174" s="1120">
        <f>+D39+D43+D55+D65+D75+D83+D105+D120+D133+D140+D147+D154+D168+D172</f>
        <v>101595525.13166903</v>
      </c>
      <c r="F174" s="56">
        <f>'C.2.2 B 09'!P119</f>
        <v>101595525.13166906</v>
      </c>
      <c r="G174" s="88">
        <f>D174-F174</f>
        <v>0</v>
      </c>
    </row>
    <row r="175" spans="1:7" ht="15.75" customHeight="1">
      <c r="A175" s="246">
        <f t="shared" si="2"/>
        <v>162</v>
      </c>
      <c r="B175" s="439"/>
      <c r="D175" s="339"/>
    </row>
    <row r="176" spans="1:7" ht="15.75" customHeight="1">
      <c r="A176" s="246">
        <f t="shared" si="2"/>
        <v>163</v>
      </c>
      <c r="B176" s="246">
        <v>403</v>
      </c>
      <c r="C176" s="247" t="s">
        <v>1545</v>
      </c>
      <c r="D176" s="1119">
        <f>SUM('C.2.2 B 09'!P14)</f>
        <v>19295728.648829721</v>
      </c>
    </row>
    <row r="177" spans="1:7" ht="15.75" customHeight="1">
      <c r="A177" s="246">
        <f t="shared" si="2"/>
        <v>164</v>
      </c>
      <c r="B177" s="246">
        <v>406</v>
      </c>
      <c r="C177" s="247" t="s">
        <v>1544</v>
      </c>
      <c r="D177" s="1119">
        <f>'C.2.2 B 09'!P15</f>
        <v>49748.75999999998</v>
      </c>
    </row>
    <row r="178" spans="1:7" ht="15.75" customHeight="1">
      <c r="A178" s="246">
        <f t="shared" si="2"/>
        <v>165</v>
      </c>
      <c r="B178" s="438">
        <v>4081</v>
      </c>
      <c r="C178" s="247" t="s">
        <v>665</v>
      </c>
      <c r="D178" s="386">
        <f>'C.2.2 B 09'!P16</f>
        <v>9749303.3507630825</v>
      </c>
    </row>
    <row r="179" spans="1:7" ht="15.75" customHeight="1">
      <c r="A179" s="246">
        <f t="shared" si="2"/>
        <v>166</v>
      </c>
      <c r="B179" s="438" t="s">
        <v>727</v>
      </c>
      <c r="C179" s="247" t="s">
        <v>663</v>
      </c>
      <c r="D179" s="306">
        <f>+E!E23</f>
        <v>6502637.9678139454</v>
      </c>
      <c r="F179" s="482"/>
      <c r="G179" s="482"/>
    </row>
    <row r="180" spans="1:7" ht="15.75" customHeight="1">
      <c r="A180" s="246">
        <f t="shared" si="2"/>
        <v>167</v>
      </c>
      <c r="B180" s="439"/>
      <c r="D180" s="339"/>
    </row>
    <row r="181" spans="1:7" ht="15.75" customHeight="1">
      <c r="A181" s="246">
        <f t="shared" si="2"/>
        <v>168</v>
      </c>
      <c r="B181" s="253"/>
      <c r="C181" s="247" t="s">
        <v>331</v>
      </c>
      <c r="D181" s="416">
        <f>+D174+SUM(D176:D179)</f>
        <v>137192943.85907578</v>
      </c>
    </row>
    <row r="182" spans="1:7" ht="15.75" customHeight="1">
      <c r="A182" s="246">
        <f t="shared" si="2"/>
        <v>169</v>
      </c>
      <c r="B182" s="254"/>
      <c r="D182" s="339"/>
    </row>
    <row r="183" spans="1:7" ht="15.75" customHeight="1" thickBot="1">
      <c r="A183" s="246">
        <f t="shared" si="2"/>
        <v>170</v>
      </c>
      <c r="B183" s="253"/>
      <c r="C183" s="247" t="s">
        <v>332</v>
      </c>
      <c r="D183" s="1121">
        <f>D33-D181</f>
        <v>29161761.807838351</v>
      </c>
    </row>
    <row r="184" spans="1:7" ht="15.75" customHeight="1" thickTop="1">
      <c r="B184" s="261"/>
    </row>
    <row r="185" spans="1:7" ht="15.75" customHeight="1">
      <c r="A185" s="250"/>
      <c r="B185" s="261"/>
    </row>
    <row r="186" spans="1:7" ht="15.75" customHeight="1">
      <c r="B186" s="261"/>
    </row>
    <row r="187" spans="1:7" ht="15.75" customHeight="1">
      <c r="B187" s="261"/>
    </row>
    <row r="188" spans="1:7" ht="15.75" customHeight="1">
      <c r="B188" s="261"/>
    </row>
    <row r="189" spans="1:7" ht="15.75" customHeight="1">
      <c r="B189" s="261"/>
    </row>
    <row r="190" spans="1:7" ht="15.75" customHeight="1">
      <c r="B190" s="261"/>
    </row>
    <row r="191" spans="1:7" ht="15.75" customHeight="1">
      <c r="B191" s="261"/>
    </row>
    <row r="192" spans="1:7" ht="15.75" customHeight="1">
      <c r="B192" s="261"/>
    </row>
    <row r="193" spans="2:2" ht="15.75" customHeight="1">
      <c r="B193" s="254"/>
    </row>
    <row r="194" spans="2:2" ht="15.75" customHeight="1">
      <c r="B194" s="254"/>
    </row>
    <row r="195" spans="2:2" ht="15.75" customHeight="1">
      <c r="B195" s="254"/>
    </row>
    <row r="196" spans="2:2" ht="15.75" customHeight="1">
      <c r="B196" s="254"/>
    </row>
    <row r="197" spans="2:2" ht="15.75" customHeight="1">
      <c r="B197" s="254"/>
    </row>
  </sheetData>
  <mergeCells count="4">
    <mergeCell ref="A1:D1"/>
    <mergeCell ref="A2:D2"/>
    <mergeCell ref="A3:D3"/>
    <mergeCell ref="A4:D4"/>
  </mergeCells>
  <phoneticPr fontId="21" type="noConversion"/>
  <printOptions horizontalCentered="1"/>
  <pageMargins left="0.84" right="0.67" top="0.62" bottom="1.04" header="0.5" footer="0.5"/>
  <pageSetup scale="81" fitToHeight="15" orientation="portrait" verticalDpi="300" r:id="rId1"/>
  <headerFooter alignWithMargins="0">
    <oddFooter>&amp;RSchedule &amp;A
Page &amp;P of &amp;N</oddFooter>
  </headerFooter>
  <rowBreaks count="4" manualBreakCount="4">
    <brk id="42" max="3" man="1"/>
    <brk id="83" max="3" man="1"/>
    <brk id="120" max="3" man="1"/>
    <brk id="154" max="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94"/>
  <dimension ref="A1:J188"/>
  <sheetViews>
    <sheetView view="pageBreakPreview" topLeftCell="A106" zoomScale="80" zoomScaleNormal="100" zoomScaleSheetLayoutView="80" workbookViewId="0">
      <selection sqref="A1:D1"/>
    </sheetView>
  </sheetViews>
  <sheetFormatPr defaultColWidth="8.44140625" defaultRowHeight="15"/>
  <cols>
    <col min="1" max="1" width="4.77734375" style="36" customWidth="1"/>
    <col min="2" max="2" width="11.88671875" style="36" customWidth="1"/>
    <col min="3" max="3" width="45.77734375" style="36" customWidth="1"/>
    <col min="4" max="4" width="13.109375" style="36" customWidth="1"/>
    <col min="5" max="5" width="3.77734375" style="36" customWidth="1"/>
    <col min="6" max="6" width="14" style="36" customWidth="1"/>
    <col min="7" max="7" width="11.109375" style="36" customWidth="1"/>
    <col min="8" max="8" width="10.88671875" style="36" customWidth="1"/>
    <col min="9" max="16384" width="8.44140625" style="36"/>
  </cols>
  <sheetData>
    <row r="1" spans="1:8" s="1" customFormat="1">
      <c r="A1" s="1282" t="str">
        <f>'Table of Contents'!A1:C1</f>
        <v>Atmos Energy Corporation, Kentucky/Mid-States Division</v>
      </c>
      <c r="B1" s="1282"/>
      <c r="C1" s="1282"/>
      <c r="D1" s="1282"/>
      <c r="E1" s="480"/>
    </row>
    <row r="2" spans="1:8" s="1" customFormat="1">
      <c r="A2" s="1282" t="str">
        <f>'Table of Contents'!A2:C2</f>
        <v>Kentucky Jurisdiction Case No. 2021-00214</v>
      </c>
      <c r="B2" s="1282"/>
      <c r="C2" s="1282"/>
      <c r="D2" s="1282"/>
      <c r="E2" s="480"/>
    </row>
    <row r="3" spans="1:8" s="1" customFormat="1">
      <c r="A3" s="1283" t="s">
        <v>283</v>
      </c>
      <c r="B3" s="1283"/>
      <c r="C3" s="1283"/>
      <c r="D3" s="1283"/>
      <c r="E3" s="480"/>
    </row>
    <row r="4" spans="1:8">
      <c r="A4" s="1282" t="str">
        <f>'Table of Contents'!A4:C4</f>
        <v>Forecasted Test Period: Twelve Months Ended December 31, 2022</v>
      </c>
      <c r="B4" s="1282"/>
      <c r="C4" s="1282"/>
      <c r="D4" s="1282"/>
      <c r="E4" s="480"/>
    </row>
    <row r="5" spans="1:8">
      <c r="A5" s="164"/>
      <c r="B5" s="164"/>
      <c r="C5" s="26"/>
      <c r="D5" s="26"/>
      <c r="E5" s="26"/>
    </row>
    <row r="6" spans="1:8">
      <c r="A6" s="159" t="s">
        <v>1048</v>
      </c>
      <c r="D6" s="418" t="s">
        <v>1372</v>
      </c>
      <c r="E6" s="418"/>
    </row>
    <row r="7" spans="1:8">
      <c r="A7" s="82" t="str">
        <f>'C.2.1 B'!A7</f>
        <v>Type of Filing:___X____Original________Updated ________Revised</v>
      </c>
      <c r="D7" s="419" t="s">
        <v>706</v>
      </c>
      <c r="E7" s="419"/>
    </row>
    <row r="8" spans="1:8">
      <c r="A8" s="176" t="s">
        <v>363</v>
      </c>
      <c r="B8" s="168"/>
      <c r="C8" s="168"/>
      <c r="D8" s="1122" t="str">
        <f>'C.1'!J9</f>
        <v>Witness: Christian, Densman</v>
      </c>
      <c r="E8" s="483"/>
    </row>
    <row r="9" spans="1:8">
      <c r="D9" s="179"/>
      <c r="E9" s="179"/>
    </row>
    <row r="10" spans="1:8">
      <c r="A10" s="178" t="s">
        <v>92</v>
      </c>
      <c r="B10" s="179" t="s">
        <v>336</v>
      </c>
      <c r="C10" s="178" t="s">
        <v>336</v>
      </c>
      <c r="D10" s="179" t="s">
        <v>973</v>
      </c>
      <c r="E10" s="179"/>
    </row>
    <row r="11" spans="1:8">
      <c r="A11" s="180" t="s">
        <v>98</v>
      </c>
      <c r="B11" s="225" t="s">
        <v>1258</v>
      </c>
      <c r="C11" s="180" t="s">
        <v>216</v>
      </c>
      <c r="D11" s="225" t="s">
        <v>312</v>
      </c>
      <c r="E11" s="484"/>
    </row>
    <row r="12" spans="1:8">
      <c r="D12" s="179" t="s">
        <v>1076</v>
      </c>
      <c r="E12" s="179"/>
    </row>
    <row r="13" spans="1:8">
      <c r="A13" s="179">
        <v>1</v>
      </c>
      <c r="B13" s="192"/>
      <c r="C13" s="37" t="s">
        <v>64</v>
      </c>
    </row>
    <row r="14" spans="1:8">
      <c r="A14" s="1123">
        <f>A13+1</f>
        <v>2</v>
      </c>
      <c r="B14" s="179"/>
      <c r="C14" s="37" t="s">
        <v>134</v>
      </c>
      <c r="G14" s="169"/>
      <c r="H14" s="468"/>
    </row>
    <row r="15" spans="1:8">
      <c r="A15" s="1123">
        <f t="shared" ref="A15:A81" si="0">A14+1</f>
        <v>3</v>
      </c>
      <c r="B15" s="445">
        <v>4800</v>
      </c>
      <c r="C15" s="262" t="s">
        <v>129</v>
      </c>
      <c r="D15" s="420">
        <f>-'C.2.2-F 09'!P17</f>
        <v>100196511.94965912</v>
      </c>
      <c r="E15" s="420"/>
      <c r="G15" s="169"/>
      <c r="H15" s="169"/>
    </row>
    <row r="16" spans="1:8">
      <c r="A16" s="1123">
        <f t="shared" si="0"/>
        <v>4</v>
      </c>
      <c r="B16" s="445">
        <v>4811</v>
      </c>
      <c r="C16" s="262" t="s">
        <v>130</v>
      </c>
      <c r="D16" s="323">
        <f>-'C.2.2-F 09'!P19</f>
        <v>42523546.818897888</v>
      </c>
      <c r="E16" s="313"/>
      <c r="G16" s="169"/>
      <c r="H16" s="169"/>
    </row>
    <row r="17" spans="1:8">
      <c r="A17" s="1123">
        <f t="shared" si="0"/>
        <v>5</v>
      </c>
      <c r="B17" s="445">
        <v>4812</v>
      </c>
      <c r="C17" s="262" t="s">
        <v>131</v>
      </c>
      <c r="D17" s="323">
        <f>-'C.2.2-F 09'!P20</f>
        <v>4941524.9316062424</v>
      </c>
      <c r="E17" s="313"/>
      <c r="F17" s="477"/>
      <c r="G17" s="581"/>
      <c r="H17" s="169"/>
    </row>
    <row r="18" spans="1:8">
      <c r="A18" s="1123">
        <f t="shared" si="0"/>
        <v>6</v>
      </c>
      <c r="B18" s="445">
        <v>4820</v>
      </c>
      <c r="C18" s="262" t="s">
        <v>771</v>
      </c>
      <c r="D18" s="354">
        <f>-'C.2.2-F 09'!P23</f>
        <v>6412852.0600300189</v>
      </c>
      <c r="E18" s="313"/>
      <c r="F18" s="477"/>
      <c r="G18" s="581"/>
      <c r="H18" s="169"/>
    </row>
    <row r="19" spans="1:8">
      <c r="A19" s="1123">
        <f t="shared" si="0"/>
        <v>7</v>
      </c>
      <c r="B19" s="179"/>
      <c r="C19" s="178" t="s">
        <v>1136</v>
      </c>
      <c r="D19" s="275">
        <f>SUM(D15:D18)</f>
        <v>154074435.76019326</v>
      </c>
      <c r="E19" s="275"/>
      <c r="F19" s="477"/>
      <c r="G19" s="581"/>
      <c r="H19" s="169"/>
    </row>
    <row r="20" spans="1:8">
      <c r="A20" s="1123">
        <f t="shared" si="0"/>
        <v>8</v>
      </c>
      <c r="B20" s="70"/>
      <c r="D20" s="172"/>
      <c r="E20" s="172"/>
      <c r="F20" s="477"/>
      <c r="G20" s="581"/>
      <c r="H20" s="169"/>
    </row>
    <row r="21" spans="1:8">
      <c r="A21" s="1123">
        <f t="shared" si="0"/>
        <v>9</v>
      </c>
      <c r="B21" s="70"/>
      <c r="C21" s="37" t="s">
        <v>63</v>
      </c>
      <c r="D21" s="230"/>
      <c r="E21" s="230"/>
      <c r="F21" s="477"/>
      <c r="G21" s="581"/>
      <c r="H21" s="169"/>
    </row>
    <row r="22" spans="1:8">
      <c r="A22" s="1123">
        <f t="shared" si="0"/>
        <v>10</v>
      </c>
      <c r="B22" s="445">
        <v>4870</v>
      </c>
      <c r="C22" s="262" t="s">
        <v>1000</v>
      </c>
      <c r="D22" s="420">
        <f>-'C.2.2-F 09'!P25</f>
        <v>1300280.0711960639</v>
      </c>
      <c r="E22" s="420"/>
      <c r="F22" s="477"/>
      <c r="G22" s="581"/>
      <c r="H22" s="169"/>
    </row>
    <row r="23" spans="1:8">
      <c r="A23" s="1123">
        <f t="shared" si="0"/>
        <v>11</v>
      </c>
      <c r="B23" s="445">
        <v>4880</v>
      </c>
      <c r="C23" s="262" t="s">
        <v>1001</v>
      </c>
      <c r="D23" s="323">
        <f>-'C.2.2-F 09'!P26</f>
        <v>234286</v>
      </c>
      <c r="E23" s="313"/>
      <c r="F23" s="477"/>
      <c r="G23" s="581"/>
      <c r="H23" s="169"/>
    </row>
    <row r="24" spans="1:8">
      <c r="A24" s="1123">
        <f t="shared" si="0"/>
        <v>12</v>
      </c>
      <c r="B24" s="446" t="s">
        <v>1194</v>
      </c>
      <c r="C24" s="264" t="s">
        <v>62</v>
      </c>
      <c r="D24" s="323">
        <f>-'C.2.2-F 09'!P27</f>
        <v>15144509.466240136</v>
      </c>
      <c r="E24" s="313"/>
      <c r="F24" s="477"/>
      <c r="G24" s="477"/>
      <c r="H24" s="169"/>
    </row>
    <row r="25" spans="1:8">
      <c r="A25" s="1123">
        <f t="shared" si="0"/>
        <v>13</v>
      </c>
      <c r="B25" s="445">
        <v>4950</v>
      </c>
      <c r="C25" s="262" t="s">
        <v>657</v>
      </c>
      <c r="D25" s="323">
        <f>-'C.2.2-F 09'!P28</f>
        <v>2713411.6520399996</v>
      </c>
      <c r="E25" s="313"/>
      <c r="F25" s="477"/>
      <c r="G25" s="477"/>
      <c r="H25" s="169"/>
    </row>
    <row r="26" spans="1:8">
      <c r="A26" s="1123">
        <f t="shared" si="0"/>
        <v>14</v>
      </c>
      <c r="B26" s="70"/>
      <c r="C26" s="178" t="s">
        <v>1137</v>
      </c>
      <c r="D26" s="1124">
        <f>SUM(D22:D25)</f>
        <v>19392487.189476199</v>
      </c>
      <c r="E26" s="275"/>
      <c r="F26" s="477"/>
      <c r="G26" s="581"/>
      <c r="H26" s="169"/>
    </row>
    <row r="27" spans="1:8">
      <c r="A27" s="1123">
        <f t="shared" si="0"/>
        <v>15</v>
      </c>
      <c r="B27" s="70"/>
      <c r="D27" s="230"/>
      <c r="E27" s="230"/>
      <c r="F27" s="477"/>
      <c r="G27" s="477"/>
      <c r="H27" s="169"/>
    </row>
    <row r="28" spans="1:8">
      <c r="A28" s="1123">
        <f t="shared" si="0"/>
        <v>16</v>
      </c>
      <c r="B28" s="179"/>
      <c r="C28" s="178" t="s">
        <v>65</v>
      </c>
      <c r="D28" s="274">
        <f>D26+D19</f>
        <v>173466922.94966945</v>
      </c>
      <c r="E28" s="274"/>
      <c r="F28" s="477"/>
      <c r="G28" s="581"/>
      <c r="H28" s="169"/>
    </row>
    <row r="29" spans="1:8">
      <c r="A29" s="1123">
        <f t="shared" si="0"/>
        <v>17</v>
      </c>
      <c r="B29" s="70"/>
      <c r="D29" s="230"/>
      <c r="E29" s="230"/>
    </row>
    <row r="30" spans="1:8">
      <c r="A30" s="1123">
        <f t="shared" si="0"/>
        <v>18</v>
      </c>
      <c r="B30" s="70"/>
      <c r="C30" s="37" t="s">
        <v>300</v>
      </c>
      <c r="D30" s="230"/>
      <c r="E30" s="230"/>
    </row>
    <row r="31" spans="1:8">
      <c r="A31" s="1123">
        <f t="shared" si="0"/>
        <v>19</v>
      </c>
      <c r="B31" s="70"/>
      <c r="C31" s="265" t="s">
        <v>656</v>
      </c>
      <c r="D31" s="172"/>
      <c r="E31" s="172"/>
    </row>
    <row r="32" spans="1:8">
      <c r="A32" s="1123">
        <f t="shared" si="0"/>
        <v>20</v>
      </c>
      <c r="B32" s="447">
        <v>7560</v>
      </c>
      <c r="C32" s="262" t="s">
        <v>324</v>
      </c>
      <c r="D32" s="323">
        <f>'C.2.2-F 09'!P30</f>
        <v>0</v>
      </c>
      <c r="E32" s="313"/>
    </row>
    <row r="33" spans="1:10">
      <c r="A33" s="1123">
        <f t="shared" si="0"/>
        <v>21</v>
      </c>
      <c r="B33" s="441">
        <v>7590</v>
      </c>
      <c r="C33" s="252" t="s">
        <v>1299</v>
      </c>
      <c r="D33" s="84">
        <f>'C.2.2-F 09'!P31</f>
        <v>0</v>
      </c>
      <c r="E33" s="313"/>
    </row>
    <row r="34" spans="1:10">
      <c r="A34" s="1123">
        <f t="shared" si="0"/>
        <v>22</v>
      </c>
      <c r="B34" s="70"/>
      <c r="C34" s="232" t="s">
        <v>432</v>
      </c>
      <c r="D34" s="1124">
        <f>SUM(D32:D33)</f>
        <v>0</v>
      </c>
      <c r="E34" s="275"/>
      <c r="F34" s="477"/>
      <c r="G34" s="581"/>
    </row>
    <row r="35" spans="1:10">
      <c r="A35" s="1123">
        <f t="shared" si="0"/>
        <v>23</v>
      </c>
      <c r="B35" s="70"/>
      <c r="C35" s="159"/>
      <c r="D35" s="276"/>
      <c r="E35" s="276"/>
    </row>
    <row r="36" spans="1:10">
      <c r="A36" s="1123">
        <f t="shared" si="0"/>
        <v>24</v>
      </c>
      <c r="B36" s="70"/>
      <c r="C36" s="265" t="s">
        <v>1120</v>
      </c>
      <c r="D36" s="276"/>
      <c r="E36" s="276"/>
    </row>
    <row r="37" spans="1:10">
      <c r="A37" s="1123">
        <f t="shared" si="0"/>
        <v>25</v>
      </c>
      <c r="B37" s="447">
        <v>7610</v>
      </c>
      <c r="C37" s="262" t="s">
        <v>1122</v>
      </c>
      <c r="D37" s="421">
        <v>0</v>
      </c>
      <c r="E37" s="420"/>
    </row>
    <row r="38" spans="1:10">
      <c r="A38" s="1123">
        <f t="shared" si="0"/>
        <v>26</v>
      </c>
      <c r="B38" s="70"/>
      <c r="C38" s="159"/>
      <c r="D38" s="275">
        <f>SUM(D37)</f>
        <v>0</v>
      </c>
      <c r="E38" s="275"/>
    </row>
    <row r="39" spans="1:10">
      <c r="A39" s="1123">
        <f t="shared" si="0"/>
        <v>27</v>
      </c>
      <c r="B39" s="70"/>
      <c r="C39" s="265" t="s">
        <v>1012</v>
      </c>
      <c r="D39" s="172"/>
      <c r="E39" s="172"/>
    </row>
    <row r="40" spans="1:10">
      <c r="A40" s="1123">
        <f t="shared" si="0"/>
        <v>28</v>
      </c>
      <c r="B40" s="447">
        <v>8140</v>
      </c>
      <c r="C40" s="262" t="s">
        <v>666</v>
      </c>
      <c r="D40" s="420">
        <f>'C.2.2-F 09'!P47</f>
        <v>652.79921909830932</v>
      </c>
      <c r="E40" s="420"/>
      <c r="J40" s="566"/>
    </row>
    <row r="41" spans="1:10">
      <c r="A41" s="1123">
        <f t="shared" si="0"/>
        <v>29</v>
      </c>
      <c r="B41" s="447">
        <v>8150</v>
      </c>
      <c r="C41" s="262" t="s">
        <v>292</v>
      </c>
      <c r="D41" s="313">
        <v>0</v>
      </c>
      <c r="E41" s="171"/>
    </row>
    <row r="42" spans="1:10">
      <c r="A42" s="1123">
        <f t="shared" si="0"/>
        <v>30</v>
      </c>
      <c r="B42" s="447">
        <v>8160</v>
      </c>
      <c r="C42" s="262" t="s">
        <v>503</v>
      </c>
      <c r="D42" s="323">
        <f>'C.2.2-F 09'!P48</f>
        <v>370315.18686183688</v>
      </c>
      <c r="E42" s="171"/>
      <c r="J42" s="566"/>
    </row>
    <row r="43" spans="1:10">
      <c r="A43" s="1123">
        <f t="shared" si="0"/>
        <v>31</v>
      </c>
      <c r="B43" s="447">
        <v>8170</v>
      </c>
      <c r="C43" s="262" t="s">
        <v>504</v>
      </c>
      <c r="D43" s="323">
        <f>'C.2.2-F 09'!P49</f>
        <v>41264.586367829099</v>
      </c>
      <c r="E43" s="171"/>
      <c r="J43" s="566"/>
    </row>
    <row r="44" spans="1:10">
      <c r="A44" s="1123">
        <f t="shared" si="0"/>
        <v>32</v>
      </c>
      <c r="B44" s="447">
        <v>8180</v>
      </c>
      <c r="C44" s="262" t="s">
        <v>143</v>
      </c>
      <c r="D44" s="323">
        <f>'C.2.2-F 09'!P50</f>
        <v>52179.845305503506</v>
      </c>
      <c r="E44" s="171"/>
      <c r="J44" s="566"/>
    </row>
    <row r="45" spans="1:10">
      <c r="A45" s="1123">
        <f t="shared" si="0"/>
        <v>33</v>
      </c>
      <c r="B45" s="448">
        <v>8190</v>
      </c>
      <c r="C45" s="217" t="s">
        <v>144</v>
      </c>
      <c r="D45" s="323">
        <f>'C.2.2-F 09'!P51</f>
        <v>990.76244810870355</v>
      </c>
      <c r="E45" s="171"/>
      <c r="J45" s="566"/>
    </row>
    <row r="46" spans="1:10">
      <c r="A46" s="1123">
        <f t="shared" si="0"/>
        <v>34</v>
      </c>
      <c r="B46" s="448">
        <v>8200</v>
      </c>
      <c r="C46" s="217" t="s">
        <v>471</v>
      </c>
      <c r="D46" s="323">
        <f>'C.2.2-F 09'!P52</f>
        <v>7977.3665063499329</v>
      </c>
      <c r="E46" s="171"/>
      <c r="J46" s="566"/>
    </row>
    <row r="47" spans="1:10">
      <c r="A47" s="1123">
        <f t="shared" si="0"/>
        <v>35</v>
      </c>
      <c r="B47" s="448">
        <v>8210</v>
      </c>
      <c r="C47" s="217" t="s">
        <v>472</v>
      </c>
      <c r="D47" s="323">
        <f>'C.2.2-F 09'!P53</f>
        <v>39793.666272044764</v>
      </c>
      <c r="E47" s="171"/>
      <c r="J47" s="566"/>
    </row>
    <row r="48" spans="1:10">
      <c r="A48" s="1123">
        <f t="shared" si="0"/>
        <v>36</v>
      </c>
      <c r="B48" s="448">
        <v>8240</v>
      </c>
      <c r="C48" s="217" t="s">
        <v>579</v>
      </c>
      <c r="D48" s="323">
        <f>'C.2.2-F 09'!P54</f>
        <v>0</v>
      </c>
      <c r="E48" s="171"/>
      <c r="J48" s="566"/>
    </row>
    <row r="49" spans="1:10">
      <c r="A49" s="1123">
        <f t="shared" si="0"/>
        <v>37</v>
      </c>
      <c r="B49" s="448">
        <v>8250</v>
      </c>
      <c r="C49" s="217" t="s">
        <v>632</v>
      </c>
      <c r="D49" s="323">
        <f>'C.2.2-F 09'!P55</f>
        <v>9209.3257488211148</v>
      </c>
      <c r="E49" s="171"/>
      <c r="J49" s="566"/>
    </row>
    <row r="50" spans="1:10">
      <c r="A50" s="1123">
        <f t="shared" si="0"/>
        <v>38</v>
      </c>
      <c r="B50" s="70"/>
      <c r="C50" s="232" t="s">
        <v>1013</v>
      </c>
      <c r="D50" s="1124">
        <f>SUM(D40:D49)</f>
        <v>522383.53872959234</v>
      </c>
      <c r="E50" s="275"/>
      <c r="F50" s="477"/>
      <c r="G50" s="581"/>
    </row>
    <row r="51" spans="1:10">
      <c r="A51" s="1123">
        <f t="shared" si="0"/>
        <v>39</v>
      </c>
      <c r="B51" s="70"/>
      <c r="C51" s="159"/>
      <c r="D51" s="195"/>
      <c r="E51" s="195"/>
    </row>
    <row r="52" spans="1:10">
      <c r="A52" s="1123">
        <f t="shared" si="0"/>
        <v>40</v>
      </c>
      <c r="B52" s="70"/>
      <c r="C52" s="265" t="s">
        <v>999</v>
      </c>
      <c r="D52" s="195"/>
      <c r="E52" s="195"/>
    </row>
    <row r="53" spans="1:10">
      <c r="A53" s="1123">
        <f t="shared" si="0"/>
        <v>41</v>
      </c>
      <c r="B53" s="448">
        <v>8310</v>
      </c>
      <c r="C53" s="217" t="s">
        <v>633</v>
      </c>
      <c r="D53" s="420">
        <f>'C.2.2-F 09'!P56</f>
        <v>554.20453105239903</v>
      </c>
      <c r="E53" s="420"/>
      <c r="J53" s="566"/>
    </row>
    <row r="54" spans="1:10">
      <c r="A54" s="1123">
        <f t="shared" si="0"/>
        <v>42</v>
      </c>
      <c r="B54" s="448">
        <v>8320</v>
      </c>
      <c r="C54" s="217" t="s">
        <v>634</v>
      </c>
      <c r="D54" s="313">
        <v>0</v>
      </c>
      <c r="E54" s="171"/>
    </row>
    <row r="55" spans="1:10">
      <c r="A55" s="1123">
        <f t="shared" si="0"/>
        <v>43</v>
      </c>
      <c r="B55" s="448">
        <v>8340</v>
      </c>
      <c r="C55" s="217" t="s">
        <v>635</v>
      </c>
      <c r="D55" s="323">
        <f>'C.2.2-F 09'!P57</f>
        <v>0</v>
      </c>
      <c r="E55" s="171"/>
      <c r="J55" s="566"/>
    </row>
    <row r="56" spans="1:10">
      <c r="A56" s="1123">
        <f t="shared" si="0"/>
        <v>44</v>
      </c>
      <c r="B56" s="448">
        <v>8350</v>
      </c>
      <c r="C56" s="217" t="s">
        <v>636</v>
      </c>
      <c r="D56" s="323">
        <f>'C.2.2-F 09'!P58</f>
        <v>0</v>
      </c>
      <c r="E56" s="171"/>
      <c r="J56" s="566"/>
    </row>
    <row r="57" spans="1:10">
      <c r="A57" s="1123">
        <f t="shared" si="0"/>
        <v>45</v>
      </c>
      <c r="B57" s="448">
        <v>8360</v>
      </c>
      <c r="C57" s="217" t="s">
        <v>1024</v>
      </c>
      <c r="D57" s="323">
        <f>'C.2.2-F 09'!P59</f>
        <v>0</v>
      </c>
      <c r="E57" s="171"/>
      <c r="J57" s="566"/>
    </row>
    <row r="58" spans="1:10">
      <c r="A58" s="1123">
        <f t="shared" si="0"/>
        <v>46</v>
      </c>
      <c r="B58" s="448">
        <v>8370</v>
      </c>
      <c r="C58" s="217" t="s">
        <v>1293</v>
      </c>
      <c r="D58" s="323">
        <f>'C.2.2-F 09'!P60</f>
        <v>0</v>
      </c>
      <c r="E58" s="171"/>
      <c r="J58" s="566"/>
    </row>
    <row r="59" spans="1:10">
      <c r="A59" s="1123">
        <f t="shared" si="0"/>
        <v>47</v>
      </c>
      <c r="B59" s="449" t="s">
        <v>442</v>
      </c>
      <c r="C59" s="217" t="s">
        <v>443</v>
      </c>
      <c r="D59" s="323">
        <f>'C.2.2-F 09'!P61</f>
        <v>232719.80535370877</v>
      </c>
      <c r="E59" s="171"/>
    </row>
    <row r="60" spans="1:10">
      <c r="A60" s="1123">
        <f t="shared" si="0"/>
        <v>48</v>
      </c>
      <c r="B60" s="70"/>
      <c r="C60" s="232" t="s">
        <v>1014</v>
      </c>
      <c r="D60" s="1124">
        <f>SUM(D53:D59)</f>
        <v>233274.00988476118</v>
      </c>
      <c r="E60" s="420"/>
      <c r="F60" s="477"/>
      <c r="G60" s="581"/>
    </row>
    <row r="61" spans="1:10">
      <c r="A61" s="1123">
        <f t="shared" si="0"/>
        <v>49</v>
      </c>
      <c r="B61" s="70"/>
      <c r="C61" s="159"/>
      <c r="D61" s="195"/>
      <c r="E61" s="195"/>
    </row>
    <row r="62" spans="1:10">
      <c r="A62" s="1123">
        <f t="shared" si="0"/>
        <v>50</v>
      </c>
      <c r="B62" s="70"/>
      <c r="C62" s="265" t="s">
        <v>1015</v>
      </c>
      <c r="D62" s="195"/>
      <c r="E62" s="195"/>
    </row>
    <row r="63" spans="1:10">
      <c r="A63" s="1123">
        <f t="shared" si="0"/>
        <v>51</v>
      </c>
      <c r="B63" s="448">
        <v>8500</v>
      </c>
      <c r="C63" s="217" t="s">
        <v>666</v>
      </c>
      <c r="D63" s="420">
        <f>'C.2.2-F 09'!P62</f>
        <v>14402.042351015738</v>
      </c>
      <c r="E63" s="420"/>
      <c r="J63" s="566"/>
    </row>
    <row r="64" spans="1:10">
      <c r="A64" s="1123">
        <f t="shared" si="0"/>
        <v>52</v>
      </c>
      <c r="B64" s="448">
        <v>8520</v>
      </c>
      <c r="C64" s="259" t="s">
        <v>1294</v>
      </c>
      <c r="D64" s="323">
        <f>'C.2.2-F 09'!P63</f>
        <v>0</v>
      </c>
      <c r="E64" s="420"/>
      <c r="J64" s="566"/>
    </row>
    <row r="65" spans="1:10">
      <c r="A65" s="1123">
        <f t="shared" si="0"/>
        <v>53</v>
      </c>
      <c r="B65" s="448">
        <v>8550</v>
      </c>
      <c r="C65" s="259" t="s">
        <v>1345</v>
      </c>
      <c r="D65" s="323">
        <f>'C.2.2-F 09'!P64</f>
        <v>206.00858813511107</v>
      </c>
      <c r="E65" s="420"/>
      <c r="J65" s="566"/>
    </row>
    <row r="66" spans="1:10">
      <c r="A66" s="1123">
        <f t="shared" si="0"/>
        <v>54</v>
      </c>
      <c r="B66" s="448">
        <v>8560</v>
      </c>
      <c r="C66" s="217" t="s">
        <v>637</v>
      </c>
      <c r="D66" s="323">
        <f>'C.2.2-F 09'!P65</f>
        <v>175659.43764801498</v>
      </c>
      <c r="E66" s="171"/>
      <c r="J66" s="566"/>
    </row>
    <row r="67" spans="1:10">
      <c r="A67" s="1123">
        <f t="shared" si="0"/>
        <v>55</v>
      </c>
      <c r="B67" s="448">
        <v>8570</v>
      </c>
      <c r="C67" s="217" t="s">
        <v>638</v>
      </c>
      <c r="D67" s="323">
        <f>'C.2.2-F 09'!P66</f>
        <v>11942.272320565902</v>
      </c>
      <c r="E67" s="171"/>
      <c r="J67" s="566"/>
    </row>
    <row r="68" spans="1:10">
      <c r="A68" s="1123">
        <f t="shared" si="0"/>
        <v>56</v>
      </c>
      <c r="B68" s="448">
        <v>8590</v>
      </c>
      <c r="C68" s="217" t="s">
        <v>641</v>
      </c>
      <c r="D68" s="171">
        <v>0</v>
      </c>
      <c r="E68" s="171"/>
    </row>
    <row r="69" spans="1:10">
      <c r="A69" s="1123">
        <f t="shared" si="0"/>
        <v>57</v>
      </c>
      <c r="B69" s="448">
        <v>8600</v>
      </c>
      <c r="C69" s="217" t="s">
        <v>762</v>
      </c>
      <c r="D69" s="203">
        <v>0</v>
      </c>
      <c r="E69" s="171"/>
    </row>
    <row r="70" spans="1:10">
      <c r="A70" s="1123">
        <f t="shared" si="0"/>
        <v>58</v>
      </c>
      <c r="B70" s="70"/>
      <c r="C70" s="232" t="s">
        <v>991</v>
      </c>
      <c r="D70" s="275">
        <f>SUM(D63:D69)</f>
        <v>202209.76090773175</v>
      </c>
      <c r="E70" s="275"/>
      <c r="F70" s="477"/>
      <c r="G70" s="581"/>
    </row>
    <row r="71" spans="1:10">
      <c r="A71" s="1123">
        <f t="shared" si="0"/>
        <v>59</v>
      </c>
      <c r="B71" s="70"/>
      <c r="C71" s="159"/>
      <c r="D71" s="195"/>
      <c r="E71" s="195"/>
    </row>
    <row r="72" spans="1:10">
      <c r="A72" s="1123">
        <f t="shared" si="0"/>
        <v>60</v>
      </c>
      <c r="B72" s="70"/>
      <c r="C72" s="265" t="s">
        <v>992</v>
      </c>
      <c r="D72" s="195"/>
      <c r="E72" s="195"/>
    </row>
    <row r="73" spans="1:10">
      <c r="A73" s="1123">
        <f t="shared" si="0"/>
        <v>61</v>
      </c>
      <c r="B73" s="448">
        <v>8620</v>
      </c>
      <c r="C73" s="217" t="s">
        <v>956</v>
      </c>
      <c r="D73" s="420">
        <v>0</v>
      </c>
      <c r="E73" s="420"/>
    </row>
    <row r="74" spans="1:10">
      <c r="A74" s="1123">
        <f t="shared" si="0"/>
        <v>62</v>
      </c>
      <c r="B74" s="448">
        <v>8630</v>
      </c>
      <c r="C74" s="217" t="s">
        <v>502</v>
      </c>
      <c r="D74" s="323">
        <f>'C.2.2-F 09'!P67</f>
        <v>4140.587861285002</v>
      </c>
      <c r="E74" s="171"/>
      <c r="J74" s="566"/>
    </row>
    <row r="75" spans="1:10">
      <c r="A75" s="1123">
        <f t="shared" si="0"/>
        <v>63</v>
      </c>
      <c r="B75" s="448">
        <v>8640</v>
      </c>
      <c r="C75" s="217" t="s">
        <v>586</v>
      </c>
      <c r="D75" s="323">
        <f>'C.2.2-F 09'!P68</f>
        <v>0</v>
      </c>
      <c r="E75" s="171"/>
    </row>
    <row r="76" spans="1:10">
      <c r="A76" s="1123">
        <f t="shared" si="0"/>
        <v>64</v>
      </c>
      <c r="B76" s="448">
        <v>8650</v>
      </c>
      <c r="C76" s="217" t="s">
        <v>639</v>
      </c>
      <c r="D76" s="323">
        <f>'C.2.2-F 09'!P69</f>
        <v>0</v>
      </c>
      <c r="E76" s="171"/>
      <c r="J76" s="566"/>
    </row>
    <row r="77" spans="1:10">
      <c r="A77" s="1123">
        <f t="shared" si="0"/>
        <v>65</v>
      </c>
      <c r="B77" s="448">
        <v>8670</v>
      </c>
      <c r="C77" s="217" t="s">
        <v>640</v>
      </c>
      <c r="D77" s="313">
        <v>0</v>
      </c>
      <c r="E77" s="171"/>
      <c r="J77" s="566"/>
    </row>
    <row r="78" spans="1:10">
      <c r="A78" s="1123">
        <f t="shared" si="0"/>
        <v>66</v>
      </c>
      <c r="B78" s="70"/>
      <c r="C78" s="232" t="s">
        <v>993</v>
      </c>
      <c r="D78" s="1124">
        <f>SUM(D73:D77)</f>
        <v>4140.587861285002</v>
      </c>
      <c r="E78" s="275"/>
      <c r="F78" s="477"/>
      <c r="G78" s="581"/>
    </row>
    <row r="79" spans="1:10">
      <c r="A79" s="1123">
        <f t="shared" si="0"/>
        <v>67</v>
      </c>
      <c r="B79" s="70"/>
      <c r="C79" s="159"/>
      <c r="D79" s="195"/>
      <c r="E79" s="195"/>
    </row>
    <row r="80" spans="1:10">
      <c r="A80" s="1123">
        <f t="shared" si="0"/>
        <v>68</v>
      </c>
      <c r="B80" s="70"/>
      <c r="C80" s="265" t="s">
        <v>325</v>
      </c>
      <c r="D80" s="230"/>
      <c r="E80" s="230"/>
    </row>
    <row r="81" spans="1:6">
      <c r="A81" s="1123">
        <f t="shared" si="0"/>
        <v>69</v>
      </c>
      <c r="B81" s="438">
        <v>8001</v>
      </c>
      <c r="C81" s="252" t="s">
        <v>859</v>
      </c>
      <c r="D81" s="420">
        <f>'C.2.2-F 09'!P32</f>
        <v>0</v>
      </c>
      <c r="E81" s="420"/>
    </row>
    <row r="82" spans="1:6">
      <c r="A82" s="1123">
        <f t="shared" ref="A82:A145" si="1">A81+1</f>
        <v>70</v>
      </c>
      <c r="B82" s="438">
        <v>8010</v>
      </c>
      <c r="C82" s="84" t="s">
        <v>1192</v>
      </c>
      <c r="D82" s="553">
        <f>'C.2.2-F 09'!P33</f>
        <v>98008.509707316742</v>
      </c>
      <c r="E82" s="420"/>
    </row>
    <row r="83" spans="1:6">
      <c r="A83" s="1123">
        <f t="shared" si="1"/>
        <v>71</v>
      </c>
      <c r="B83" s="445">
        <v>8040</v>
      </c>
      <c r="C83" s="178" t="s">
        <v>301</v>
      </c>
      <c r="D83" s="553">
        <f>'C.2.2-F 09'!P34</f>
        <v>45028264.064531408</v>
      </c>
      <c r="E83" s="171"/>
      <c r="F83" s="171"/>
    </row>
    <row r="84" spans="1:6">
      <c r="A84" s="1123">
        <f t="shared" si="1"/>
        <v>72</v>
      </c>
      <c r="B84" s="445">
        <v>8045</v>
      </c>
      <c r="C84" s="178" t="s">
        <v>1118</v>
      </c>
      <c r="D84" s="171">
        <v>0</v>
      </c>
      <c r="E84" s="171"/>
      <c r="F84" s="171"/>
    </row>
    <row r="85" spans="1:6">
      <c r="A85" s="1123">
        <f t="shared" si="1"/>
        <v>73</v>
      </c>
      <c r="B85" s="438">
        <v>8050</v>
      </c>
      <c r="C85" s="252" t="s">
        <v>898</v>
      </c>
      <c r="D85" s="553">
        <f>'C.2.2-F 09'!P35</f>
        <v>-31349.159344507909</v>
      </c>
      <c r="E85" s="171"/>
      <c r="F85" s="171"/>
    </row>
    <row r="86" spans="1:6">
      <c r="A86" s="1123">
        <f t="shared" si="1"/>
        <v>74</v>
      </c>
      <c r="B86" s="445">
        <v>8051</v>
      </c>
      <c r="C86" s="178" t="s">
        <v>803</v>
      </c>
      <c r="D86" s="553">
        <f>'C.2.2-F 09'!P36</f>
        <v>48172789.797176644</v>
      </c>
      <c r="E86" s="171"/>
      <c r="F86" s="171"/>
    </row>
    <row r="87" spans="1:6">
      <c r="A87" s="1123">
        <f t="shared" si="1"/>
        <v>75</v>
      </c>
      <c r="B87" s="445">
        <v>8052</v>
      </c>
      <c r="C87" s="178" t="s">
        <v>418</v>
      </c>
      <c r="D87" s="553">
        <f>'C.2.2-F 09'!P37</f>
        <v>23895123.3854452</v>
      </c>
      <c r="E87" s="171"/>
      <c r="F87" s="171"/>
    </row>
    <row r="88" spans="1:6">
      <c r="A88" s="1123">
        <f t="shared" si="1"/>
        <v>76</v>
      </c>
      <c r="B88" s="445">
        <v>8053</v>
      </c>
      <c r="C88" s="178" t="s">
        <v>827</v>
      </c>
      <c r="D88" s="553">
        <f>'C.2.2-F 09'!P38</f>
        <v>4334292.1910199849</v>
      </c>
      <c r="E88" s="171"/>
      <c r="F88" s="171"/>
    </row>
    <row r="89" spans="1:6">
      <c r="A89" s="1123">
        <f t="shared" si="1"/>
        <v>77</v>
      </c>
      <c r="B89" s="445">
        <v>8054</v>
      </c>
      <c r="C89" s="178" t="s">
        <v>828</v>
      </c>
      <c r="D89" s="553">
        <f>'C.2.2-F 09'!P39</f>
        <v>4373421.2640433908</v>
      </c>
      <c r="E89" s="171"/>
      <c r="F89" s="171"/>
    </row>
    <row r="90" spans="1:6">
      <c r="A90" s="1123">
        <f t="shared" si="1"/>
        <v>78</v>
      </c>
      <c r="B90" s="445">
        <v>8057</v>
      </c>
      <c r="C90" s="178" t="s">
        <v>279</v>
      </c>
      <c r="D90" s="171">
        <v>0</v>
      </c>
      <c r="E90" s="171"/>
      <c r="F90" s="171"/>
    </row>
    <row r="91" spans="1:6">
      <c r="A91" s="1123">
        <f t="shared" si="1"/>
        <v>79</v>
      </c>
      <c r="B91" s="445">
        <v>8058</v>
      </c>
      <c r="C91" s="178" t="s">
        <v>280</v>
      </c>
      <c r="D91" s="553">
        <f>'C.2.2-F 09'!P40</f>
        <v>-2890436.8118652944</v>
      </c>
      <c r="E91" s="171"/>
      <c r="F91" s="171"/>
    </row>
    <row r="92" spans="1:6">
      <c r="A92" s="1123">
        <f t="shared" si="1"/>
        <v>80</v>
      </c>
      <c r="B92" s="445">
        <v>8059</v>
      </c>
      <c r="C92" s="178" t="s">
        <v>281</v>
      </c>
      <c r="D92" s="553">
        <f>'C.2.2-F 09'!P41</f>
        <v>-82419896.316314727</v>
      </c>
      <c r="E92" s="171"/>
      <c r="F92" s="171"/>
    </row>
    <row r="93" spans="1:6">
      <c r="A93" s="1123">
        <f t="shared" si="1"/>
        <v>81</v>
      </c>
      <c r="B93" s="445">
        <v>8060</v>
      </c>
      <c r="C93" s="178" t="s">
        <v>994</v>
      </c>
      <c r="D93" s="553">
        <f>'C.2.2-F 09'!P42</f>
        <v>2017827.9456554416</v>
      </c>
      <c r="E93" s="171"/>
      <c r="F93" s="171"/>
    </row>
    <row r="94" spans="1:6">
      <c r="A94" s="1123">
        <f t="shared" si="1"/>
        <v>82</v>
      </c>
      <c r="B94" s="445">
        <v>8081</v>
      </c>
      <c r="C94" s="178" t="s">
        <v>282</v>
      </c>
      <c r="D94" s="553">
        <f>'C.2.2-F 09'!P43</f>
        <v>14196428.651186859</v>
      </c>
      <c r="E94" s="171"/>
      <c r="F94" s="171"/>
    </row>
    <row r="95" spans="1:6">
      <c r="A95" s="1123">
        <f t="shared" si="1"/>
        <v>83</v>
      </c>
      <c r="B95" s="445">
        <v>8082</v>
      </c>
      <c r="C95" s="178" t="s">
        <v>66</v>
      </c>
      <c r="D95" s="553">
        <f>'C.2.2-F 09'!P44</f>
        <v>-11565589.444757191</v>
      </c>
      <c r="E95" s="171"/>
      <c r="F95" s="171"/>
    </row>
    <row r="96" spans="1:6">
      <c r="A96" s="1123">
        <f t="shared" si="1"/>
        <v>84</v>
      </c>
      <c r="B96" s="438">
        <v>8110</v>
      </c>
      <c r="C96" s="247" t="s">
        <v>1193</v>
      </c>
      <c r="D96" s="171">
        <v>0</v>
      </c>
      <c r="E96" s="171"/>
      <c r="F96" s="171"/>
    </row>
    <row r="97" spans="1:10">
      <c r="A97" s="1123">
        <f t="shared" si="1"/>
        <v>85</v>
      </c>
      <c r="B97" s="445">
        <v>8120</v>
      </c>
      <c r="C97" s="178" t="s">
        <v>1010</v>
      </c>
      <c r="D97" s="553">
        <f>'C.2.2-F 09'!P45</f>
        <v>-11533.489346341779</v>
      </c>
      <c r="E97" s="171"/>
      <c r="F97" s="171"/>
    </row>
    <row r="98" spans="1:10">
      <c r="A98" s="1123">
        <f t="shared" si="1"/>
        <v>86</v>
      </c>
      <c r="B98" s="445">
        <v>8130</v>
      </c>
      <c r="C98" s="178" t="s">
        <v>68</v>
      </c>
      <c r="D98" s="171">
        <v>0</v>
      </c>
      <c r="E98" s="171"/>
      <c r="F98" s="171"/>
    </row>
    <row r="99" spans="1:10">
      <c r="A99" s="1123">
        <f t="shared" si="1"/>
        <v>87</v>
      </c>
      <c r="B99" s="438">
        <v>8580</v>
      </c>
      <c r="C99" s="247" t="s">
        <v>1191</v>
      </c>
      <c r="D99" s="553">
        <f>'C.2.2-F 09'!P46</f>
        <v>32676305.74933539</v>
      </c>
      <c r="E99" s="171"/>
    </row>
    <row r="100" spans="1:10">
      <c r="A100" s="1123">
        <f t="shared" si="1"/>
        <v>88</v>
      </c>
      <c r="B100" s="70"/>
      <c r="C100" s="547" t="s">
        <v>1011</v>
      </c>
      <c r="D100" s="1124">
        <f>SUM(D81:D99)</f>
        <v>77873656.336473569</v>
      </c>
      <c r="E100" s="275"/>
      <c r="F100" s="477"/>
      <c r="G100" s="581"/>
    </row>
    <row r="101" spans="1:10">
      <c r="A101" s="1123">
        <f t="shared" si="1"/>
        <v>89</v>
      </c>
      <c r="B101" s="70"/>
      <c r="D101" s="172"/>
      <c r="E101" s="172"/>
    </row>
    <row r="102" spans="1:10">
      <c r="A102" s="1123">
        <f t="shared" si="1"/>
        <v>90</v>
      </c>
      <c r="B102" s="70"/>
      <c r="C102" s="265" t="s">
        <v>1034</v>
      </c>
      <c r="D102" s="172"/>
      <c r="E102" s="172"/>
    </row>
    <row r="103" spans="1:10">
      <c r="A103" s="1123">
        <f t="shared" si="1"/>
        <v>91</v>
      </c>
      <c r="B103" s="445">
        <v>8700</v>
      </c>
      <c r="C103" s="262" t="s">
        <v>642</v>
      </c>
      <c r="D103" s="420">
        <f>'C.2.2-F 09'!P70</f>
        <v>1066179.4248226888</v>
      </c>
      <c r="E103" s="420"/>
      <c r="J103" s="566"/>
    </row>
    <row r="104" spans="1:10">
      <c r="A104" s="1123">
        <f t="shared" si="1"/>
        <v>92</v>
      </c>
      <c r="B104" s="445">
        <v>8710</v>
      </c>
      <c r="C104" s="262" t="s">
        <v>643</v>
      </c>
      <c r="D104" s="553">
        <f>'C.2.2-F 09'!P71</f>
        <v>398.30229242484671</v>
      </c>
      <c r="E104" s="171"/>
      <c r="J104" s="566"/>
    </row>
    <row r="105" spans="1:10">
      <c r="A105" s="1123">
        <f t="shared" si="1"/>
        <v>93</v>
      </c>
      <c r="B105" s="445">
        <v>8711</v>
      </c>
      <c r="C105" s="178" t="s">
        <v>342</v>
      </c>
      <c r="D105" s="553">
        <f>'C.2.2-F 09'!P72</f>
        <v>108130.06033341786</v>
      </c>
      <c r="E105" s="171"/>
      <c r="J105" s="566"/>
    </row>
    <row r="106" spans="1:10">
      <c r="A106" s="1123">
        <f t="shared" si="1"/>
        <v>94</v>
      </c>
      <c r="B106" s="445">
        <v>8720</v>
      </c>
      <c r="C106" s="262" t="s">
        <v>948</v>
      </c>
      <c r="D106" s="553">
        <f>'C.2.2-F 09'!P73</f>
        <v>0</v>
      </c>
      <c r="E106" s="171"/>
    </row>
    <row r="107" spans="1:10">
      <c r="A107" s="1123">
        <f t="shared" si="1"/>
        <v>95</v>
      </c>
      <c r="B107" s="445">
        <v>8740</v>
      </c>
      <c r="C107" s="262" t="s">
        <v>949</v>
      </c>
      <c r="D107" s="553">
        <f>'C.2.2-F 09'!P74</f>
        <v>5954352.9625620693</v>
      </c>
      <c r="E107" s="171"/>
      <c r="J107" s="566"/>
    </row>
    <row r="108" spans="1:10">
      <c r="A108" s="1123">
        <f t="shared" si="1"/>
        <v>96</v>
      </c>
      <c r="B108" s="445">
        <v>8750</v>
      </c>
      <c r="C108" s="262" t="s">
        <v>953</v>
      </c>
      <c r="D108" s="553">
        <f>'C.2.2-F 09'!P75</f>
        <v>501120.33816182142</v>
      </c>
      <c r="E108" s="171"/>
      <c r="J108" s="566"/>
    </row>
    <row r="109" spans="1:10">
      <c r="A109" s="1123">
        <f t="shared" si="1"/>
        <v>97</v>
      </c>
      <c r="B109" s="445">
        <v>8760</v>
      </c>
      <c r="C109" s="262" t="s">
        <v>954</v>
      </c>
      <c r="D109" s="553">
        <f>'C.2.2-F 09'!P76</f>
        <v>27244.434147245847</v>
      </c>
      <c r="E109" s="171"/>
      <c r="J109" s="566"/>
    </row>
    <row r="110" spans="1:10">
      <c r="A110" s="1123">
        <f t="shared" si="1"/>
        <v>98</v>
      </c>
      <c r="B110" s="445">
        <v>8770</v>
      </c>
      <c r="C110" s="262" t="s">
        <v>955</v>
      </c>
      <c r="D110" s="553">
        <f>'C.2.2-F 09'!P77</f>
        <v>3528.6627085332993</v>
      </c>
      <c r="E110" s="171"/>
      <c r="J110" s="566"/>
    </row>
    <row r="111" spans="1:10">
      <c r="A111" s="1123">
        <f t="shared" si="1"/>
        <v>99</v>
      </c>
      <c r="B111" s="445">
        <v>8780</v>
      </c>
      <c r="C111" s="262" t="s">
        <v>950</v>
      </c>
      <c r="D111" s="553">
        <f>'C.2.2-F 09'!P78</f>
        <v>1085246.8875980368</v>
      </c>
      <c r="E111" s="171"/>
      <c r="J111" s="566"/>
    </row>
    <row r="112" spans="1:10">
      <c r="A112" s="1123">
        <f t="shared" si="1"/>
        <v>100</v>
      </c>
      <c r="B112" s="445">
        <v>8790</v>
      </c>
      <c r="C112" s="262" t="s">
        <v>951</v>
      </c>
      <c r="D112" s="553">
        <f>'C.2.2-F 09'!P79</f>
        <v>0</v>
      </c>
      <c r="E112" s="171"/>
      <c r="J112" s="566"/>
    </row>
    <row r="113" spans="1:10">
      <c r="A113" s="1123">
        <f t="shared" si="1"/>
        <v>101</v>
      </c>
      <c r="B113" s="445">
        <v>8800</v>
      </c>
      <c r="C113" s="262" t="s">
        <v>952</v>
      </c>
      <c r="D113" s="553">
        <f>'C.2.2-F 09'!P80</f>
        <v>1763.1729030686151</v>
      </c>
      <c r="E113" s="171"/>
      <c r="J113" s="566"/>
    </row>
    <row r="114" spans="1:10">
      <c r="A114" s="1123">
        <f t="shared" si="1"/>
        <v>102</v>
      </c>
      <c r="B114" s="445">
        <v>8810</v>
      </c>
      <c r="C114" s="262" t="s">
        <v>762</v>
      </c>
      <c r="D114" s="553">
        <f>'C.2.2-F 09'!P81</f>
        <v>360992.15024819149</v>
      </c>
      <c r="E114" s="171"/>
      <c r="J114" s="566"/>
    </row>
    <row r="115" spans="1:10">
      <c r="A115" s="1123">
        <f t="shared" si="1"/>
        <v>103</v>
      </c>
      <c r="B115" s="70"/>
      <c r="C115" s="232" t="s">
        <v>654</v>
      </c>
      <c r="D115" s="1124">
        <f>SUM(D103:D114)</f>
        <v>9108956.3957774993</v>
      </c>
      <c r="E115" s="275"/>
      <c r="F115" s="477"/>
      <c r="G115" s="581"/>
    </row>
    <row r="116" spans="1:10">
      <c r="A116" s="1123">
        <f t="shared" si="1"/>
        <v>104</v>
      </c>
      <c r="B116" s="70"/>
      <c r="D116" s="172"/>
      <c r="E116" s="172"/>
    </row>
    <row r="117" spans="1:10">
      <c r="A117" s="1123">
        <f t="shared" si="1"/>
        <v>105</v>
      </c>
      <c r="B117" s="179"/>
      <c r="C117" s="265" t="s">
        <v>655</v>
      </c>
      <c r="D117" s="230"/>
      <c r="E117" s="230"/>
    </row>
    <row r="118" spans="1:10">
      <c r="A118" s="1123">
        <f t="shared" si="1"/>
        <v>106</v>
      </c>
      <c r="B118" s="445">
        <v>8850</v>
      </c>
      <c r="C118" s="262" t="s">
        <v>642</v>
      </c>
      <c r="D118" s="420">
        <f>'C.2.2-F 09'!P82</f>
        <v>179.81142107718028</v>
      </c>
      <c r="E118" s="420"/>
      <c r="H118" s="566"/>
      <c r="J118" s="566"/>
    </row>
    <row r="119" spans="1:10">
      <c r="A119" s="1123">
        <f t="shared" si="1"/>
        <v>107</v>
      </c>
      <c r="B119" s="445">
        <v>8860</v>
      </c>
      <c r="C119" s="262" t="s">
        <v>956</v>
      </c>
      <c r="D119" s="553">
        <f>'C.2.2-F 09'!P83</f>
        <v>0</v>
      </c>
      <c r="E119" s="171"/>
      <c r="H119" s="566"/>
      <c r="J119" s="566"/>
    </row>
    <row r="120" spans="1:10">
      <c r="A120" s="1123">
        <f t="shared" si="1"/>
        <v>108</v>
      </c>
      <c r="B120" s="445">
        <v>8870</v>
      </c>
      <c r="C120" s="262" t="s">
        <v>502</v>
      </c>
      <c r="D120" s="553">
        <f>'C.2.2-F 09'!P84</f>
        <v>18047.3448930179</v>
      </c>
      <c r="E120" s="171"/>
      <c r="H120" s="566"/>
      <c r="J120" s="566"/>
    </row>
    <row r="121" spans="1:10">
      <c r="A121" s="1123">
        <f t="shared" si="1"/>
        <v>109</v>
      </c>
      <c r="B121" s="445">
        <v>8890</v>
      </c>
      <c r="C121" s="262" t="s">
        <v>953</v>
      </c>
      <c r="D121" s="553">
        <f>'C.2.2-F 09'!P85</f>
        <v>60064.995009882754</v>
      </c>
      <c r="E121" s="171"/>
      <c r="H121" s="566"/>
      <c r="J121" s="566"/>
    </row>
    <row r="122" spans="1:10">
      <c r="A122" s="1123">
        <f t="shared" si="1"/>
        <v>110</v>
      </c>
      <c r="B122" s="445">
        <v>8900</v>
      </c>
      <c r="C122" s="262" t="s">
        <v>954</v>
      </c>
      <c r="D122" s="553">
        <f>'C.2.2-F 09'!P86</f>
        <v>0</v>
      </c>
      <c r="E122" s="171"/>
      <c r="H122" s="566"/>
      <c r="J122" s="566"/>
    </row>
    <row r="123" spans="1:10">
      <c r="A123" s="1123">
        <f t="shared" si="1"/>
        <v>111</v>
      </c>
      <c r="B123" s="445">
        <v>8910</v>
      </c>
      <c r="C123" s="262" t="s">
        <v>955</v>
      </c>
      <c r="D123" s="553">
        <f>'C.2.2-F 09'!P87</f>
        <v>2164.4742289168194</v>
      </c>
      <c r="E123" s="171"/>
      <c r="H123" s="566"/>
      <c r="J123" s="566"/>
    </row>
    <row r="124" spans="1:10">
      <c r="A124" s="1123">
        <f t="shared" si="1"/>
        <v>112</v>
      </c>
      <c r="B124" s="445">
        <v>8920</v>
      </c>
      <c r="C124" s="262" t="s">
        <v>1036</v>
      </c>
      <c r="D124" s="553">
        <f>'C.2.2-F 09'!P88</f>
        <v>1286.6462193302052</v>
      </c>
      <c r="E124" s="171"/>
      <c r="H124" s="566"/>
      <c r="J124" s="566"/>
    </row>
    <row r="125" spans="1:10">
      <c r="A125" s="1123">
        <f t="shared" si="1"/>
        <v>113</v>
      </c>
      <c r="B125" s="445">
        <v>8930</v>
      </c>
      <c r="C125" s="262" t="s">
        <v>957</v>
      </c>
      <c r="D125" s="553">
        <f>'C.2.2-F 09'!P89</f>
        <v>8086.7084515030829</v>
      </c>
      <c r="E125" s="171"/>
      <c r="H125" s="566"/>
      <c r="J125" s="566"/>
    </row>
    <row r="126" spans="1:10">
      <c r="A126" s="1123">
        <f t="shared" si="1"/>
        <v>114</v>
      </c>
      <c r="B126" s="445">
        <v>8940</v>
      </c>
      <c r="C126" s="262" t="s">
        <v>640</v>
      </c>
      <c r="D126" s="553">
        <f>'C.2.2-F 09'!P90</f>
        <v>913.01473427814267</v>
      </c>
      <c r="E126" s="171"/>
      <c r="H126" s="566"/>
      <c r="J126" s="566"/>
    </row>
    <row r="127" spans="1:10">
      <c r="A127" s="1123">
        <f t="shared" si="1"/>
        <v>115</v>
      </c>
      <c r="B127" s="450" t="s">
        <v>774</v>
      </c>
      <c r="C127" s="262" t="s">
        <v>291</v>
      </c>
      <c r="D127" s="203">
        <v>0</v>
      </c>
      <c r="E127" s="171"/>
      <c r="H127" s="566"/>
    </row>
    <row r="128" spans="1:10">
      <c r="A128" s="1123">
        <f t="shared" si="1"/>
        <v>116</v>
      </c>
      <c r="B128" s="70"/>
      <c r="C128" s="232" t="s">
        <v>419</v>
      </c>
      <c r="D128" s="275">
        <f>SUM(D118:D127)</f>
        <v>90742.994958006078</v>
      </c>
      <c r="E128" s="275"/>
      <c r="F128" s="477"/>
      <c r="G128" s="581"/>
    </row>
    <row r="129" spans="1:10">
      <c r="A129" s="1123">
        <f t="shared" si="1"/>
        <v>117</v>
      </c>
      <c r="B129" s="70"/>
      <c r="C129" s="232"/>
      <c r="D129" s="195"/>
      <c r="E129" s="195"/>
    </row>
    <row r="130" spans="1:10">
      <c r="A130" s="1123">
        <f t="shared" si="1"/>
        <v>118</v>
      </c>
      <c r="B130" s="179"/>
      <c r="C130" s="265" t="s">
        <v>420</v>
      </c>
      <c r="D130" s="230"/>
      <c r="E130" s="230"/>
    </row>
    <row r="131" spans="1:10">
      <c r="A131" s="1123">
        <f t="shared" si="1"/>
        <v>119</v>
      </c>
      <c r="B131" s="445">
        <v>9010</v>
      </c>
      <c r="C131" s="262" t="s">
        <v>474</v>
      </c>
      <c r="D131" s="420">
        <f>'C.2.2-F 09'!P91</f>
        <v>0</v>
      </c>
      <c r="E131" s="420"/>
      <c r="H131" s="566"/>
      <c r="J131" s="566"/>
    </row>
    <row r="132" spans="1:10">
      <c r="A132" s="1123">
        <f t="shared" si="1"/>
        <v>120</v>
      </c>
      <c r="B132" s="445">
        <v>9020</v>
      </c>
      <c r="C132" s="262" t="s">
        <v>661</v>
      </c>
      <c r="D132" s="553">
        <f>'C.2.2-F 09'!P92</f>
        <v>928104.73931829922</v>
      </c>
      <c r="E132" s="171"/>
      <c r="H132" s="566"/>
      <c r="J132" s="566"/>
    </row>
    <row r="133" spans="1:10">
      <c r="A133" s="1123">
        <f t="shared" si="1"/>
        <v>121</v>
      </c>
      <c r="B133" s="445">
        <v>9030</v>
      </c>
      <c r="C133" s="262" t="s">
        <v>958</v>
      </c>
      <c r="D133" s="553">
        <f>'C.2.2-F 09'!P93</f>
        <v>1107950.1547172442</v>
      </c>
      <c r="E133" s="171"/>
      <c r="H133" s="566"/>
      <c r="J133" s="566"/>
    </row>
    <row r="134" spans="1:10">
      <c r="A134" s="1123">
        <f t="shared" si="1"/>
        <v>122</v>
      </c>
      <c r="B134" s="445">
        <v>9040</v>
      </c>
      <c r="C134" s="262" t="s">
        <v>662</v>
      </c>
      <c r="D134" s="553">
        <f>'C.2.2-F 09'!P94</f>
        <v>363457.88190960902</v>
      </c>
      <c r="E134" s="171"/>
      <c r="H134" s="566"/>
      <c r="J134" s="566"/>
    </row>
    <row r="135" spans="1:10">
      <c r="A135" s="1123">
        <f t="shared" si="1"/>
        <v>123</v>
      </c>
      <c r="B135" s="179"/>
      <c r="C135" s="232" t="s">
        <v>538</v>
      </c>
      <c r="D135" s="1124">
        <f>SUM(D131:D134)</f>
        <v>2399512.7759451522</v>
      </c>
      <c r="E135" s="275"/>
      <c r="F135" s="477"/>
      <c r="G135" s="581"/>
      <c r="H135" s="566"/>
    </row>
    <row r="136" spans="1:10">
      <c r="A136" s="1123">
        <f t="shared" si="1"/>
        <v>124</v>
      </c>
      <c r="B136" s="70"/>
      <c r="D136" s="172"/>
      <c r="E136" s="172"/>
    </row>
    <row r="137" spans="1:10">
      <c r="A137" s="1123">
        <f t="shared" si="1"/>
        <v>125</v>
      </c>
      <c r="B137" s="70"/>
      <c r="C137" s="265" t="s">
        <v>539</v>
      </c>
      <c r="D137" s="172"/>
      <c r="E137" s="172"/>
    </row>
    <row r="138" spans="1:10">
      <c r="A138" s="1123">
        <f t="shared" si="1"/>
        <v>126</v>
      </c>
      <c r="B138" s="445">
        <v>9070</v>
      </c>
      <c r="C138" s="262" t="s">
        <v>474</v>
      </c>
      <c r="D138" s="420">
        <v>0</v>
      </c>
      <c r="E138" s="420"/>
      <c r="H138" s="566"/>
      <c r="J138" s="566"/>
    </row>
    <row r="139" spans="1:10">
      <c r="A139" s="1123">
        <f t="shared" si="1"/>
        <v>127</v>
      </c>
      <c r="B139" s="445">
        <v>9080</v>
      </c>
      <c r="C139" s="262" t="s">
        <v>660</v>
      </c>
      <c r="D139" s="171">
        <v>0</v>
      </c>
      <c r="E139" s="171"/>
      <c r="H139" s="566"/>
      <c r="J139" s="566"/>
    </row>
    <row r="140" spans="1:10">
      <c r="A140" s="1123">
        <f t="shared" si="1"/>
        <v>128</v>
      </c>
      <c r="B140" s="445">
        <v>9090</v>
      </c>
      <c r="C140" s="262" t="s">
        <v>659</v>
      </c>
      <c r="D140" s="553">
        <f>'C.2.2-F 09'!P95</f>
        <v>175015.1084149479</v>
      </c>
      <c r="E140" s="171"/>
      <c r="H140" s="566"/>
      <c r="J140" s="566"/>
    </row>
    <row r="141" spans="1:10">
      <c r="A141" s="1123">
        <f t="shared" si="1"/>
        <v>129</v>
      </c>
      <c r="B141" s="445">
        <v>9100</v>
      </c>
      <c r="C141" s="262" t="s">
        <v>448</v>
      </c>
      <c r="D141" s="553">
        <f>'C.2.2-F 09'!P96</f>
        <v>116.20216219769976</v>
      </c>
      <c r="E141" s="171"/>
      <c r="H141" s="566"/>
      <c r="J141" s="566"/>
    </row>
    <row r="142" spans="1:10">
      <c r="A142" s="1123">
        <f t="shared" si="1"/>
        <v>130</v>
      </c>
      <c r="B142" s="179"/>
      <c r="C142" s="232" t="s">
        <v>847</v>
      </c>
      <c r="D142" s="1124">
        <f>SUM(D138:D141)</f>
        <v>175131.3105771456</v>
      </c>
      <c r="E142" s="275"/>
      <c r="F142" s="477"/>
      <c r="G142" s="581"/>
    </row>
    <row r="143" spans="1:10">
      <c r="A143" s="1123">
        <f t="shared" si="1"/>
        <v>131</v>
      </c>
      <c r="B143" s="179"/>
      <c r="C143" s="232"/>
      <c r="D143" s="195"/>
      <c r="E143" s="195"/>
    </row>
    <row r="144" spans="1:10">
      <c r="A144" s="1123">
        <f t="shared" si="1"/>
        <v>132</v>
      </c>
      <c r="B144" s="179"/>
      <c r="C144" s="265" t="s">
        <v>490</v>
      </c>
      <c r="D144" s="230"/>
      <c r="E144" s="230"/>
    </row>
    <row r="145" spans="1:10">
      <c r="A145" s="1123">
        <f t="shared" si="1"/>
        <v>133</v>
      </c>
      <c r="B145" s="445">
        <v>9110</v>
      </c>
      <c r="C145" s="262" t="s">
        <v>474</v>
      </c>
      <c r="D145" s="420">
        <f>'C.2.2-F 09'!P97</f>
        <v>221194.11481836322</v>
      </c>
      <c r="E145" s="420"/>
      <c r="H145" s="566"/>
      <c r="J145" s="566"/>
    </row>
    <row r="146" spans="1:10">
      <c r="A146" s="1123">
        <f t="shared" ref="A146:A177" si="2">A145+1</f>
        <v>134</v>
      </c>
      <c r="B146" s="445">
        <v>9120</v>
      </c>
      <c r="C146" s="262" t="s">
        <v>763</v>
      </c>
      <c r="D146" s="553">
        <f>'C.2.2-F 09'!P98</f>
        <v>58954.974529856147</v>
      </c>
      <c r="E146" s="171"/>
      <c r="H146" s="566"/>
      <c r="J146" s="566"/>
    </row>
    <row r="147" spans="1:10">
      <c r="A147" s="1123">
        <f t="shared" si="2"/>
        <v>135</v>
      </c>
      <c r="B147" s="445">
        <v>9130</v>
      </c>
      <c r="C147" s="262" t="s">
        <v>844</v>
      </c>
      <c r="D147" s="553">
        <f>'C.2.2-F 09'!P99</f>
        <v>47524.574822683928</v>
      </c>
      <c r="E147" s="171"/>
      <c r="H147" s="566"/>
      <c r="J147" s="566"/>
    </row>
    <row r="148" spans="1:10">
      <c r="A148" s="1123">
        <f t="shared" si="2"/>
        <v>136</v>
      </c>
      <c r="B148" s="445">
        <v>9160</v>
      </c>
      <c r="C148" s="262" t="s">
        <v>829</v>
      </c>
      <c r="D148" s="171">
        <v>0</v>
      </c>
      <c r="E148" s="171"/>
      <c r="H148" s="566"/>
      <c r="J148" s="566"/>
    </row>
    <row r="149" spans="1:10">
      <c r="A149" s="1123">
        <f t="shared" si="2"/>
        <v>137</v>
      </c>
      <c r="B149" s="179"/>
      <c r="C149" s="232" t="s">
        <v>1096</v>
      </c>
      <c r="D149" s="1124">
        <f>SUM(D145:D148)</f>
        <v>327673.66417090327</v>
      </c>
      <c r="E149" s="275"/>
      <c r="F149" s="477"/>
      <c r="G149" s="581"/>
    </row>
    <row r="150" spans="1:10">
      <c r="A150" s="1123">
        <f t="shared" si="2"/>
        <v>138</v>
      </c>
      <c r="B150" s="70"/>
      <c r="D150" s="230"/>
      <c r="E150" s="230"/>
    </row>
    <row r="151" spans="1:10">
      <c r="A151" s="1123">
        <f t="shared" si="2"/>
        <v>139</v>
      </c>
      <c r="B151" s="179"/>
      <c r="C151" s="265" t="s">
        <v>1097</v>
      </c>
      <c r="D151" s="230"/>
      <c r="E151" s="230"/>
      <c r="H151" s="566"/>
    </row>
    <row r="152" spans="1:10">
      <c r="A152" s="1123">
        <f t="shared" si="2"/>
        <v>140</v>
      </c>
      <c r="B152" s="445">
        <v>9200</v>
      </c>
      <c r="C152" s="262" t="s">
        <v>754</v>
      </c>
      <c r="D152" s="275">
        <f>'C.2.2-F 09'!P100</f>
        <v>186999.36451790819</v>
      </c>
      <c r="E152" s="420"/>
      <c r="H152" s="566"/>
      <c r="J152" s="566"/>
    </row>
    <row r="153" spans="1:10">
      <c r="A153" s="1123">
        <f t="shared" si="2"/>
        <v>141</v>
      </c>
      <c r="B153" s="445">
        <v>9210</v>
      </c>
      <c r="C153" s="262" t="s">
        <v>755</v>
      </c>
      <c r="D153" s="553">
        <f>'C.2.2-F 09'!P101</f>
        <v>8473.4698661444345</v>
      </c>
      <c r="E153" s="171"/>
      <c r="H153" s="566"/>
      <c r="J153" s="566"/>
    </row>
    <row r="154" spans="1:10">
      <c r="A154" s="1123">
        <f t="shared" si="2"/>
        <v>142</v>
      </c>
      <c r="B154" s="445">
        <v>9220</v>
      </c>
      <c r="C154" s="262" t="s">
        <v>756</v>
      </c>
      <c r="D154" s="553">
        <f>'C.2.2-F 09'!P102</f>
        <v>15463672.796832643</v>
      </c>
      <c r="E154" s="171"/>
      <c r="H154" s="566"/>
      <c r="J154" s="566"/>
    </row>
    <row r="155" spans="1:10">
      <c r="A155" s="1123">
        <f t="shared" si="2"/>
        <v>143</v>
      </c>
      <c r="B155" s="445">
        <v>9230</v>
      </c>
      <c r="C155" s="262" t="s">
        <v>757</v>
      </c>
      <c r="D155" s="553">
        <f>'C.2.2-F 09'!P103</f>
        <v>257301.81802105525</v>
      </c>
      <c r="E155" s="171"/>
      <c r="H155" s="566"/>
      <c r="J155" s="566"/>
    </row>
    <row r="156" spans="1:10">
      <c r="A156" s="1123">
        <f t="shared" si="2"/>
        <v>144</v>
      </c>
      <c r="B156" s="445">
        <v>9240</v>
      </c>
      <c r="C156" s="262" t="s">
        <v>307</v>
      </c>
      <c r="D156" s="553">
        <f>'C.2.2-F 09'!P104</f>
        <v>72573.430469133338</v>
      </c>
      <c r="E156" s="171"/>
      <c r="H156" s="566"/>
      <c r="J156" s="566"/>
    </row>
    <row r="157" spans="1:10">
      <c r="A157" s="1123">
        <f t="shared" si="2"/>
        <v>145</v>
      </c>
      <c r="B157" s="445">
        <v>9250</v>
      </c>
      <c r="C157" s="262" t="s">
        <v>758</v>
      </c>
      <c r="D157" s="553">
        <f>'C.2.2-F 09'!P105</f>
        <v>65994.044220792639</v>
      </c>
      <c r="E157" s="171"/>
      <c r="H157" s="566"/>
      <c r="J157" s="566"/>
    </row>
    <row r="158" spans="1:10">
      <c r="A158" s="1123">
        <f t="shared" si="2"/>
        <v>146</v>
      </c>
      <c r="B158" s="445">
        <v>9260</v>
      </c>
      <c r="C158" s="262" t="s">
        <v>760</v>
      </c>
      <c r="D158" s="553">
        <f>'C.2.2-F 09'!P106</f>
        <v>1794417.2374936095</v>
      </c>
      <c r="E158" s="171"/>
      <c r="H158" s="566"/>
      <c r="J158" s="566"/>
    </row>
    <row r="159" spans="1:10">
      <c r="A159" s="1123">
        <f t="shared" si="2"/>
        <v>147</v>
      </c>
      <c r="B159" s="445">
        <v>9270</v>
      </c>
      <c r="C159" s="262" t="s">
        <v>308</v>
      </c>
      <c r="D159" s="553">
        <f>'C.2.2-F 09'!P107</f>
        <v>1091.1456125372256</v>
      </c>
      <c r="E159" s="171"/>
      <c r="H159" s="566"/>
      <c r="J159" s="566"/>
    </row>
    <row r="160" spans="1:10">
      <c r="A160" s="1123">
        <f t="shared" si="2"/>
        <v>148</v>
      </c>
      <c r="B160" s="445">
        <v>9280</v>
      </c>
      <c r="C160" s="262" t="s">
        <v>761</v>
      </c>
      <c r="D160" s="553">
        <f>'C.2.2-F 09'!P108</f>
        <v>158729.09349454119</v>
      </c>
      <c r="E160" s="171"/>
      <c r="H160" s="566"/>
      <c r="J160" s="566"/>
    </row>
    <row r="161" spans="1:10">
      <c r="A161" s="1123">
        <f t="shared" si="2"/>
        <v>149</v>
      </c>
      <c r="B161" s="451">
        <v>930.2</v>
      </c>
      <c r="C161" s="262" t="s">
        <v>309</v>
      </c>
      <c r="D161" s="553">
        <f>'C.2.2-F 09'!P109</f>
        <v>95809.425457897392</v>
      </c>
      <c r="E161" s="171"/>
      <c r="H161" s="566"/>
      <c r="J161" s="566"/>
    </row>
    <row r="162" spans="1:10">
      <c r="A162" s="1123">
        <f t="shared" si="2"/>
        <v>150</v>
      </c>
      <c r="B162" s="438">
        <v>9310</v>
      </c>
      <c r="C162" s="252" t="s">
        <v>183</v>
      </c>
      <c r="D162" s="553">
        <f>'C.2.2-F 09'!P110</f>
        <v>1559.532923772982</v>
      </c>
      <c r="E162" s="171"/>
      <c r="H162" s="566"/>
      <c r="J162" s="566"/>
    </row>
    <row r="163" spans="1:10">
      <c r="A163" s="1123">
        <f t="shared" si="2"/>
        <v>151</v>
      </c>
      <c r="B163" s="179"/>
      <c r="C163" s="232" t="s">
        <v>753</v>
      </c>
      <c r="D163" s="1124">
        <f>SUM(D152:D162)</f>
        <v>18106621.358910035</v>
      </c>
      <c r="E163" s="275"/>
      <c r="F163" s="477"/>
      <c r="G163" s="581"/>
    </row>
    <row r="164" spans="1:10">
      <c r="A164" s="1123">
        <f t="shared" si="2"/>
        <v>152</v>
      </c>
      <c r="B164" s="179"/>
      <c r="C164" s="192"/>
      <c r="D164" s="230"/>
      <c r="E164" s="230"/>
      <c r="H164" s="566"/>
    </row>
    <row r="165" spans="1:10">
      <c r="A165" s="1123">
        <f t="shared" si="2"/>
        <v>153</v>
      </c>
      <c r="B165" s="179"/>
      <c r="C165" s="265" t="s">
        <v>764</v>
      </c>
      <c r="D165" s="230"/>
      <c r="E165" s="230"/>
      <c r="H165" s="566"/>
    </row>
    <row r="166" spans="1:10">
      <c r="A166" s="1123">
        <f t="shared" si="2"/>
        <v>154</v>
      </c>
      <c r="B166" s="445">
        <v>9320</v>
      </c>
      <c r="C166" s="262" t="s">
        <v>765</v>
      </c>
      <c r="D166" s="361">
        <f>'C.2.2-F 09'!P111</f>
        <v>0</v>
      </c>
      <c r="E166" s="171"/>
      <c r="H166" s="566"/>
    </row>
    <row r="167" spans="1:10">
      <c r="A167" s="1123">
        <f t="shared" si="2"/>
        <v>155</v>
      </c>
      <c r="B167" s="179"/>
      <c r="C167" s="232" t="s">
        <v>726</v>
      </c>
      <c r="D167" s="422">
        <f>SUM(D166:D166)</f>
        <v>0</v>
      </c>
      <c r="E167" s="422"/>
      <c r="H167" s="566"/>
    </row>
    <row r="168" spans="1:10">
      <c r="A168" s="1123">
        <f t="shared" si="2"/>
        <v>156</v>
      </c>
      <c r="B168" s="70"/>
      <c r="D168" s="172"/>
      <c r="E168" s="172"/>
      <c r="H168" s="566"/>
    </row>
    <row r="169" spans="1:10">
      <c r="A169" s="1123">
        <f t="shared" si="2"/>
        <v>157</v>
      </c>
      <c r="B169" s="179"/>
      <c r="C169" s="37" t="s">
        <v>327</v>
      </c>
      <c r="D169" s="275">
        <f>+D34+D50+D60+D70+D78+D100+D115+D128+D135+D142+D149+D163+D167</f>
        <v>109044302.73419569</v>
      </c>
      <c r="E169" s="275"/>
      <c r="F169" s="84">
        <f>'C.2.2-F 09'!Q117</f>
        <v>109044302.73419572</v>
      </c>
      <c r="G169" s="84">
        <f>D169-F169</f>
        <v>0</v>
      </c>
      <c r="H169" s="566"/>
      <c r="I169" s="56"/>
    </row>
    <row r="170" spans="1:10">
      <c r="A170" s="1123">
        <f t="shared" si="2"/>
        <v>158</v>
      </c>
      <c r="B170" s="70"/>
      <c r="D170" s="172"/>
      <c r="E170" s="172"/>
      <c r="H170" s="566"/>
    </row>
    <row r="171" spans="1:10">
      <c r="A171" s="1123">
        <f t="shared" si="2"/>
        <v>159</v>
      </c>
      <c r="B171" s="179" t="s">
        <v>310</v>
      </c>
      <c r="C171" s="178" t="s">
        <v>664</v>
      </c>
      <c r="D171" s="420">
        <f>'C.2.2-F 09'!P14+'C.2.2-F 09'!P15</f>
        <v>20604446.98537245</v>
      </c>
      <c r="E171" s="420"/>
      <c r="F171" s="477"/>
      <c r="G171" s="581"/>
      <c r="H171" s="566"/>
    </row>
    <row r="172" spans="1:10">
      <c r="A172" s="1123">
        <f t="shared" si="2"/>
        <v>160</v>
      </c>
      <c r="B172" s="445">
        <v>4081</v>
      </c>
      <c r="C172" s="178" t="s">
        <v>665</v>
      </c>
      <c r="D172" s="553">
        <f>'C.2.2-F 09'!P16</f>
        <v>10326386.977940097</v>
      </c>
      <c r="E172" s="171"/>
      <c r="F172" s="477"/>
      <c r="G172" s="581"/>
      <c r="H172" s="566"/>
    </row>
    <row r="173" spans="1:10">
      <c r="A173" s="1123">
        <f t="shared" si="2"/>
        <v>161</v>
      </c>
      <c r="B173" s="445">
        <v>4091</v>
      </c>
      <c r="C173" s="178" t="s">
        <v>663</v>
      </c>
      <c r="D173" s="553">
        <f>'C.2.2-F 09'!P12</f>
        <v>6290436.7297105677</v>
      </c>
      <c r="E173" s="171"/>
      <c r="F173" s="477"/>
      <c r="G173" s="581"/>
    </row>
    <row r="174" spans="1:10">
      <c r="A174" s="1123">
        <f t="shared" si="2"/>
        <v>162</v>
      </c>
      <c r="B174" s="204"/>
      <c r="D174" s="172"/>
      <c r="E174" s="172"/>
    </row>
    <row r="175" spans="1:10">
      <c r="A175" s="1123">
        <f t="shared" si="2"/>
        <v>163</v>
      </c>
      <c r="B175" s="263"/>
      <c r="C175" s="178" t="s">
        <v>326</v>
      </c>
      <c r="D175" s="421">
        <f>+D169+SUM(D171:D173)</f>
        <v>146265573.42721879</v>
      </c>
      <c r="E175" s="420"/>
    </row>
    <row r="176" spans="1:10">
      <c r="A176" s="1123">
        <f t="shared" si="2"/>
        <v>164</v>
      </c>
      <c r="B176" s="204"/>
      <c r="D176" s="172"/>
      <c r="E176" s="172"/>
    </row>
    <row r="177" spans="1:5" ht="15.75" thickBot="1">
      <c r="A177" s="1123">
        <f t="shared" si="2"/>
        <v>165</v>
      </c>
      <c r="B177" s="263"/>
      <c r="C177" s="178" t="s">
        <v>343</v>
      </c>
      <c r="D177" s="1125">
        <f>(D28-D175)</f>
        <v>27201349.522450656</v>
      </c>
      <c r="E177" s="420"/>
    </row>
    <row r="178" spans="1:5" ht="15.75" thickTop="1">
      <c r="A178" s="169"/>
      <c r="B178" s="423"/>
      <c r="C178" s="169"/>
      <c r="D178" s="202"/>
      <c r="E178" s="202"/>
    </row>
    <row r="179" spans="1:5">
      <c r="A179" s="169"/>
      <c r="B179" s="424"/>
      <c r="C179" s="169"/>
      <c r="D179" s="169"/>
      <c r="E179" s="169"/>
    </row>
    <row r="180" spans="1:5">
      <c r="B180" s="266"/>
    </row>
    <row r="181" spans="1:5">
      <c r="B181" s="266"/>
    </row>
    <row r="182" spans="1:5">
      <c r="B182" s="266"/>
    </row>
    <row r="183" spans="1:5">
      <c r="B183" s="266"/>
    </row>
    <row r="184" spans="1:5">
      <c r="B184" s="204"/>
    </row>
    <row r="185" spans="1:5">
      <c r="B185" s="204"/>
    </row>
    <row r="186" spans="1:5">
      <c r="B186" s="204"/>
    </row>
    <row r="187" spans="1:5">
      <c r="B187" s="204"/>
    </row>
    <row r="188" spans="1:5">
      <c r="B188" s="204"/>
    </row>
  </sheetData>
  <mergeCells count="4">
    <mergeCell ref="A1:D1"/>
    <mergeCell ref="A2:D2"/>
    <mergeCell ref="A3:D3"/>
    <mergeCell ref="A4:D4"/>
  </mergeCells>
  <phoneticPr fontId="21" type="noConversion"/>
  <printOptions horizontalCentered="1"/>
  <pageMargins left="0.81" right="0.7" top="0.71" bottom="0.94" header="0.5" footer="0.25"/>
  <pageSetup scale="79" fitToHeight="10" orientation="portrait" verticalDpi="300" r:id="rId1"/>
  <headerFooter alignWithMargins="0">
    <oddFooter>&amp;RSchedule &amp;A
Page &amp;P of &amp;N</oddFooter>
  </headerFooter>
  <rowBreaks count="4" manualBreakCount="4">
    <brk id="37" max="3" man="1"/>
    <brk id="70" max="3" man="1"/>
    <brk id="115" max="3" man="1"/>
    <brk id="149" max="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0"/>
  <dimension ref="A1:Y143"/>
  <sheetViews>
    <sheetView view="pageBreakPreview" zoomScale="80" zoomScaleNormal="100" zoomScaleSheetLayoutView="80" workbookViewId="0">
      <selection sqref="A1:P1"/>
    </sheetView>
  </sheetViews>
  <sheetFormatPr defaultColWidth="7.109375" defaultRowHeight="15"/>
  <cols>
    <col min="1" max="1" width="4.6640625" customWidth="1"/>
    <col min="2" max="2" width="8.6640625" customWidth="1"/>
    <col min="3" max="3" width="42" customWidth="1"/>
    <col min="4" max="4" width="12.44140625" bestFit="1" customWidth="1"/>
    <col min="5" max="5" width="11.109375" customWidth="1"/>
    <col min="6" max="6" width="12" bestFit="1" customWidth="1"/>
    <col min="7" max="7" width="11.77734375" bestFit="1" customWidth="1"/>
    <col min="8" max="8" width="12" bestFit="1" customWidth="1"/>
    <col min="9" max="9" width="11.109375" customWidth="1"/>
    <col min="10" max="11" width="11.33203125" bestFit="1" customWidth="1"/>
    <col min="12" max="13" width="12.44140625" bestFit="1" customWidth="1"/>
    <col min="14" max="14" width="11.33203125" bestFit="1" customWidth="1"/>
    <col min="15" max="15" width="16.6640625" customWidth="1"/>
    <col min="16" max="16" width="19.109375" customWidth="1"/>
    <col min="17" max="17" width="12.44140625" customWidth="1"/>
    <col min="18" max="18" width="12.5546875" customWidth="1"/>
    <col min="19" max="19" width="10.88671875" customWidth="1"/>
  </cols>
  <sheetData>
    <row r="1" spans="1:21">
      <c r="A1" s="1270" t="str">
        <f>'Table of Contents'!A1:C1</f>
        <v>Atmos Energy Corporation, Kentucky/Mid-States Division</v>
      </c>
      <c r="B1" s="1270"/>
      <c r="C1" s="1270"/>
      <c r="D1" s="1270"/>
      <c r="E1" s="1270"/>
      <c r="F1" s="1270"/>
      <c r="G1" s="1270"/>
      <c r="H1" s="1270"/>
      <c r="I1" s="1270"/>
      <c r="J1" s="1270"/>
      <c r="K1" s="1270"/>
      <c r="L1" s="1270"/>
      <c r="M1" s="1270"/>
      <c r="N1" s="1270"/>
      <c r="O1" s="1270"/>
      <c r="P1" s="1270"/>
      <c r="Q1" s="1"/>
      <c r="R1" s="1"/>
      <c r="S1" s="1"/>
    </row>
    <row r="2" spans="1:21">
      <c r="A2" s="1270" t="str">
        <f>'Table of Contents'!A2:C2</f>
        <v>Kentucky Jurisdiction Case No. 2021-00214</v>
      </c>
      <c r="B2" s="1270"/>
      <c r="C2" s="1270"/>
      <c r="D2" s="1270"/>
      <c r="E2" s="1270"/>
      <c r="F2" s="1270"/>
      <c r="G2" s="1270"/>
      <c r="H2" s="1270"/>
      <c r="I2" s="1270"/>
      <c r="J2" s="1270"/>
      <c r="K2" s="1270"/>
      <c r="L2" s="1270"/>
      <c r="M2" s="1270"/>
      <c r="N2" s="1270"/>
      <c r="O2" s="1270"/>
      <c r="P2" s="1270"/>
      <c r="Q2" s="1"/>
      <c r="R2" s="1"/>
      <c r="S2" s="1"/>
    </row>
    <row r="3" spans="1:21">
      <c r="A3" s="1271" t="s">
        <v>415</v>
      </c>
      <c r="B3" s="1271"/>
      <c r="C3" s="1271"/>
      <c r="D3" s="1271"/>
      <c r="E3" s="1271"/>
      <c r="F3" s="1271"/>
      <c r="G3" s="1271"/>
      <c r="H3" s="1271"/>
      <c r="I3" s="1271"/>
      <c r="J3" s="1271"/>
      <c r="K3" s="1271"/>
      <c r="L3" s="1271"/>
      <c r="M3" s="1271"/>
      <c r="N3" s="1271"/>
      <c r="O3" s="1271"/>
      <c r="P3" s="1271"/>
      <c r="Q3" s="1"/>
      <c r="R3" s="1"/>
      <c r="S3" s="1"/>
    </row>
    <row r="4" spans="1:21">
      <c r="A4" s="1270" t="str">
        <f>'Table of Contents'!A3:C3</f>
        <v>Base Period: Twelve Months Ended September 30, 2021</v>
      </c>
      <c r="B4" s="1270"/>
      <c r="C4" s="1270"/>
      <c r="D4" s="1270"/>
      <c r="E4" s="1270"/>
      <c r="F4" s="1270"/>
      <c r="G4" s="1270"/>
      <c r="H4" s="1270"/>
      <c r="I4" s="1270"/>
      <c r="J4" s="1270"/>
      <c r="K4" s="1270"/>
      <c r="L4" s="1270"/>
      <c r="M4" s="1270"/>
      <c r="N4" s="1270"/>
      <c r="O4" s="1270"/>
      <c r="P4" s="1270"/>
      <c r="Q4" s="1"/>
      <c r="R4" s="36"/>
      <c r="S4" s="36"/>
    </row>
    <row r="5" spans="1:21" ht="15.75">
      <c r="A5" s="684"/>
      <c r="B5" s="684"/>
      <c r="C5" s="684"/>
      <c r="D5" s="202"/>
      <c r="E5" s="72"/>
      <c r="F5" s="692"/>
      <c r="G5" s="684"/>
      <c r="H5" s="684"/>
      <c r="I5" s="684"/>
      <c r="J5" s="72"/>
      <c r="K5" s="692"/>
      <c r="L5" s="684"/>
      <c r="M5" s="684"/>
      <c r="N5" s="684"/>
      <c r="O5" s="684"/>
      <c r="P5" s="684"/>
      <c r="Q5" s="1"/>
      <c r="R5" s="36"/>
      <c r="S5" s="36"/>
    </row>
    <row r="6" spans="1:21" ht="15.75">
      <c r="A6" s="472" t="str">
        <f>'C.2.1 B'!A6</f>
        <v>Data:___X____Base Period________Forecasted Period</v>
      </c>
      <c r="B6" s="172"/>
      <c r="C6" s="172"/>
      <c r="D6" s="202"/>
      <c r="E6" s="202"/>
      <c r="F6" s="692"/>
      <c r="G6" s="202"/>
      <c r="H6" s="202"/>
      <c r="I6" s="202"/>
      <c r="J6" s="202"/>
      <c r="K6" s="72"/>
      <c r="L6" s="172"/>
      <c r="M6" s="172"/>
      <c r="N6" s="172"/>
      <c r="O6" s="684"/>
      <c r="P6" s="425" t="s">
        <v>1373</v>
      </c>
      <c r="Q6" s="1"/>
      <c r="R6" s="36"/>
      <c r="S6" s="36"/>
    </row>
    <row r="7" spans="1:21">
      <c r="A7" s="472" t="str">
        <f>'C.2.1 B'!A7</f>
        <v>Type of Filing:___X____Original________Updated ________Revised</v>
      </c>
      <c r="B7" s="172"/>
      <c r="C7" s="172"/>
      <c r="D7" s="202"/>
      <c r="E7" s="544"/>
      <c r="F7" s="172"/>
      <c r="G7" s="172"/>
      <c r="H7" s="172"/>
      <c r="I7" s="172"/>
      <c r="P7" s="426" t="s">
        <v>36</v>
      </c>
      <c r="Q7" s="36"/>
      <c r="R7" s="36"/>
      <c r="S7" s="36"/>
    </row>
    <row r="8" spans="1:21">
      <c r="A8" s="1061" t="str">
        <f>'C.2.1 B'!A8</f>
        <v>Workpaper Reference No(s).____________________</v>
      </c>
      <c r="B8" s="172"/>
      <c r="C8" s="172"/>
      <c r="D8" s="209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9"/>
      <c r="P8" s="1126" t="str">
        <f>'C.1'!J9</f>
        <v>Witness: Christian, Densman</v>
      </c>
      <c r="Q8" s="36"/>
      <c r="R8" s="36"/>
      <c r="S8" s="36"/>
    </row>
    <row r="9" spans="1:21">
      <c r="A9" s="693" t="s">
        <v>92</v>
      </c>
      <c r="B9" s="694" t="s">
        <v>99</v>
      </c>
      <c r="C9" s="695"/>
      <c r="D9" s="670" t="s">
        <v>106</v>
      </c>
      <c r="E9" s="670" t="s">
        <v>106</v>
      </c>
      <c r="F9" s="670" t="s">
        <v>106</v>
      </c>
      <c r="G9" s="670" t="s">
        <v>106</v>
      </c>
      <c r="H9" s="670" t="s">
        <v>106</v>
      </c>
      <c r="I9" s="670" t="s">
        <v>106</v>
      </c>
      <c r="J9" s="962" t="s">
        <v>449</v>
      </c>
      <c r="K9" s="962" t="s">
        <v>449</v>
      </c>
      <c r="L9" s="962" t="s">
        <v>449</v>
      </c>
      <c r="M9" s="962" t="s">
        <v>449</v>
      </c>
      <c r="N9" s="962" t="s">
        <v>449</v>
      </c>
      <c r="O9" s="962" t="s">
        <v>449</v>
      </c>
      <c r="P9" s="389"/>
      <c r="Q9" s="70"/>
      <c r="R9" s="70"/>
      <c r="S9" s="70"/>
    </row>
    <row r="10" spans="1:21">
      <c r="A10" s="696" t="s">
        <v>98</v>
      </c>
      <c r="B10" s="697" t="s">
        <v>98</v>
      </c>
      <c r="C10" s="698" t="s">
        <v>941</v>
      </c>
      <c r="D10" s="494">
        <v>44105</v>
      </c>
      <c r="E10" s="1098">
        <f>EOMONTH(D10,0)+1</f>
        <v>44136</v>
      </c>
      <c r="F10" s="1098">
        <f t="shared" ref="F10:O10" si="0">EOMONTH(E10,0)+1</f>
        <v>44166</v>
      </c>
      <c r="G10" s="1098">
        <f t="shared" si="0"/>
        <v>44197</v>
      </c>
      <c r="H10" s="1098">
        <f t="shared" si="0"/>
        <v>44228</v>
      </c>
      <c r="I10" s="1098">
        <f t="shared" si="0"/>
        <v>44256</v>
      </c>
      <c r="J10" s="1098">
        <f t="shared" si="0"/>
        <v>44287</v>
      </c>
      <c r="K10" s="1098">
        <f t="shared" si="0"/>
        <v>44317</v>
      </c>
      <c r="L10" s="1098">
        <f t="shared" si="0"/>
        <v>44348</v>
      </c>
      <c r="M10" s="1098">
        <f t="shared" si="0"/>
        <v>44378</v>
      </c>
      <c r="N10" s="1098">
        <f t="shared" si="0"/>
        <v>44409</v>
      </c>
      <c r="O10" s="1098">
        <f t="shared" si="0"/>
        <v>44440</v>
      </c>
      <c r="P10" s="960" t="s">
        <v>95</v>
      </c>
      <c r="Q10" s="181"/>
      <c r="R10" s="70"/>
      <c r="S10" s="70"/>
    </row>
    <row r="11" spans="1:21">
      <c r="A11" s="172"/>
      <c r="B11" s="172"/>
      <c r="C11" s="172"/>
      <c r="D11" s="182" t="s">
        <v>145</v>
      </c>
      <c r="E11" s="182" t="s">
        <v>145</v>
      </c>
      <c r="F11" s="182" t="s">
        <v>145</v>
      </c>
      <c r="G11" s="182" t="s">
        <v>145</v>
      </c>
      <c r="H11" s="182" t="s">
        <v>145</v>
      </c>
      <c r="I11" s="182" t="s">
        <v>145</v>
      </c>
      <c r="J11" s="182" t="s">
        <v>145</v>
      </c>
      <c r="K11" s="182" t="s">
        <v>145</v>
      </c>
      <c r="L11" s="182" t="s">
        <v>145</v>
      </c>
      <c r="M11" s="182" t="s">
        <v>145</v>
      </c>
      <c r="N11" s="182" t="s">
        <v>145</v>
      </c>
      <c r="O11" s="182" t="s">
        <v>145</v>
      </c>
      <c r="P11" s="182" t="s">
        <v>145</v>
      </c>
      <c r="Q11" s="166"/>
      <c r="R11" s="36"/>
    </row>
    <row r="12" spans="1:21">
      <c r="A12" s="389">
        <v>1</v>
      </c>
      <c r="B12" s="669" t="s">
        <v>727</v>
      </c>
      <c r="C12" s="95" t="s">
        <v>719</v>
      </c>
      <c r="D12" s="481">
        <f>'[12]DIV 009 IS Activity'!L10+'[12]DIV 009 IS Activity'!L11</f>
        <v>0</v>
      </c>
      <c r="E12" s="481">
        <f>'[12]DIV 009 IS Activity'!M10+'[12]DIV 009 IS Activity'!M11</f>
        <v>0</v>
      </c>
      <c r="F12" s="481">
        <f>'[12]DIV 009 IS Activity'!N10+'[12]DIV 009 IS Activity'!N11</f>
        <v>12974026</v>
      </c>
      <c r="G12" s="481">
        <f>'[12]DIV 009 IS Activity'!O10+'[12]DIV 009 IS Activity'!O11</f>
        <v>0</v>
      </c>
      <c r="H12" s="481">
        <f>'[12]DIV 009 IS Activity'!P10+'[12]DIV 009 IS Activity'!P11</f>
        <v>0</v>
      </c>
      <c r="I12" s="481">
        <f>'[12]DIV 009 IS Activity'!Q10+'[12]DIV 009 IS Activity'!Q11</f>
        <v>2826807</v>
      </c>
      <c r="J12" s="339">
        <f>(E!$E$23-SUM($D$12:$I$12))/6</f>
        <v>-1549699.1720310089</v>
      </c>
      <c r="K12" s="339">
        <f>(E!$E$23-SUM($D$12:$I$12))/6</f>
        <v>-1549699.1720310089</v>
      </c>
      <c r="L12" s="339">
        <f>(E!$E$23-SUM($D$12:$I$12))/6</f>
        <v>-1549699.1720310089</v>
      </c>
      <c r="M12" s="339">
        <f>(E!$E$23-SUM($D$12:$I$12))/6</f>
        <v>-1549699.1720310089</v>
      </c>
      <c r="N12" s="339">
        <f>(E!$E$23-SUM($D$12:$I$12))/6</f>
        <v>-1549699.1720310089</v>
      </c>
      <c r="O12" s="339">
        <f>(E!$E$23-SUM($D$12:$I$12))/6</f>
        <v>-1549699.1720310089</v>
      </c>
      <c r="P12" s="95">
        <f>SUM(D12:O12)</f>
        <v>6502637.9678139444</v>
      </c>
      <c r="Q12" s="477"/>
      <c r="R12" s="477"/>
      <c r="S12" s="477"/>
      <c r="U12" s="640"/>
    </row>
    <row r="13" spans="1:21">
      <c r="A13" s="1036">
        <f t="shared" ref="A13:A85" si="1">A12+1</f>
        <v>2</v>
      </c>
      <c r="B13" s="669"/>
      <c r="C13" s="172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183"/>
      <c r="R13" s="132"/>
      <c r="S13" s="132"/>
    </row>
    <row r="14" spans="1:21">
      <c r="A14" s="1036">
        <f t="shared" si="1"/>
        <v>3</v>
      </c>
      <c r="B14" s="669">
        <v>4030</v>
      </c>
      <c r="C14" s="172" t="s">
        <v>90</v>
      </c>
      <c r="D14" s="481">
        <f>'[12]DIV 009 IS Activity'!L6</f>
        <v>1725227.2200000002</v>
      </c>
      <c r="E14" s="481">
        <f>'[12]DIV 009 IS Activity'!M6</f>
        <v>1724126.2200000002</v>
      </c>
      <c r="F14" s="481">
        <f>'[12]DIV 009 IS Activity'!N6</f>
        <v>1732493.55</v>
      </c>
      <c r="G14" s="481">
        <f>'[12]DIV 009 IS Activity'!O6</f>
        <v>1734573.7999999998</v>
      </c>
      <c r="H14" s="481">
        <f>'[12]DIV 009 IS Activity'!P6</f>
        <v>1734151.2799999998</v>
      </c>
      <c r="I14" s="481">
        <f>'[12]DIV 009 IS Activity'!Q6</f>
        <v>1734229.9099999997</v>
      </c>
      <c r="J14" s="481">
        <f>[4]Reserve!AR205</f>
        <v>1465850.7166463858</v>
      </c>
      <c r="K14" s="481">
        <f>[4]Reserve!AS205</f>
        <v>1474340.211804952</v>
      </c>
      <c r="L14" s="481">
        <f>[4]Reserve!AT205</f>
        <v>1482704.3918473823</v>
      </c>
      <c r="M14" s="481">
        <f>[4]Reserve!AU205</f>
        <v>1489903.5422882678</v>
      </c>
      <c r="N14" s="481">
        <f>[4]Reserve!AV205</f>
        <v>1495435.3014832188</v>
      </c>
      <c r="O14" s="481">
        <f>[4]Reserve!AW205</f>
        <v>1502692.5047595145</v>
      </c>
      <c r="P14" s="95">
        <f t="shared" ref="P14" si="2">SUM(D14:O14)</f>
        <v>19295728.648829721</v>
      </c>
      <c r="Q14" s="557"/>
      <c r="R14" s="183"/>
      <c r="S14" s="183"/>
    </row>
    <row r="15" spans="1:21">
      <c r="A15" s="1036">
        <f t="shared" si="1"/>
        <v>4</v>
      </c>
      <c r="B15" s="669">
        <v>4060</v>
      </c>
      <c r="C15" s="183" t="s">
        <v>853</v>
      </c>
      <c r="D15" s="481">
        <f>'[12]DIV 009 IS Activity'!L7</f>
        <v>4145.7299999999996</v>
      </c>
      <c r="E15" s="481">
        <f>'[12]DIV 009 IS Activity'!M7</f>
        <v>4145.7299999999996</v>
      </c>
      <c r="F15" s="481">
        <f>'[12]DIV 009 IS Activity'!N7</f>
        <v>4145.7299999999996</v>
      </c>
      <c r="G15" s="481">
        <f>'[12]DIV 009 IS Activity'!O7</f>
        <v>4145.7299999999996</v>
      </c>
      <c r="H15" s="481">
        <f>'[12]DIV 009 IS Activity'!P7</f>
        <v>4145.7299999999996</v>
      </c>
      <c r="I15" s="481">
        <f>'[12]DIV 009 IS Activity'!Q7</f>
        <v>4145.7299999999996</v>
      </c>
      <c r="J15" s="481">
        <f>I15</f>
        <v>4145.7299999999996</v>
      </c>
      <c r="K15" s="481">
        <f t="shared" ref="K15:O15" si="3">J15</f>
        <v>4145.7299999999996</v>
      </c>
      <c r="L15" s="481">
        <f t="shared" si="3"/>
        <v>4145.7299999999996</v>
      </c>
      <c r="M15" s="481">
        <f t="shared" si="3"/>
        <v>4145.7299999999996</v>
      </c>
      <c r="N15" s="481">
        <f t="shared" si="3"/>
        <v>4145.7299999999996</v>
      </c>
      <c r="O15" s="481">
        <f t="shared" si="3"/>
        <v>4145.7299999999996</v>
      </c>
      <c r="P15" s="95">
        <f t="shared" ref="P15:P66" si="4">SUM(D15:O15)</f>
        <v>49748.75999999998</v>
      </c>
      <c r="R15" s="477"/>
      <c r="S15" s="132"/>
    </row>
    <row r="16" spans="1:21">
      <c r="A16" s="1036">
        <f t="shared" si="1"/>
        <v>5</v>
      </c>
      <c r="B16" s="669">
        <v>4081</v>
      </c>
      <c r="C16" s="183" t="s">
        <v>854</v>
      </c>
      <c r="D16" s="481">
        <f>'[12]DIV 009 IS Activity'!L9</f>
        <v>715614.15999999992</v>
      </c>
      <c r="E16" s="481">
        <f>'[12]DIV 009 IS Activity'!M9</f>
        <v>736719.5</v>
      </c>
      <c r="F16" s="481">
        <f>'[12]DIV 009 IS Activity'!N9</f>
        <v>756424.4</v>
      </c>
      <c r="G16" s="481">
        <f>'[12]DIV 009 IS Activity'!O9</f>
        <v>829075.95</v>
      </c>
      <c r="H16" s="481">
        <f>'[12]DIV 009 IS Activity'!P9</f>
        <v>796304.86999999988</v>
      </c>
      <c r="I16" s="481">
        <f>'[12]DIV 009 IS Activity'!Q9</f>
        <v>866805.94</v>
      </c>
      <c r="J16" s="481">
        <f>'C.2.3 B'!I24</f>
        <v>836895.7551271799</v>
      </c>
      <c r="K16" s="481">
        <f>'C.2.3 B'!J24</f>
        <v>812262.7551271799</v>
      </c>
      <c r="L16" s="481">
        <f>'C.2.3 B'!K24</f>
        <v>970035.7551271799</v>
      </c>
      <c r="M16" s="481">
        <f>'C.2.3 B'!L24</f>
        <v>808367.7551271799</v>
      </c>
      <c r="N16" s="481">
        <f>'C.2.3 B'!M24</f>
        <v>813612.7551271799</v>
      </c>
      <c r="O16" s="481">
        <f>'C.2.3 B'!N24</f>
        <v>807183.7551271799</v>
      </c>
      <c r="P16" s="95">
        <f>SUM(D16:O16)</f>
        <v>9749303.3507630825</v>
      </c>
      <c r="Q16" s="477"/>
      <c r="R16" s="544"/>
      <c r="S16" s="477"/>
    </row>
    <row r="17" spans="1:25">
      <c r="A17" s="1036">
        <f t="shared" si="1"/>
        <v>6</v>
      </c>
      <c r="B17" s="669">
        <v>4800</v>
      </c>
      <c r="C17" s="588" t="s">
        <v>855</v>
      </c>
      <c r="D17" s="481">
        <f>'[12]DIV 009 IS Activity'!L29</f>
        <v>-4389566</v>
      </c>
      <c r="E17" s="481">
        <f>'[12]DIV 009 IS Activity'!M29</f>
        <v>-6573042.3099999996</v>
      </c>
      <c r="F17" s="481">
        <f>'[12]DIV 009 IS Activity'!N29</f>
        <v>-10594273.170000002</v>
      </c>
      <c r="G17" s="481">
        <f>'[12]DIV 009 IS Activity'!O29</f>
        <v>-14202976.970000001</v>
      </c>
      <c r="H17" s="481">
        <f>'[12]DIV 009 IS Activity'!P29</f>
        <v>-14243829.289999999</v>
      </c>
      <c r="I17" s="481">
        <f>'[12]DIV 009 IS Activity'!Q29</f>
        <v>-12321346.049999999</v>
      </c>
      <c r="J17" s="88">
        <f>-'[9]Summary of Revenue'!P11</f>
        <v>-8059598.6144920122</v>
      </c>
      <c r="K17" s="88">
        <f>-'[9]Summary of Revenue'!Q11</f>
        <v>-5767054.7861591028</v>
      </c>
      <c r="L17" s="88">
        <f>-'[9]Summary of Revenue'!R11</f>
        <v>-4488515.4297275655</v>
      </c>
      <c r="M17" s="88">
        <f>-'[9]Summary of Revenue'!S11</f>
        <v>-4229758.7082547341</v>
      </c>
      <c r="N17" s="88">
        <f>-'[9]Summary of Revenue'!T11</f>
        <v>-4293288.2209537402</v>
      </c>
      <c r="O17" s="88">
        <f>-'[9]Summary of Revenue'!U11</f>
        <v>-4318441.1533798221</v>
      </c>
      <c r="P17" s="95">
        <f t="shared" si="4"/>
        <v>-93481690.702966988</v>
      </c>
      <c r="Q17" s="132"/>
      <c r="R17" s="132"/>
      <c r="S17" s="132"/>
    </row>
    <row r="18" spans="1:25">
      <c r="A18" s="1036">
        <f t="shared" si="1"/>
        <v>7</v>
      </c>
      <c r="B18" s="570">
        <v>4805</v>
      </c>
      <c r="C18" s="312" t="s">
        <v>1266</v>
      </c>
      <c r="D18" s="481">
        <f>'[12]DIV 009 IS Activity'!L30</f>
        <v>-1161190.4099999999</v>
      </c>
      <c r="E18" s="481">
        <f>'[12]DIV 009 IS Activity'!M30</f>
        <v>-1605913.48</v>
      </c>
      <c r="F18" s="481">
        <f>'[12]DIV 009 IS Activity'!N30</f>
        <v>-2388951.96</v>
      </c>
      <c r="G18" s="481">
        <f>'[12]DIV 009 IS Activity'!O30</f>
        <v>129738.67</v>
      </c>
      <c r="H18" s="481">
        <f>'[12]DIV 009 IS Activity'!P30</f>
        <v>610667.66999999993</v>
      </c>
      <c r="I18" s="481">
        <f>'[12]DIV 009 IS Activity'!Q30</f>
        <v>2150074.06</v>
      </c>
      <c r="J18" s="88"/>
      <c r="K18" s="88"/>
      <c r="L18" s="88"/>
      <c r="M18" s="88"/>
      <c r="N18" s="88"/>
      <c r="O18" s="88"/>
      <c r="P18" s="95">
        <f t="shared" si="4"/>
        <v>-2265575.4499999997</v>
      </c>
      <c r="Q18" s="132"/>
      <c r="R18" s="132"/>
      <c r="S18" s="132"/>
    </row>
    <row r="19" spans="1:25">
      <c r="A19" s="1036">
        <f t="shared" si="1"/>
        <v>8</v>
      </c>
      <c r="B19" s="669">
        <v>4811</v>
      </c>
      <c r="C19" s="588" t="s">
        <v>1336</v>
      </c>
      <c r="D19" s="481">
        <f>'[12]DIV 009 IS Activity'!L31</f>
        <v>-2081080.9300000004</v>
      </c>
      <c r="E19" s="481">
        <f>'[12]DIV 009 IS Activity'!M31</f>
        <v>-2653755.96</v>
      </c>
      <c r="F19" s="481">
        <f>'[12]DIV 009 IS Activity'!N31</f>
        <v>-4254594.9499999993</v>
      </c>
      <c r="G19" s="481">
        <f>'[12]DIV 009 IS Activity'!O31</f>
        <v>-6033919.9199999999</v>
      </c>
      <c r="H19" s="481">
        <f>'[12]DIV 009 IS Activity'!P31</f>
        <v>-6098779.2999999998</v>
      </c>
      <c r="I19" s="481">
        <f>'[12]DIV 009 IS Activity'!Q31</f>
        <v>-5209681.5699999994</v>
      </c>
      <c r="J19" s="88">
        <f>-'[9]Summary of Revenue'!P12</f>
        <v>-3386210.2514850302</v>
      </c>
      <c r="K19" s="88">
        <f>-'[9]Summary of Revenue'!Q12</f>
        <v>-2593945.3599636415</v>
      </c>
      <c r="L19" s="88">
        <f>-'[9]Summary of Revenue'!R12</f>
        <v>-2090392.3746993246</v>
      </c>
      <c r="M19" s="88">
        <f>-'[9]Summary of Revenue'!S12</f>
        <v>-1982915.178065975</v>
      </c>
      <c r="N19" s="88">
        <f>-'[9]Summary of Revenue'!T12</f>
        <v>-2043024.8817195422</v>
      </c>
      <c r="O19" s="88">
        <f>-'[9]Summary of Revenue'!U12</f>
        <v>-2039926.1776890531</v>
      </c>
      <c r="P19" s="95">
        <f t="shared" si="4"/>
        <v>-40468226.853622571</v>
      </c>
      <c r="Q19" s="132"/>
      <c r="R19" s="477"/>
      <c r="S19" s="132"/>
    </row>
    <row r="20" spans="1:25">
      <c r="A20" s="1036">
        <f t="shared" si="1"/>
        <v>9</v>
      </c>
      <c r="B20" s="669">
        <v>4812</v>
      </c>
      <c r="C20" s="183" t="s">
        <v>1337</v>
      </c>
      <c r="D20" s="481">
        <f>'[12]DIV 009 IS Activity'!L32</f>
        <v>-170311.87</v>
      </c>
      <c r="E20" s="481">
        <f>'[12]DIV 009 IS Activity'!M32</f>
        <v>-286329.5</v>
      </c>
      <c r="F20" s="481">
        <f>'[12]DIV 009 IS Activity'!N32</f>
        <v>-503033.18000000005</v>
      </c>
      <c r="G20" s="481">
        <f>'[12]DIV 009 IS Activity'!O32</f>
        <v>-691279.96</v>
      </c>
      <c r="H20" s="481">
        <f>'[12]DIV 009 IS Activity'!P32</f>
        <v>-786975.93</v>
      </c>
      <c r="I20" s="481">
        <f>'[12]DIV 009 IS Activity'!Q32</f>
        <v>-540118.29</v>
      </c>
      <c r="J20" s="88">
        <f>-'[9]Summary of Revenue'!P13</f>
        <v>-402882.61125356989</v>
      </c>
      <c r="K20" s="88">
        <f>-'[9]Summary of Revenue'!Q13</f>
        <v>-249587.92311322244</v>
      </c>
      <c r="L20" s="88">
        <f>-'[9]Summary of Revenue'!R13</f>
        <v>-128434.35825986193</v>
      </c>
      <c r="M20" s="88">
        <f>-'[9]Summary of Revenue'!S13</f>
        <v>-151818.0931076163</v>
      </c>
      <c r="N20" s="88">
        <f>-'[9]Summary of Revenue'!T13</f>
        <v>-192837.59906000068</v>
      </c>
      <c r="O20" s="88">
        <f>-'[9]Summary of Revenue'!U13</f>
        <v>-445053.01224945782</v>
      </c>
      <c r="P20" s="95">
        <f t="shared" si="4"/>
        <v>-4548662.3270437289</v>
      </c>
      <c r="Q20" s="132"/>
      <c r="R20" s="477"/>
      <c r="S20" s="132"/>
    </row>
    <row r="21" spans="1:25">
      <c r="A21" s="1036">
        <f t="shared" si="1"/>
        <v>10</v>
      </c>
      <c r="B21" s="669">
        <v>4815</v>
      </c>
      <c r="C21" s="183" t="s">
        <v>1267</v>
      </c>
      <c r="D21" s="481">
        <f>'[12]DIV 009 IS Activity'!L33</f>
        <v>-511613.14</v>
      </c>
      <c r="E21" s="481">
        <f>'[12]DIV 009 IS Activity'!M33</f>
        <v>-468313.98</v>
      </c>
      <c r="F21" s="481">
        <f>'[12]DIV 009 IS Activity'!N33</f>
        <v>-968927.23</v>
      </c>
      <c r="G21" s="481">
        <f>'[12]DIV 009 IS Activity'!O33</f>
        <v>-221742.22</v>
      </c>
      <c r="H21" s="481">
        <f>'[12]DIV 009 IS Activity'!P33</f>
        <v>504744.37</v>
      </c>
      <c r="I21" s="481">
        <f>'[12]DIV 009 IS Activity'!Q33</f>
        <v>748392.8</v>
      </c>
      <c r="J21" s="88"/>
      <c r="K21" s="88"/>
      <c r="L21" s="88"/>
      <c r="M21" s="88"/>
      <c r="N21" s="88"/>
      <c r="O21" s="88"/>
      <c r="P21" s="95">
        <f t="shared" si="4"/>
        <v>-917459.40000000014</v>
      </c>
      <c r="Q21" s="132"/>
      <c r="R21" s="477"/>
      <c r="S21" s="132"/>
    </row>
    <row r="22" spans="1:25">
      <c r="A22" s="1036">
        <f t="shared" si="1"/>
        <v>11</v>
      </c>
      <c r="B22" s="669">
        <v>4816</v>
      </c>
      <c r="C22" s="183" t="s">
        <v>1297</v>
      </c>
      <c r="D22" s="481">
        <f>'[12]DIV 009 IS Activity'!L34</f>
        <v>-6831.82</v>
      </c>
      <c r="E22" s="481">
        <f>'[12]DIV 009 IS Activity'!M34</f>
        <v>-639.27</v>
      </c>
      <c r="F22" s="481">
        <f>'[12]DIV 009 IS Activity'!N34</f>
        <v>-26558.3</v>
      </c>
      <c r="G22" s="481">
        <f>'[12]DIV 009 IS Activity'!O34</f>
        <v>4535.9399999999996</v>
      </c>
      <c r="H22" s="481">
        <f>'[12]DIV 009 IS Activity'!P34</f>
        <v>44265.36</v>
      </c>
      <c r="I22" s="481">
        <f>'[12]DIV 009 IS Activity'!Q34</f>
        <v>-31411.18</v>
      </c>
      <c r="J22" s="88"/>
      <c r="K22" s="88"/>
      <c r="L22" s="88"/>
      <c r="M22" s="88"/>
      <c r="N22" s="88"/>
      <c r="O22" s="88"/>
      <c r="P22" s="95">
        <f t="shared" si="4"/>
        <v>-16639.27</v>
      </c>
      <c r="R22" s="477"/>
      <c r="S22" s="132"/>
    </row>
    <row r="23" spans="1:25">
      <c r="A23" s="1036">
        <f t="shared" si="1"/>
        <v>12</v>
      </c>
      <c r="B23" s="669">
        <v>4820</v>
      </c>
      <c r="C23" s="183" t="s">
        <v>856</v>
      </c>
      <c r="D23" s="481">
        <f>'[12]DIV 009 IS Activity'!L35</f>
        <v>-226898.61</v>
      </c>
      <c r="E23" s="481">
        <f>'[12]DIV 009 IS Activity'!M35</f>
        <v>-378743.30000000005</v>
      </c>
      <c r="F23" s="481">
        <f>'[12]DIV 009 IS Activity'!N35</f>
        <v>-687579.35000000009</v>
      </c>
      <c r="G23" s="481">
        <f>'[12]DIV 009 IS Activity'!O35</f>
        <v>-957387.78999999992</v>
      </c>
      <c r="H23" s="481">
        <f>'[12]DIV 009 IS Activity'!P35</f>
        <v>-981312.73</v>
      </c>
      <c r="I23" s="481">
        <f>'[12]DIV 009 IS Activity'!Q35</f>
        <v>-877681.38</v>
      </c>
      <c r="J23" s="88">
        <f>-'[9]Summary of Revenue'!P14</f>
        <v>-505833.30088488851</v>
      </c>
      <c r="K23" s="88">
        <f>-'[9]Summary of Revenue'!Q14</f>
        <v>-341005.71490520553</v>
      </c>
      <c r="L23" s="88">
        <f>-'[9]Summary of Revenue'!R14</f>
        <v>-243284.52638502914</v>
      </c>
      <c r="M23" s="88">
        <f>-'[9]Summary of Revenue'!S14</f>
        <v>-219038.56931779202</v>
      </c>
      <c r="N23" s="88">
        <f>-'[9]Summary of Revenue'!T14</f>
        <v>-230818.93125686116</v>
      </c>
      <c r="O23" s="88">
        <f>-'[9]Summary of Revenue'!U14</f>
        <v>-232906.83522370883</v>
      </c>
      <c r="P23" s="95">
        <f t="shared" si="4"/>
        <v>-5882491.037973485</v>
      </c>
      <c r="Q23" s="183"/>
      <c r="R23" s="477"/>
      <c r="S23" s="132"/>
    </row>
    <row r="24" spans="1:25">
      <c r="A24" s="1036">
        <f t="shared" si="1"/>
        <v>13</v>
      </c>
      <c r="B24" s="669">
        <v>4825</v>
      </c>
      <c r="C24" s="183" t="s">
        <v>1268</v>
      </c>
      <c r="D24" s="481">
        <f>'[12]DIV 009 IS Activity'!L36</f>
        <v>-95557.58</v>
      </c>
      <c r="E24" s="481">
        <f>'[12]DIV 009 IS Activity'!M36</f>
        <v>-125403.3</v>
      </c>
      <c r="F24" s="481">
        <f>'[12]DIV 009 IS Activity'!N36</f>
        <v>-167756.96</v>
      </c>
      <c r="G24" s="481">
        <f>'[12]DIV 009 IS Activity'!O36</f>
        <v>-23954.190000000002</v>
      </c>
      <c r="H24" s="481">
        <f>'[12]DIV 009 IS Activity'!P36</f>
        <v>71882.209999999992</v>
      </c>
      <c r="I24" s="481">
        <f>'[12]DIV 009 IS Activity'!Q36</f>
        <v>161073.73000000001</v>
      </c>
      <c r="J24" s="88"/>
      <c r="K24" s="88"/>
      <c r="L24" s="88"/>
      <c r="M24" s="88"/>
      <c r="N24" s="88"/>
      <c r="O24" s="88"/>
      <c r="P24" s="95">
        <f t="shared" si="4"/>
        <v>-179716.08999999994</v>
      </c>
      <c r="S24" s="132"/>
    </row>
    <row r="25" spans="1:25">
      <c r="A25" s="1036">
        <f t="shared" si="1"/>
        <v>14</v>
      </c>
      <c r="B25" s="669">
        <v>4870</v>
      </c>
      <c r="C25" s="183" t="s">
        <v>229</v>
      </c>
      <c r="D25" s="481">
        <f>'[12]DIV 009 IS Activity'!L37</f>
        <v>7.37</v>
      </c>
      <c r="E25" s="481">
        <f>'[12]DIV 009 IS Activity'!M37</f>
        <v>-17.68</v>
      </c>
      <c r="F25" s="481">
        <f>'[12]DIV 009 IS Activity'!N37</f>
        <v>97.27</v>
      </c>
      <c r="G25" s="481">
        <f>'[12]DIV 009 IS Activity'!O37</f>
        <v>29</v>
      </c>
      <c r="H25" s="481">
        <f>'[12]DIV 009 IS Activity'!P37</f>
        <v>2.2799999999999998</v>
      </c>
      <c r="I25" s="481">
        <f>'[12]DIV 009 IS Activity'!Q37</f>
        <v>10.94</v>
      </c>
      <c r="J25" s="88">
        <f>-'[9]Summary of Revenue'!P18</f>
        <v>-138491.11715193267</v>
      </c>
      <c r="K25" s="88">
        <f>-'[9]Summary of Revenue'!Q18</f>
        <v>-103922.09119805295</v>
      </c>
      <c r="L25" s="88">
        <f>-'[9]Summary of Revenue'!R18</f>
        <v>-75652.25959186579</v>
      </c>
      <c r="M25" s="88">
        <f>-'[9]Summary of Revenue'!S18</f>
        <v>-59339.954203501329</v>
      </c>
      <c r="N25" s="88">
        <f>-'[9]Summary of Revenue'!T18</f>
        <v>-55947.943111353721</v>
      </c>
      <c r="O25" s="88">
        <f>-'[9]Summary of Revenue'!U18</f>
        <v>-57126.097771467728</v>
      </c>
      <c r="P25" s="95">
        <f t="shared" si="4"/>
        <v>-490350.28302817419</v>
      </c>
      <c r="R25" s="132"/>
      <c r="S25" s="132"/>
    </row>
    <row r="26" spans="1:25">
      <c r="A26" s="1036">
        <f t="shared" si="1"/>
        <v>15</v>
      </c>
      <c r="B26" s="669">
        <v>4880</v>
      </c>
      <c r="C26" s="183" t="s">
        <v>857</v>
      </c>
      <c r="D26" s="481">
        <f>'[12]DIV 009 IS Activity'!L38</f>
        <v>-21842</v>
      </c>
      <c r="E26" s="481">
        <f>'[12]DIV 009 IS Activity'!M38</f>
        <v>-14779</v>
      </c>
      <c r="F26" s="481">
        <f>'[12]DIV 009 IS Activity'!N38</f>
        <v>-17743</v>
      </c>
      <c r="G26" s="481">
        <f>'[12]DIV 009 IS Activity'!O38</f>
        <v>-13260</v>
      </c>
      <c r="H26" s="481">
        <f>'[12]DIV 009 IS Activity'!P38</f>
        <v>-12790</v>
      </c>
      <c r="I26" s="481">
        <f>'[12]DIV 009 IS Activity'!Q38</f>
        <v>-11209</v>
      </c>
      <c r="J26" s="88">
        <f>-'[9]Summary of Revenue'!P19</f>
        <v>-25716</v>
      </c>
      <c r="K26" s="88">
        <f>-'[9]Summary of Revenue'!Q19</f>
        <v>-22720</v>
      </c>
      <c r="L26" s="88">
        <f>-'[9]Summary of Revenue'!R19</f>
        <v>-22154</v>
      </c>
      <c r="M26" s="88">
        <f>-'[9]Summary of Revenue'!S19</f>
        <v>-24641</v>
      </c>
      <c r="N26" s="88">
        <f>-'[9]Summary of Revenue'!T19</f>
        <v>-21821</v>
      </c>
      <c r="O26" s="88">
        <f>-'[9]Summary of Revenue'!U19</f>
        <v>-25606</v>
      </c>
      <c r="P26" s="95">
        <f t="shared" si="4"/>
        <v>-234281</v>
      </c>
      <c r="R26" s="132"/>
      <c r="S26" s="132"/>
    </row>
    <row r="27" spans="1:25">
      <c r="A27" s="1036">
        <f t="shared" si="1"/>
        <v>16</v>
      </c>
      <c r="B27" s="669">
        <v>4893</v>
      </c>
      <c r="C27" s="183" t="s">
        <v>1190</v>
      </c>
      <c r="D27" s="481">
        <f>'[12]DIV 009 IS Activity'!L39</f>
        <v>-1507384.16</v>
      </c>
      <c r="E27" s="481">
        <f>'[12]DIV 009 IS Activity'!M39</f>
        <v>-1497650.6099999996</v>
      </c>
      <c r="F27" s="481">
        <f>'[12]DIV 009 IS Activity'!N39</f>
        <v>-1770467.14</v>
      </c>
      <c r="G27" s="481">
        <f>'[12]DIV 009 IS Activity'!O39</f>
        <v>-1839284.7000000002</v>
      </c>
      <c r="H27" s="481">
        <f>'[12]DIV 009 IS Activity'!P39</f>
        <v>-1731578.78</v>
      </c>
      <c r="I27" s="481">
        <f>'[12]DIV 009 IS Activity'!Q39</f>
        <v>-1580211.05</v>
      </c>
      <c r="J27" s="88">
        <f>-'[9]Summary of Revenue'!P20</f>
        <v>-1357994.5022640678</v>
      </c>
      <c r="K27" s="88">
        <f>-'[9]Summary of Revenue'!Q20</f>
        <v>-1081436.5486016322</v>
      </c>
      <c r="L27" s="88">
        <f>-'[9]Summary of Revenue'!R20</f>
        <v>-1034624.873093004</v>
      </c>
      <c r="M27" s="88">
        <f>-'[9]Summary of Revenue'!S20</f>
        <v>-1090091.8344202503</v>
      </c>
      <c r="N27" s="88">
        <f>-'[9]Summary of Revenue'!T20</f>
        <v>-1047844.1722117214</v>
      </c>
      <c r="O27" s="88">
        <f>-'[9]Summary of Revenue'!U20</f>
        <v>-1108166.7260969775</v>
      </c>
      <c r="P27" s="95">
        <f t="shared" ref="P27:P31" si="5">SUM(D27:O27)</f>
        <v>-16646735.096687652</v>
      </c>
      <c r="Q27" s="672"/>
      <c r="R27" s="72"/>
      <c r="S27" s="72"/>
      <c r="T27" s="72"/>
      <c r="U27" s="72"/>
      <c r="V27" s="72"/>
      <c r="W27" s="72"/>
      <c r="X27" s="72"/>
      <c r="Y27" s="72"/>
    </row>
    <row r="28" spans="1:25">
      <c r="A28" s="1036">
        <f t="shared" si="1"/>
        <v>17</v>
      </c>
      <c r="B28" s="570">
        <v>4950</v>
      </c>
      <c r="C28" s="73" t="s">
        <v>657</v>
      </c>
      <c r="D28" s="481">
        <f>0</f>
        <v>0</v>
      </c>
      <c r="E28" s="481">
        <f>0</f>
        <v>0</v>
      </c>
      <c r="F28" s="481">
        <f>0</f>
        <v>0</v>
      </c>
      <c r="G28" s="481">
        <f>0</f>
        <v>0</v>
      </c>
      <c r="H28" s="481">
        <f>0</f>
        <v>0</v>
      </c>
      <c r="I28" s="481">
        <f>0</f>
        <v>0</v>
      </c>
      <c r="J28" s="88">
        <f>-'[9]Summary of Revenue'!P21</f>
        <v>-225674.54204125135</v>
      </c>
      <c r="K28" s="88">
        <f>-'[9]Summary of Revenue'!Q21</f>
        <v>-187767.63651166504</v>
      </c>
      <c r="L28" s="88">
        <f>-'[9]Summary of Revenue'!R21</f>
        <v>-158597.09419894399</v>
      </c>
      <c r="M28" s="88">
        <f>-'[9]Summary of Revenue'!S21</f>
        <v>-191773.06385539868</v>
      </c>
      <c r="N28" s="88">
        <f>-'[9]Summary of Revenue'!T21</f>
        <v>-212032.54771866949</v>
      </c>
      <c r="O28" s="88">
        <f>-'[9]Summary of Revenue'!U21</f>
        <v>-247033.27126557243</v>
      </c>
      <c r="P28" s="95">
        <f t="shared" si="5"/>
        <v>-1222878.1555915009</v>
      </c>
      <c r="Q28" s="584"/>
    </row>
    <row r="29" spans="1:25" s="639" customFormat="1">
      <c r="A29" s="1036">
        <f t="shared" si="1"/>
        <v>18</v>
      </c>
      <c r="B29" s="570">
        <v>4960</v>
      </c>
      <c r="C29" s="95" t="s">
        <v>1526</v>
      </c>
      <c r="D29" s="481">
        <f>'[12]DIV 009 IS Activity'!L40</f>
        <v>0</v>
      </c>
      <c r="E29" s="481">
        <f>'[12]DIV 009 IS Activity'!M40</f>
        <v>0</v>
      </c>
      <c r="F29" s="481">
        <f>'[12]DIV 009 IS Activity'!N40</f>
        <v>0</v>
      </c>
      <c r="G29" s="481">
        <f>'[12]DIV 009 IS Activity'!O40</f>
        <v>0</v>
      </c>
      <c r="H29" s="481">
        <f>'[12]DIV 009 IS Activity'!P40</f>
        <v>0</v>
      </c>
      <c r="I29" s="481">
        <f>'[12]DIV 009 IS Activity'!Q40</f>
        <v>0</v>
      </c>
      <c r="J29" s="88"/>
      <c r="K29" s="88"/>
      <c r="L29" s="88"/>
      <c r="M29" s="88"/>
      <c r="N29" s="88"/>
      <c r="O29" s="88"/>
      <c r="P29" s="95">
        <f t="shared" si="5"/>
        <v>0</v>
      </c>
      <c r="Q29" s="584"/>
    </row>
    <row r="30" spans="1:25">
      <c r="A30" s="1036">
        <f t="shared" si="1"/>
        <v>19</v>
      </c>
      <c r="B30" s="669">
        <v>7560</v>
      </c>
      <c r="C30" s="72" t="s">
        <v>1339</v>
      </c>
      <c r="D30" s="481">
        <f>0</f>
        <v>0</v>
      </c>
      <c r="E30" s="481">
        <f>0</f>
        <v>0</v>
      </c>
      <c r="F30" s="481">
        <f>0</f>
        <v>0</v>
      </c>
      <c r="G30" s="481">
        <f>0</f>
        <v>0</v>
      </c>
      <c r="H30" s="481">
        <f>0</f>
        <v>0</v>
      </c>
      <c r="I30" s="481">
        <f>0</f>
        <v>0</v>
      </c>
      <c r="J30" s="339">
        <f>VLOOKUP($B30,'[13]Div 9 forecast'!$D$549:$AF$630, '[13]Div 9 forecast'!L$548,FALSE)</f>
        <v>0</v>
      </c>
      <c r="K30" s="339">
        <f>VLOOKUP($B30,'[13]Div 9 forecast'!$D$549:$AF$630, '[13]Div 9 forecast'!M$548,FALSE)</f>
        <v>0</v>
      </c>
      <c r="L30" s="339">
        <f>VLOOKUP($B30,'[13]Div 9 forecast'!$D$549:$AF$630, '[13]Div 9 forecast'!N$548,FALSE)</f>
        <v>0</v>
      </c>
      <c r="M30" s="339">
        <f>VLOOKUP($B30,'[13]Div 9 forecast'!$D$549:$AF$630, '[13]Div 9 forecast'!O$548,FALSE)</f>
        <v>0</v>
      </c>
      <c r="N30" s="339">
        <f>VLOOKUP($B30,'[13]Div 9 forecast'!$D$549:$AF$630, '[13]Div 9 forecast'!P$548,FALSE)</f>
        <v>0</v>
      </c>
      <c r="O30" s="339">
        <f>VLOOKUP($B30,'[13]Div 9 forecast'!$D$549:$AF$630, '[13]Div 9 forecast'!Q$548,FALSE)</f>
        <v>0</v>
      </c>
      <c r="P30" s="95">
        <f t="shared" si="5"/>
        <v>0</v>
      </c>
      <c r="S30" s="132"/>
    </row>
    <row r="31" spans="1:25" s="635" customFormat="1">
      <c r="A31" s="1036">
        <f t="shared" si="1"/>
        <v>20</v>
      </c>
      <c r="B31" s="669">
        <v>7590</v>
      </c>
      <c r="C31" s="95" t="s">
        <v>1299</v>
      </c>
      <c r="D31" s="481">
        <f>0</f>
        <v>0</v>
      </c>
      <c r="E31" s="481">
        <f>0</f>
        <v>0</v>
      </c>
      <c r="F31" s="481">
        <f>0</f>
        <v>0</v>
      </c>
      <c r="G31" s="481">
        <f>0</f>
        <v>0</v>
      </c>
      <c r="H31" s="481">
        <f>0</f>
        <v>0</v>
      </c>
      <c r="I31" s="481">
        <f>0</f>
        <v>0</v>
      </c>
      <c r="J31" s="339">
        <f>VLOOKUP($B31,'[13]Div 9 forecast'!$D$549:$AF$630, '[13]Div 9 forecast'!L$548,FALSE)</f>
        <v>0</v>
      </c>
      <c r="K31" s="339">
        <f>VLOOKUP($B31,'[13]Div 9 forecast'!$D$549:$AF$630, '[13]Div 9 forecast'!M$548,FALSE)</f>
        <v>0</v>
      </c>
      <c r="L31" s="339">
        <f>VLOOKUP($B31,'[13]Div 9 forecast'!$D$549:$AF$630, '[13]Div 9 forecast'!N$548,FALSE)</f>
        <v>0</v>
      </c>
      <c r="M31" s="339">
        <f>VLOOKUP($B31,'[13]Div 9 forecast'!$D$549:$AF$630, '[13]Div 9 forecast'!O$548,FALSE)</f>
        <v>0</v>
      </c>
      <c r="N31" s="339">
        <f>VLOOKUP($B31,'[13]Div 9 forecast'!$D$549:$AF$630, '[13]Div 9 forecast'!P$548,FALSE)</f>
        <v>0</v>
      </c>
      <c r="O31" s="339">
        <f>VLOOKUP($B31,'[13]Div 9 forecast'!$D$549:$AF$630, '[13]Div 9 forecast'!Q$548,FALSE)</f>
        <v>0</v>
      </c>
      <c r="P31" s="95">
        <f t="shared" si="5"/>
        <v>0</v>
      </c>
      <c r="S31" s="132"/>
    </row>
    <row r="32" spans="1:25">
      <c r="A32" s="1036">
        <f t="shared" si="1"/>
        <v>21</v>
      </c>
      <c r="B32" s="669">
        <v>8001</v>
      </c>
      <c r="C32" s="183" t="s">
        <v>859</v>
      </c>
      <c r="D32" s="481">
        <f>0</f>
        <v>0</v>
      </c>
      <c r="E32" s="481">
        <f>0</f>
        <v>0</v>
      </c>
      <c r="F32" s="481">
        <f>0</f>
        <v>0</v>
      </c>
      <c r="G32" s="481">
        <f>0</f>
        <v>0</v>
      </c>
      <c r="H32" s="481">
        <f>0</f>
        <v>0</v>
      </c>
      <c r="I32" s="481">
        <f>0</f>
        <v>0</v>
      </c>
      <c r="J32" s="88">
        <f>'[14]Base and Forecast Periods'!O7</f>
        <v>0</v>
      </c>
      <c r="K32" s="88">
        <f>'[14]Base and Forecast Periods'!P7</f>
        <v>0</v>
      </c>
      <c r="L32" s="88">
        <f>'[14]Base and Forecast Periods'!Q7</f>
        <v>0</v>
      </c>
      <c r="M32" s="88">
        <f>'[14]Base and Forecast Periods'!R7</f>
        <v>0</v>
      </c>
      <c r="N32" s="88">
        <f>'[14]Base and Forecast Periods'!S7</f>
        <v>0</v>
      </c>
      <c r="O32" s="88">
        <f>'[14]Base and Forecast Periods'!T7</f>
        <v>0</v>
      </c>
      <c r="P32" s="95">
        <f t="shared" si="4"/>
        <v>0</v>
      </c>
      <c r="Q32" s="477"/>
      <c r="R32" s="477"/>
      <c r="S32" s="132"/>
    </row>
    <row r="33" spans="1:19">
      <c r="A33" s="1036">
        <f t="shared" si="1"/>
        <v>22</v>
      </c>
      <c r="B33" s="669">
        <v>8010</v>
      </c>
      <c r="C33" s="95" t="s">
        <v>1188</v>
      </c>
      <c r="D33" s="481">
        <f>'[12]DIV 009 IS Activity'!L41</f>
        <v>10553.98</v>
      </c>
      <c r="E33" s="481">
        <f>'[12]DIV 009 IS Activity'!M41</f>
        <v>5983.95</v>
      </c>
      <c r="F33" s="481">
        <f>'[12]DIV 009 IS Activity'!N41</f>
        <v>6871.59</v>
      </c>
      <c r="G33" s="481">
        <f>'[12]DIV 009 IS Activity'!O41</f>
        <v>1294.8900000000001</v>
      </c>
      <c r="H33" s="481">
        <f>'[12]DIV 009 IS Activity'!P41</f>
        <v>2851.03</v>
      </c>
      <c r="I33" s="481">
        <f>'[12]DIV 009 IS Activity'!Q41</f>
        <v>5089.03</v>
      </c>
      <c r="J33" s="88">
        <f>'[14]Base and Forecast Periods'!O8</f>
        <v>4995.7876902173966</v>
      </c>
      <c r="K33" s="88">
        <f>'[14]Base and Forecast Periods'!P8</f>
        <v>8783.3272411114012</v>
      </c>
      <c r="L33" s="88">
        <f>'[14]Base and Forecast Periods'!Q8</f>
        <v>11358.551497891558</v>
      </c>
      <c r="M33" s="88">
        <f>'[14]Base and Forecast Periods'!R8</f>
        <v>9104.9066033953786</v>
      </c>
      <c r="N33" s="88">
        <f>'[14]Base and Forecast Periods'!S8</f>
        <v>13073.94601266389</v>
      </c>
      <c r="O33" s="88">
        <f>'[14]Base and Forecast Periods'!T8</f>
        <v>15459.327542715624</v>
      </c>
      <c r="P33" s="95">
        <f t="shared" ref="P33" si="6">SUM(D33:O33)</f>
        <v>95420.316587995243</v>
      </c>
      <c r="Q33" s="132"/>
      <c r="R33" s="132"/>
      <c r="S33" s="132"/>
    </row>
    <row r="34" spans="1:19">
      <c r="A34" s="1036">
        <f t="shared" si="1"/>
        <v>23</v>
      </c>
      <c r="B34" s="669">
        <v>8040</v>
      </c>
      <c r="C34" s="183" t="s">
        <v>860</v>
      </c>
      <c r="D34" s="481">
        <f>'[12]DIV 009 IS Activity'!L42</f>
        <v>3672838.43</v>
      </c>
      <c r="E34" s="481">
        <f>'[12]DIV 009 IS Activity'!M42</f>
        <v>3793391.85</v>
      </c>
      <c r="F34" s="481">
        <f>'[12]DIV 009 IS Activity'!N42</f>
        <v>1093541.0900000001</v>
      </c>
      <c r="G34" s="481">
        <f>'[12]DIV 009 IS Activity'!O42</f>
        <v>3440149.8999999994</v>
      </c>
      <c r="H34" s="481">
        <f>'[12]DIV 009 IS Activity'!P42</f>
        <v>3090192.09</v>
      </c>
      <c r="I34" s="481">
        <f>'[12]DIV 009 IS Activity'!Q42</f>
        <v>5724714.0800000001</v>
      </c>
      <c r="J34" s="88">
        <f>'[14]Base and Forecast Periods'!O9</f>
        <v>811406.43088155636</v>
      </c>
      <c r="K34" s="88">
        <f>'[14]Base and Forecast Periods'!P9</f>
        <v>5293239.1757201441</v>
      </c>
      <c r="L34" s="88">
        <f>'[14]Base and Forecast Periods'!Q9</f>
        <v>4612165.3240178693</v>
      </c>
      <c r="M34" s="88">
        <f>'[14]Base and Forecast Periods'!R9</f>
        <v>3154603.1239574957</v>
      </c>
      <c r="N34" s="88">
        <f>'[14]Base and Forecast Periods'!S9</f>
        <v>2780074.9163747835</v>
      </c>
      <c r="O34" s="88">
        <f>'[14]Base and Forecast Periods'!T9</f>
        <v>4419144.8925415864</v>
      </c>
      <c r="P34" s="95">
        <f t="shared" si="4"/>
        <v>41885461.303493425</v>
      </c>
      <c r="Q34" s="132"/>
      <c r="R34" s="477"/>
      <c r="S34" s="132"/>
    </row>
    <row r="35" spans="1:19">
      <c r="A35" s="1036">
        <f t="shared" si="1"/>
        <v>24</v>
      </c>
      <c r="B35" s="669">
        <v>8050</v>
      </c>
      <c r="C35" s="183" t="s">
        <v>861</v>
      </c>
      <c r="D35" s="481">
        <f>'[12]DIV 009 IS Activity'!L43</f>
        <v>-458.43</v>
      </c>
      <c r="E35" s="481">
        <f>'[12]DIV 009 IS Activity'!M43</f>
        <v>-406.52</v>
      </c>
      <c r="F35" s="481">
        <f>'[12]DIV 009 IS Activity'!N43</f>
        <v>-327.06</v>
      </c>
      <c r="G35" s="481">
        <f>'[12]DIV 009 IS Activity'!O43</f>
        <v>-2980.99</v>
      </c>
      <c r="H35" s="481">
        <f>'[12]DIV 009 IS Activity'!P43</f>
        <v>-956.43</v>
      </c>
      <c r="I35" s="481">
        <f>'[12]DIV 009 IS Activity'!Q43</f>
        <v>-1257.25</v>
      </c>
      <c r="J35" s="88">
        <f>'[14]Base and Forecast Periods'!O10</f>
        <v>-12032.590042946997</v>
      </c>
      <c r="K35" s="88">
        <f>'[14]Base and Forecast Periods'!P10</f>
        <v>-1222.6671223356202</v>
      </c>
      <c r="L35" s="88">
        <f>'[14]Base and Forecast Periods'!Q10</f>
        <v>-1796.7629169567485</v>
      </c>
      <c r="M35" s="88">
        <f>'[14]Base and Forecast Periods'!R10</f>
        <v>-620.07202787064296</v>
      </c>
      <c r="N35" s="88">
        <f>'[14]Base and Forecast Periods'!S10</f>
        <v>-1749.1269191717718</v>
      </c>
      <c r="O35" s="88">
        <f>'[14]Base and Forecast Periods'!T10</f>
        <v>-5244.96766741592</v>
      </c>
      <c r="P35" s="95">
        <f t="shared" si="4"/>
        <v>-29052.866696697703</v>
      </c>
      <c r="Q35" s="132"/>
      <c r="R35" s="477"/>
      <c r="S35" s="132"/>
    </row>
    <row r="36" spans="1:19">
      <c r="A36" s="1036">
        <f t="shared" si="1"/>
        <v>25</v>
      </c>
      <c r="B36" s="669">
        <v>8051</v>
      </c>
      <c r="C36" s="183" t="s">
        <v>862</v>
      </c>
      <c r="D36" s="481">
        <f>'[12]DIV 009 IS Activity'!L44</f>
        <v>785364.79</v>
      </c>
      <c r="E36" s="481">
        <f>'[12]DIV 009 IS Activity'!M44</f>
        <v>2367181.64</v>
      </c>
      <c r="F36" s="481">
        <f>'[12]DIV 009 IS Activity'!N44</f>
        <v>5252343.66</v>
      </c>
      <c r="G36" s="481">
        <f>'[12]DIV 009 IS Activity'!O44</f>
        <v>7892606.5599999996</v>
      </c>
      <c r="H36" s="481">
        <f>'[12]DIV 009 IS Activity'!P44</f>
        <v>8190995.4900000002</v>
      </c>
      <c r="I36" s="481">
        <f>'[12]DIV 009 IS Activity'!Q44</f>
        <v>6723286.71</v>
      </c>
      <c r="J36" s="88">
        <f>'[14]Base and Forecast Periods'!O11</f>
        <v>4461118.8595631374</v>
      </c>
      <c r="K36" s="88">
        <f>'[14]Base and Forecast Periods'!P11</f>
        <v>3770577.1806374607</v>
      </c>
      <c r="L36" s="88">
        <f>'[14]Base and Forecast Periods'!Q11</f>
        <v>1263426.7123358604</v>
      </c>
      <c r="M36" s="88">
        <f>'[14]Base and Forecast Periods'!R11</f>
        <v>819122.83828102937</v>
      </c>
      <c r="N36" s="88">
        <f>'[14]Base and Forecast Periods'!S11</f>
        <v>698724.96262212633</v>
      </c>
      <c r="O36" s="88">
        <f>'[14]Base and Forecast Periods'!T11</f>
        <v>781361.78060146794</v>
      </c>
      <c r="P36" s="95">
        <f t="shared" si="4"/>
        <v>43006111.184041083</v>
      </c>
      <c r="Q36" s="132"/>
      <c r="R36" s="132"/>
      <c r="S36" s="132"/>
    </row>
    <row r="37" spans="1:19">
      <c r="A37" s="1036">
        <f t="shared" si="1"/>
        <v>26</v>
      </c>
      <c r="B37" s="669">
        <v>8052</v>
      </c>
      <c r="C37" s="183" t="s">
        <v>863</v>
      </c>
      <c r="D37" s="481">
        <f>'[12]DIV 009 IS Activity'!L45</f>
        <v>774806.07</v>
      </c>
      <c r="E37" s="481">
        <f>'[12]DIV 009 IS Activity'!M45</f>
        <v>1201507.26</v>
      </c>
      <c r="F37" s="481">
        <f>'[12]DIV 009 IS Activity'!N45</f>
        <v>2359181.58</v>
      </c>
      <c r="G37" s="481">
        <f>'[12]DIV 009 IS Activity'!O45</f>
        <v>3678735.62</v>
      </c>
      <c r="H37" s="481">
        <f>'[12]DIV 009 IS Activity'!P45</f>
        <v>3840724.61</v>
      </c>
      <c r="I37" s="481">
        <f>'[12]DIV 009 IS Activity'!Q45</f>
        <v>3137167.78</v>
      </c>
      <c r="J37" s="88">
        <f>'[14]Base and Forecast Periods'!O12</f>
        <v>2046510.781502262</v>
      </c>
      <c r="K37" s="88">
        <f>'[14]Base and Forecast Periods'!P12</f>
        <v>1525757.7827887195</v>
      </c>
      <c r="L37" s="88">
        <f>'[14]Base and Forecast Periods'!Q12</f>
        <v>764972.52878389333</v>
      </c>
      <c r="M37" s="88">
        <f>'[14]Base and Forecast Periods'!R12</f>
        <v>652175.80393733608</v>
      </c>
      <c r="N37" s="88">
        <f>'[14]Base and Forecast Periods'!S12</f>
        <v>612515.25401613477</v>
      </c>
      <c r="O37" s="88">
        <f>'[14]Base and Forecast Periods'!T12</f>
        <v>950329.1153089999</v>
      </c>
      <c r="P37" s="95">
        <f t="shared" si="4"/>
        <v>21544384.186337348</v>
      </c>
      <c r="Q37" s="132"/>
      <c r="R37" s="132"/>
      <c r="S37" s="132"/>
    </row>
    <row r="38" spans="1:19">
      <c r="A38" s="1036">
        <f t="shared" si="1"/>
        <v>27</v>
      </c>
      <c r="B38" s="669">
        <v>8053</v>
      </c>
      <c r="C38" s="183" t="s">
        <v>864</v>
      </c>
      <c r="D38" s="481">
        <f>'[12]DIV 009 IS Activity'!L46</f>
        <v>109366.83</v>
      </c>
      <c r="E38" s="481">
        <f>'[12]DIV 009 IS Activity'!M46</f>
        <v>205761.44</v>
      </c>
      <c r="F38" s="481">
        <f>'[12]DIV 009 IS Activity'!N46</f>
        <v>376423.13</v>
      </c>
      <c r="G38" s="481">
        <f>'[12]DIV 009 IS Activity'!O46</f>
        <v>523837.66</v>
      </c>
      <c r="H38" s="481">
        <f>'[12]DIV 009 IS Activity'!P46</f>
        <v>601354.06000000006</v>
      </c>
      <c r="I38" s="481">
        <f>'[12]DIV 009 IS Activity'!Q46</f>
        <v>405957.44</v>
      </c>
      <c r="J38" s="88">
        <f>'[14]Base and Forecast Periods'!O13</f>
        <v>525369.04610329657</v>
      </c>
      <c r="K38" s="88">
        <f>'[14]Base and Forecast Periods'!P13</f>
        <v>318977.42572146881</v>
      </c>
      <c r="L38" s="88">
        <f>'[14]Base and Forecast Periods'!Q13</f>
        <v>152511.83590183049</v>
      </c>
      <c r="M38" s="88">
        <f>'[14]Base and Forecast Periods'!R13</f>
        <v>117565.73311467028</v>
      </c>
      <c r="N38" s="88">
        <f>'[14]Base and Forecast Periods'!S13</f>
        <v>143708.02779348748</v>
      </c>
      <c r="O38" s="88">
        <f>'[14]Base and Forecast Periods'!T13</f>
        <v>500714.25874096871</v>
      </c>
      <c r="P38" s="95">
        <f t="shared" si="4"/>
        <v>3981546.8873757222</v>
      </c>
      <c r="Q38" s="132"/>
      <c r="R38" s="132"/>
      <c r="S38" s="132"/>
    </row>
    <row r="39" spans="1:19">
      <c r="A39" s="1036">
        <f t="shared" si="1"/>
        <v>28</v>
      </c>
      <c r="B39" s="669">
        <v>8054</v>
      </c>
      <c r="C39" s="183" t="s">
        <v>865</v>
      </c>
      <c r="D39" s="481">
        <f>'[12]DIV 009 IS Activity'!L47</f>
        <v>99023.33</v>
      </c>
      <c r="E39" s="481">
        <f>'[12]DIV 009 IS Activity'!M47</f>
        <v>213722.27</v>
      </c>
      <c r="F39" s="481">
        <f>'[12]DIV 009 IS Activity'!N47</f>
        <v>440031.49</v>
      </c>
      <c r="G39" s="481">
        <f>'[12]DIV 009 IS Activity'!O47</f>
        <v>645117.39</v>
      </c>
      <c r="H39" s="481">
        <f>'[12]DIV 009 IS Activity'!P47</f>
        <v>680664.42</v>
      </c>
      <c r="I39" s="481">
        <f>'[12]DIV 009 IS Activity'!Q47</f>
        <v>604107.69999999995</v>
      </c>
      <c r="J39" s="88">
        <f>'[14]Base and Forecast Periods'!O14</f>
        <v>423135.81699079397</v>
      </c>
      <c r="K39" s="88">
        <f>'[14]Base and Forecast Periods'!P14</f>
        <v>358080.7185093115</v>
      </c>
      <c r="L39" s="88">
        <f>'[14]Base and Forecast Periods'!Q14</f>
        <v>152850.48379472271</v>
      </c>
      <c r="M39" s="88">
        <f>'[14]Base and Forecast Periods'!R14</f>
        <v>93043.411735458474</v>
      </c>
      <c r="N39" s="88">
        <f>'[14]Base and Forecast Periods'!S14</f>
        <v>98652.182193143351</v>
      </c>
      <c r="O39" s="88">
        <f>'[14]Base and Forecast Periods'!T14</f>
        <v>118264.84394006625</v>
      </c>
      <c r="P39" s="95">
        <f t="shared" si="4"/>
        <v>3926694.0571634956</v>
      </c>
      <c r="Q39" s="132"/>
      <c r="S39" s="132"/>
    </row>
    <row r="40" spans="1:19">
      <c r="A40" s="1036">
        <f t="shared" si="1"/>
        <v>29</v>
      </c>
      <c r="B40" s="669">
        <v>8058</v>
      </c>
      <c r="C40" s="183" t="s">
        <v>866</v>
      </c>
      <c r="D40" s="481">
        <f>'[12]DIV 009 IS Activity'!L48</f>
        <v>1338529.47</v>
      </c>
      <c r="E40" s="481">
        <f>'[12]DIV 009 IS Activity'!M48</f>
        <v>1497294.25</v>
      </c>
      <c r="F40" s="481">
        <f>'[12]DIV 009 IS Activity'!N48</f>
        <v>2710690.68</v>
      </c>
      <c r="G40" s="481">
        <f>'[12]DIV 009 IS Activity'!O48</f>
        <v>-52042.12</v>
      </c>
      <c r="H40" s="481">
        <f>'[12]DIV 009 IS Activity'!P48</f>
        <v>-562012.47</v>
      </c>
      <c r="I40" s="481">
        <f>'[12]DIV 009 IS Activity'!Q48</f>
        <v>-2730165.76</v>
      </c>
      <c r="J40" s="88">
        <f>'[14]Base and Forecast Periods'!O15</f>
        <v>-1577369.5160189334</v>
      </c>
      <c r="K40" s="88">
        <f>'[14]Base and Forecast Periods'!P15</f>
        <v>-2496638.9418412107</v>
      </c>
      <c r="L40" s="88">
        <f>'[14]Base and Forecast Periods'!Q15</f>
        <v>-383409.95550208312</v>
      </c>
      <c r="M40" s="88">
        <f>'[14]Base and Forecast Periods'!R15</f>
        <v>-1935.0099928801403</v>
      </c>
      <c r="N40" s="88">
        <f>'[14]Base and Forecast Periods'!S15</f>
        <v>321987.21368852706</v>
      </c>
      <c r="O40" s="88">
        <f>'[14]Base and Forecast Periods'!T15</f>
        <v>-229037.50027521234</v>
      </c>
      <c r="P40" s="95">
        <f t="shared" si="4"/>
        <v>-2164109.6599417925</v>
      </c>
      <c r="Q40" s="132"/>
      <c r="R40" s="132"/>
      <c r="S40" s="132"/>
    </row>
    <row r="41" spans="1:19">
      <c r="A41" s="1036">
        <f t="shared" si="1"/>
        <v>30</v>
      </c>
      <c r="B41" s="669">
        <v>8059</v>
      </c>
      <c r="C41" s="183" t="s">
        <v>867</v>
      </c>
      <c r="D41" s="481">
        <f>'[12]DIV 009 IS Activity'!L49</f>
        <v>-2718510.54</v>
      </c>
      <c r="E41" s="481">
        <f>'[12]DIV 009 IS Activity'!M49</f>
        <v>-3725196.07</v>
      </c>
      <c r="F41" s="481">
        <f>'[12]DIV 009 IS Activity'!N49</f>
        <v>-5744194.96</v>
      </c>
      <c r="G41" s="481">
        <f>'[12]DIV 009 IS Activity'!O49</f>
        <v>-9808920.6999999993</v>
      </c>
      <c r="H41" s="481">
        <f>'[12]DIV 009 IS Activity'!P49</f>
        <v>-10496514.859999999</v>
      </c>
      <c r="I41" s="481">
        <f>'[12]DIV 009 IS Activity'!Q49</f>
        <v>-13159396.210000001</v>
      </c>
      <c r="J41" s="88">
        <f>'[14]Base and Forecast Periods'!O16</f>
        <v>-9278388.7632991672</v>
      </c>
      <c r="K41" s="88">
        <f>'[14]Base and Forecast Periods'!P16</f>
        <v>-6145238.1799526671</v>
      </c>
      <c r="L41" s="88">
        <f>'[14]Base and Forecast Periods'!Q16</f>
        <v>-2831203.1742875162</v>
      </c>
      <c r="M41" s="88">
        <f>'[14]Base and Forecast Periods'!R16</f>
        <v>-2882667.2674520565</v>
      </c>
      <c r="N41" s="88">
        <f>'[14]Base and Forecast Periods'!S16</f>
        <v>-4058827.7305166894</v>
      </c>
      <c r="O41" s="88">
        <f>'[14]Base and Forecast Periods'!T16</f>
        <v>-3536786.9523850004</v>
      </c>
      <c r="P41" s="95">
        <f t="shared" si="4"/>
        <v>-74385845.407893091</v>
      </c>
      <c r="Q41" s="132"/>
      <c r="R41" s="132"/>
      <c r="S41" s="132"/>
    </row>
    <row r="42" spans="1:19">
      <c r="A42" s="1036">
        <f t="shared" si="1"/>
        <v>31</v>
      </c>
      <c r="B42" s="669">
        <v>8060</v>
      </c>
      <c r="C42" s="183" t="s">
        <v>868</v>
      </c>
      <c r="D42" s="481">
        <f>'[12]DIV 009 IS Activity'!L50</f>
        <v>-897205.21</v>
      </c>
      <c r="E42" s="481">
        <f>'[12]DIV 009 IS Activity'!M50</f>
        <v>-827832.38</v>
      </c>
      <c r="F42" s="481">
        <f>'[12]DIV 009 IS Activity'!N50</f>
        <v>1049234.8700000001</v>
      </c>
      <c r="G42" s="481">
        <f>'[12]DIV 009 IS Activity'!O50</f>
        <v>2112069.9700000002</v>
      </c>
      <c r="H42" s="481">
        <f>'[12]DIV 009 IS Activity'!P50</f>
        <v>2755130.25</v>
      </c>
      <c r="I42" s="481">
        <f>'[12]DIV 009 IS Activity'!Q50</f>
        <v>1628394.29</v>
      </c>
      <c r="J42" s="88">
        <f>'[14]Base and Forecast Periods'!O17</f>
        <v>1884222.6150441968</v>
      </c>
      <c r="K42" s="88">
        <f>'[14]Base and Forecast Periods'!P17</f>
        <v>-2094287.6074214699</v>
      </c>
      <c r="L42" s="88">
        <f>'[14]Base and Forecast Periods'!Q17</f>
        <v>-2322458.2749861376</v>
      </c>
      <c r="M42" s="88">
        <f>'[14]Base and Forecast Periods'!R17</f>
        <v>-920705.43932487408</v>
      </c>
      <c r="N42" s="88">
        <f>'[14]Base and Forecast Periods'!S17</f>
        <v>181486.38633754008</v>
      </c>
      <c r="O42" s="88">
        <f>'[14]Base and Forecast Periods'!T17</f>
        <v>-1593333.0423430053</v>
      </c>
      <c r="P42" s="95">
        <f t="shared" si="4"/>
        <v>954716.42730625137</v>
      </c>
      <c r="Q42" s="132"/>
      <c r="R42" s="132"/>
      <c r="S42" s="132"/>
    </row>
    <row r="43" spans="1:19">
      <c r="A43" s="1036">
        <f t="shared" si="1"/>
        <v>32</v>
      </c>
      <c r="B43" s="669">
        <v>8081</v>
      </c>
      <c r="C43" s="183" t="s">
        <v>869</v>
      </c>
      <c r="D43" s="481">
        <f>'[12]DIV 009 IS Activity'!L51</f>
        <v>0</v>
      </c>
      <c r="E43" s="481">
        <f>'[12]DIV 009 IS Activity'!M51</f>
        <v>0</v>
      </c>
      <c r="F43" s="481">
        <f>'[12]DIV 009 IS Activity'!N51</f>
        <v>1309074.5900000001</v>
      </c>
      <c r="G43" s="481">
        <f>'[12]DIV 009 IS Activity'!O51</f>
        <v>1834304.85</v>
      </c>
      <c r="H43" s="481">
        <f>'[12]DIV 009 IS Activity'!P51</f>
        <v>2196946.1</v>
      </c>
      <c r="I43" s="481">
        <f>'[12]DIV 009 IS Activity'!Q51</f>
        <v>3681460.82</v>
      </c>
      <c r="J43" s="88">
        <f>'[14]Base and Forecast Periods'!O18</f>
        <v>3174201.0624718927</v>
      </c>
      <c r="K43" s="88">
        <f>'[14]Base and Forecast Periods'!P18</f>
        <v>80881.455758533804</v>
      </c>
      <c r="L43" s="88">
        <f>'[14]Base and Forecast Periods'!Q18</f>
        <v>9262.2130857553966</v>
      </c>
      <c r="M43" s="88">
        <f>'[14]Base and Forecast Periods'!R18</f>
        <v>0</v>
      </c>
      <c r="N43" s="88">
        <f>'[14]Base and Forecast Periods'!S18</f>
        <v>0</v>
      </c>
      <c r="O43" s="88">
        <f>'[14]Base and Forecast Periods'!T18</f>
        <v>0</v>
      </c>
      <c r="P43" s="95">
        <f t="shared" si="4"/>
        <v>12286131.091316184</v>
      </c>
      <c r="Q43" s="132"/>
      <c r="R43" s="132"/>
      <c r="S43" s="132"/>
    </row>
    <row r="44" spans="1:19">
      <c r="A44" s="1036">
        <f t="shared" si="1"/>
        <v>33</v>
      </c>
      <c r="B44" s="669">
        <v>8082</v>
      </c>
      <c r="C44" s="183" t="s">
        <v>870</v>
      </c>
      <c r="D44" s="481">
        <f>'[12]DIV 009 IS Activity'!L52</f>
        <v>-1677579.36</v>
      </c>
      <c r="E44" s="481">
        <f>'[12]DIV 009 IS Activity'!M52</f>
        <v>-1317709.6200000001</v>
      </c>
      <c r="F44" s="481">
        <f>'[12]DIV 009 IS Activity'!N52</f>
        <v>-24583.759999999998</v>
      </c>
      <c r="G44" s="481">
        <f>'[12]DIV 009 IS Activity'!O52</f>
        <v>-20191.810000000001</v>
      </c>
      <c r="H44" s="481">
        <f>'[12]DIV 009 IS Activity'!P52</f>
        <v>-2133.9299999999998</v>
      </c>
      <c r="I44" s="481">
        <f>'[12]DIV 009 IS Activity'!Q52</f>
        <v>-134687.51999999999</v>
      </c>
      <c r="J44" s="88">
        <f>'[14]Base and Forecast Periods'!O19</f>
        <v>-47371.219286971951</v>
      </c>
      <c r="K44" s="88">
        <f>'[14]Base and Forecast Periods'!P19</f>
        <v>-1306048.1659182615</v>
      </c>
      <c r="L44" s="88">
        <f>'[14]Base and Forecast Periods'!Q19</f>
        <v>-2034022.2927924774</v>
      </c>
      <c r="M44" s="88">
        <f>'[14]Base and Forecast Periods'!R19</f>
        <v>-1472921.726861676</v>
      </c>
      <c r="N44" s="88">
        <f>'[14]Base and Forecast Periods'!S19</f>
        <v>-1340889.671269729</v>
      </c>
      <c r="O44" s="88">
        <f>'[14]Base and Forecast Periods'!T19</f>
        <v>-1957959.486627653</v>
      </c>
      <c r="P44" s="95">
        <f t="shared" si="4"/>
        <v>-11336098.562756769</v>
      </c>
      <c r="Q44" s="584"/>
      <c r="S44" s="132"/>
    </row>
    <row r="45" spans="1:19">
      <c r="A45" s="1036">
        <f t="shared" si="1"/>
        <v>34</v>
      </c>
      <c r="B45" s="669">
        <v>8120</v>
      </c>
      <c r="C45" s="183" t="s">
        <v>871</v>
      </c>
      <c r="D45" s="481">
        <f>'[12]DIV 009 IS Activity'!L53</f>
        <v>-133.35999999999996</v>
      </c>
      <c r="E45" s="481">
        <f>'[12]DIV 009 IS Activity'!M53</f>
        <v>-117.80999999999995</v>
      </c>
      <c r="F45" s="481">
        <f>'[12]DIV 009 IS Activity'!N53</f>
        <v>-589.93000000000029</v>
      </c>
      <c r="G45" s="481">
        <f>'[12]DIV 009 IS Activity'!O53</f>
        <v>-1326.6499999999996</v>
      </c>
      <c r="H45" s="481">
        <f>'[12]DIV 009 IS Activity'!P53</f>
        <v>-1706.8499999999985</v>
      </c>
      <c r="I45" s="481">
        <f>'[12]DIV 009 IS Activity'!Q53</f>
        <v>-1883.5</v>
      </c>
      <c r="J45" s="88">
        <f>'[14]Base and Forecast Periods'!O20</f>
        <v>240.05442504449888</v>
      </c>
      <c r="K45" s="88">
        <f>'[14]Base and Forecast Periods'!P20</f>
        <v>-2031.3280054883837</v>
      </c>
      <c r="L45" s="88">
        <f>'[14]Base and Forecast Periods'!Q20</f>
        <v>-262.8492814737059</v>
      </c>
      <c r="M45" s="88">
        <f>'[14]Base and Forecast Periods'!R20</f>
        <v>-430.21361483686763</v>
      </c>
      <c r="N45" s="88">
        <f>'[14]Base and Forecast Periods'!S20</f>
        <v>1996.1175724346563</v>
      </c>
      <c r="O45" s="88">
        <f>'[14]Base and Forecast Periods'!T20</f>
        <v>-4514.640984814655</v>
      </c>
      <c r="P45" s="95">
        <f t="shared" si="4"/>
        <v>-10760.959889134454</v>
      </c>
      <c r="Q45" s="132"/>
      <c r="R45" s="132"/>
      <c r="S45" s="132"/>
    </row>
    <row r="46" spans="1:19" s="639" customFormat="1">
      <c r="A46" s="1036">
        <f t="shared" si="1"/>
        <v>35</v>
      </c>
      <c r="B46" s="669">
        <v>8580</v>
      </c>
      <c r="C46" s="95" t="s">
        <v>1189</v>
      </c>
      <c r="D46" s="481">
        <f>'[12]DIV 009 IS Activity'!L70</f>
        <v>1610361.13</v>
      </c>
      <c r="E46" s="481">
        <f>'[12]DIV 009 IS Activity'!M70</f>
        <v>2071768.79</v>
      </c>
      <c r="F46" s="481">
        <f>'[12]DIV 009 IS Activity'!N70</f>
        <v>2310383.64</v>
      </c>
      <c r="G46" s="481">
        <f>'[12]DIV 009 IS Activity'!O70</f>
        <v>2444273.8899999997</v>
      </c>
      <c r="H46" s="481">
        <f>'[12]DIV 009 IS Activity'!P70</f>
        <v>2454485.75</v>
      </c>
      <c r="I46" s="481">
        <f>'[12]DIV 009 IS Activity'!Q70</f>
        <v>2255682.7599999998</v>
      </c>
      <c r="J46" s="88">
        <f>'[14]Base and Forecast Periods'!O21</f>
        <v>3462966.6765412237</v>
      </c>
      <c r="K46" s="88">
        <f>'[14]Base and Forecast Periods'!P21</f>
        <v>4163892.6616949448</v>
      </c>
      <c r="L46" s="88">
        <f>'[14]Base and Forecast Periods'!Q21</f>
        <v>2556694.416381571</v>
      </c>
      <c r="M46" s="88">
        <f>'[14]Base and Forecast Periods'!R21</f>
        <v>2113206.475105586</v>
      </c>
      <c r="N46" s="88">
        <f>'[14]Base and Forecast Periods'!S21</f>
        <v>2426831.2799806022</v>
      </c>
      <c r="O46" s="88">
        <f>'[14]Base and Forecast Periods'!T21</f>
        <v>2658720.2289387728</v>
      </c>
      <c r="P46" s="95">
        <f t="shared" si="4"/>
        <v>30529267.698642705</v>
      </c>
      <c r="Q46" s="477"/>
      <c r="R46" s="132"/>
      <c r="S46" s="132"/>
    </row>
    <row r="47" spans="1:19">
      <c r="A47" s="1036">
        <f t="shared" si="1"/>
        <v>36</v>
      </c>
      <c r="B47" s="669">
        <v>8140</v>
      </c>
      <c r="C47" s="183" t="s">
        <v>872</v>
      </c>
      <c r="D47" s="481">
        <f>'[12]DIV 009 IS Activity'!L54</f>
        <v>0</v>
      </c>
      <c r="E47" s="481">
        <f>'[12]DIV 009 IS Activity'!M54</f>
        <v>0</v>
      </c>
      <c r="F47" s="481">
        <f>'[12]DIV 009 IS Activity'!N54</f>
        <v>0</v>
      </c>
      <c r="G47" s="481">
        <f>'[12]DIV 009 IS Activity'!O54</f>
        <v>0</v>
      </c>
      <c r="H47" s="481">
        <f>'[12]DIV 009 IS Activity'!P54</f>
        <v>294.57</v>
      </c>
      <c r="I47" s="481">
        <f>'[12]DIV 009 IS Activity'!Q54</f>
        <v>0</v>
      </c>
      <c r="J47" s="339">
        <f>VLOOKUP($B47,'[13]Div 9 forecast'!$D$549:$AF$630, '[13]Div 9 forecast'!L$548,FALSE)</f>
        <v>50.548171223843973</v>
      </c>
      <c r="K47" s="339">
        <f>VLOOKUP($B47,'[13]Div 9 forecast'!$D$549:$AF$630, '[13]Div 9 forecast'!M$548,FALSE)</f>
        <v>43.272618483439217</v>
      </c>
      <c r="L47" s="339">
        <f>VLOOKUP($B47,'[13]Div 9 forecast'!$D$549:$AF$630, '[13]Div 9 forecast'!N$548,FALSE)</f>
        <v>56.937706724150104</v>
      </c>
      <c r="M47" s="339">
        <f>VLOOKUP($B47,'[13]Div 9 forecast'!$D$549:$AF$630, '[13]Div 9 forecast'!O$548,FALSE)</f>
        <v>58.052935086613921</v>
      </c>
      <c r="N47" s="339">
        <f>VLOOKUP($B47,'[13]Div 9 forecast'!$D$549:$AF$630, '[13]Div 9 forecast'!P$548,FALSE)</f>
        <v>53.695480691846605</v>
      </c>
      <c r="O47" s="339">
        <f>VLOOKUP($B47,'[13]Div 9 forecast'!$D$549:$AF$630, '[13]Div 9 forecast'!Q$548,FALSE)</f>
        <v>95.722306888415446</v>
      </c>
      <c r="P47" s="95">
        <f t="shared" si="4"/>
        <v>652.79921909830921</v>
      </c>
      <c r="S47" s="132"/>
    </row>
    <row r="48" spans="1:19">
      <c r="A48" s="1036">
        <f t="shared" si="1"/>
        <v>37</v>
      </c>
      <c r="B48" s="669">
        <v>8160</v>
      </c>
      <c r="C48" s="183" t="s">
        <v>873</v>
      </c>
      <c r="D48" s="481">
        <f>'[12]DIV 009 IS Activity'!L55</f>
        <v>75219.290000000008</v>
      </c>
      <c r="E48" s="481">
        <f>'[12]DIV 009 IS Activity'!M55</f>
        <v>74044.2</v>
      </c>
      <c r="F48" s="481">
        <f>'[12]DIV 009 IS Activity'!N55</f>
        <v>2632.27</v>
      </c>
      <c r="G48" s="481">
        <f>'[12]DIV 009 IS Activity'!O55</f>
        <v>19712.86</v>
      </c>
      <c r="H48" s="481">
        <f>'[12]DIV 009 IS Activity'!P55</f>
        <v>5503.9400000000005</v>
      </c>
      <c r="I48" s="481">
        <f>'[12]DIV 009 IS Activity'!Q55</f>
        <v>3089.8199999999997</v>
      </c>
      <c r="J48" s="339">
        <f>VLOOKUP($B48,'[13]Div 9 forecast'!$D$549:$AF$630, '[13]Div 9 forecast'!L$548,FALSE)</f>
        <v>30857.45620541861</v>
      </c>
      <c r="K48" s="339">
        <f>VLOOKUP($B48,'[13]Div 9 forecast'!$D$549:$AF$630, '[13]Div 9 forecast'!M$548,FALSE)</f>
        <v>32428.068437239643</v>
      </c>
      <c r="L48" s="339">
        <f>VLOOKUP($B48,'[13]Div 9 forecast'!$D$549:$AF$630, '[13]Div 9 forecast'!N$548,FALSE)</f>
        <v>36054.481223668954</v>
      </c>
      <c r="M48" s="339">
        <f>VLOOKUP($B48,'[13]Div 9 forecast'!$D$549:$AF$630, '[13]Div 9 forecast'!O$548,FALSE)</f>
        <v>33716.964214695639</v>
      </c>
      <c r="N48" s="339">
        <f>VLOOKUP($B48,'[13]Div 9 forecast'!$D$549:$AF$630, '[13]Div 9 forecast'!P$548,FALSE)</f>
        <v>30291.411517414228</v>
      </c>
      <c r="O48" s="339">
        <f>VLOOKUP($B48,'[13]Div 9 forecast'!$D$549:$AF$630, '[13]Div 9 forecast'!Q$548,FALSE)</f>
        <v>25838.262097844443</v>
      </c>
      <c r="P48" s="95">
        <f t="shared" si="4"/>
        <v>369389.02369628148</v>
      </c>
      <c r="Q48" s="132"/>
      <c r="R48" s="132"/>
      <c r="S48" s="132"/>
    </row>
    <row r="49" spans="1:22">
      <c r="A49" s="1036">
        <f t="shared" si="1"/>
        <v>38</v>
      </c>
      <c r="B49" s="669">
        <v>8170</v>
      </c>
      <c r="C49" s="183" t="s">
        <v>877</v>
      </c>
      <c r="D49" s="481">
        <f>'[12]DIV 009 IS Activity'!L56</f>
        <v>4536.46</v>
      </c>
      <c r="E49" s="481">
        <f>'[12]DIV 009 IS Activity'!M56</f>
        <v>-780.13</v>
      </c>
      <c r="F49" s="481">
        <f>'[12]DIV 009 IS Activity'!N56</f>
        <v>2783.54</v>
      </c>
      <c r="G49" s="481">
        <f>'[12]DIV 009 IS Activity'!O56</f>
        <v>4960.3</v>
      </c>
      <c r="H49" s="481">
        <f>'[12]DIV 009 IS Activity'!P56</f>
        <v>4127.76</v>
      </c>
      <c r="I49" s="481">
        <f>'[12]DIV 009 IS Activity'!Q56</f>
        <v>3065.19</v>
      </c>
      <c r="J49" s="339">
        <f>VLOOKUP($B49,'[13]Div 9 forecast'!$D$549:$AF$630, '[13]Div 9 forecast'!L$548,FALSE)</f>
        <v>3499.1254475903152</v>
      </c>
      <c r="K49" s="339">
        <f>VLOOKUP($B49,'[13]Div 9 forecast'!$D$549:$AF$630, '[13]Div 9 forecast'!M$548,FALSE)</f>
        <v>3319.1025989169207</v>
      </c>
      <c r="L49" s="339">
        <f>VLOOKUP($B49,'[13]Div 9 forecast'!$D$549:$AF$630, '[13]Div 9 forecast'!N$548,FALSE)</f>
        <v>3553.4655548664045</v>
      </c>
      <c r="M49" s="339">
        <f>VLOOKUP($B49,'[13]Div 9 forecast'!$D$549:$AF$630, '[13]Div 9 forecast'!O$548,FALSE)</f>
        <v>3554.2867197180321</v>
      </c>
      <c r="N49" s="339">
        <f>VLOOKUP($B49,'[13]Div 9 forecast'!$D$549:$AF$630, '[13]Div 9 forecast'!P$548,FALSE)</f>
        <v>3517.2057243997292</v>
      </c>
      <c r="O49" s="339">
        <f>VLOOKUP($B49,'[13]Div 9 forecast'!$D$549:$AF$630, '[13]Div 9 forecast'!Q$548,FALSE)</f>
        <v>4128.1070713204845</v>
      </c>
      <c r="P49" s="95">
        <f t="shared" si="4"/>
        <v>40264.413116811884</v>
      </c>
      <c r="Q49" s="132"/>
      <c r="R49" s="132"/>
      <c r="S49" s="132"/>
    </row>
    <row r="50" spans="1:22">
      <c r="A50" s="1036">
        <f t="shared" si="1"/>
        <v>39</v>
      </c>
      <c r="B50" s="669">
        <v>8180</v>
      </c>
      <c r="C50" s="183" t="s">
        <v>878</v>
      </c>
      <c r="D50" s="481">
        <f>'[12]DIV 009 IS Activity'!L57</f>
        <v>2179.63</v>
      </c>
      <c r="E50" s="481">
        <f>'[12]DIV 009 IS Activity'!M57</f>
        <v>4703.22</v>
      </c>
      <c r="F50" s="481">
        <f>'[12]DIV 009 IS Activity'!N57</f>
        <v>4200.4800000000005</v>
      </c>
      <c r="G50" s="481">
        <f>'[12]DIV 009 IS Activity'!O57</f>
        <v>5245.32</v>
      </c>
      <c r="H50" s="481">
        <f>'[12]DIV 009 IS Activity'!P57</f>
        <v>3235.31</v>
      </c>
      <c r="I50" s="481">
        <f>'[12]DIV 009 IS Activity'!Q57</f>
        <v>3882.44</v>
      </c>
      <c r="J50" s="339">
        <f>VLOOKUP($B50,'[13]Div 9 forecast'!$D$549:$AF$630, '[13]Div 9 forecast'!L$548,FALSE)</f>
        <v>4446.6597302715663</v>
      </c>
      <c r="K50" s="339">
        <f>VLOOKUP($B50,'[13]Div 9 forecast'!$D$549:$AF$630, '[13]Div 9 forecast'!M$548,FALSE)</f>
        <v>4215.4341643961106</v>
      </c>
      <c r="L50" s="339">
        <f>VLOOKUP($B50,'[13]Div 9 forecast'!$D$549:$AF$630, '[13]Div 9 forecast'!N$548,FALSE)</f>
        <v>4515.697189841595</v>
      </c>
      <c r="M50" s="339">
        <f>VLOOKUP($B50,'[13]Div 9 forecast'!$D$549:$AF$630, '[13]Div 9 forecast'!O$548,FALSE)</f>
        <v>4502.5861572656477</v>
      </c>
      <c r="N50" s="339">
        <f>VLOOKUP($B50,'[13]Div 9 forecast'!$D$549:$AF$630, '[13]Div 9 forecast'!P$548,FALSE)</f>
        <v>4477.3161832672222</v>
      </c>
      <c r="O50" s="339">
        <f>VLOOKUP($B50,'[13]Div 9 forecast'!$D$549:$AF$630, '[13]Div 9 forecast'!Q$548,FALSE)</f>
        <v>5204.7983038153452</v>
      </c>
      <c r="P50" s="95">
        <f t="shared" si="4"/>
        <v>50808.891728857488</v>
      </c>
      <c r="Q50" s="132"/>
      <c r="R50" s="132"/>
      <c r="S50" s="132"/>
    </row>
    <row r="51" spans="1:22" ht="15.75">
      <c r="A51" s="1036">
        <f t="shared" si="1"/>
        <v>40</v>
      </c>
      <c r="B51" s="669">
        <v>8190</v>
      </c>
      <c r="C51" s="183" t="s">
        <v>879</v>
      </c>
      <c r="D51" s="481">
        <f>'[12]DIV 009 IS Activity'!L58</f>
        <v>138.54</v>
      </c>
      <c r="E51" s="481">
        <f>'[12]DIV 009 IS Activity'!M58</f>
        <v>90.61</v>
      </c>
      <c r="F51" s="481">
        <f>'[12]DIV 009 IS Activity'!N58</f>
        <v>91.34</v>
      </c>
      <c r="G51" s="481">
        <f>'[12]DIV 009 IS Activity'!O58</f>
        <v>0</v>
      </c>
      <c r="H51" s="481">
        <f>'[12]DIV 009 IS Activity'!P58</f>
        <v>0</v>
      </c>
      <c r="I51" s="481">
        <f>'[12]DIV 009 IS Activity'!Q58</f>
        <v>200.36</v>
      </c>
      <c r="J51" s="339">
        <f>VLOOKUP($B51,'[13]Div 9 forecast'!$D$549:$AF$630, '[13]Div 9 forecast'!L$548,FALSE)</f>
        <v>80.541856816184506</v>
      </c>
      <c r="K51" s="339">
        <f>VLOOKUP($B51,'[13]Div 9 forecast'!$D$549:$AF$630, '[13]Div 9 forecast'!M$548,FALSE)</f>
        <v>81.838851588369849</v>
      </c>
      <c r="L51" s="339">
        <f>VLOOKUP($B51,'[13]Div 9 forecast'!$D$549:$AF$630, '[13]Div 9 forecast'!N$548,FALSE)</f>
        <v>76.366522468679591</v>
      </c>
      <c r="M51" s="339">
        <f>VLOOKUP($B51,'[13]Div 9 forecast'!$D$549:$AF$630, '[13]Div 9 forecast'!O$548,FALSE)</f>
        <v>80.559960603866827</v>
      </c>
      <c r="N51" s="339">
        <f>VLOOKUP($B51,'[13]Div 9 forecast'!$D$549:$AF$630, '[13]Div 9 forecast'!P$548,FALSE)</f>
        <v>75.315048356187972</v>
      </c>
      <c r="O51" s="339">
        <f>VLOOKUP($B51,'[13]Div 9 forecast'!$D$549:$AF$630, '[13]Div 9 forecast'!Q$548,FALSE)</f>
        <v>75.290208275414571</v>
      </c>
      <c r="P51" s="95">
        <f t="shared" si="4"/>
        <v>990.76244810870321</v>
      </c>
      <c r="Q51" s="132"/>
      <c r="R51" s="478"/>
      <c r="S51" s="94"/>
    </row>
    <row r="52" spans="1:22" ht="15.75">
      <c r="A52" s="1036">
        <f t="shared" si="1"/>
        <v>41</v>
      </c>
      <c r="B52" s="669">
        <v>8200</v>
      </c>
      <c r="C52" s="183" t="s">
        <v>880</v>
      </c>
      <c r="D52" s="481">
        <f>'[12]DIV 009 IS Activity'!L59</f>
        <v>89.52</v>
      </c>
      <c r="E52" s="481">
        <f>'[12]DIV 009 IS Activity'!M59</f>
        <v>563.66</v>
      </c>
      <c r="F52" s="481">
        <f>'[12]DIV 009 IS Activity'!N59</f>
        <v>249.87</v>
      </c>
      <c r="G52" s="481">
        <f>'[12]DIV 009 IS Activity'!O59</f>
        <v>500.94</v>
      </c>
      <c r="H52" s="481">
        <f>'[12]DIV 009 IS Activity'!P59</f>
        <v>1464.47</v>
      </c>
      <c r="I52" s="481">
        <f>'[12]DIV 009 IS Activity'!Q59</f>
        <v>853.78</v>
      </c>
      <c r="J52" s="339">
        <f>VLOOKUP($B52,'[13]Div 9 forecast'!$D$549:$AF$630, '[13]Div 9 forecast'!L$548,FALSE)</f>
        <v>652.48932383226065</v>
      </c>
      <c r="K52" s="339">
        <f>VLOOKUP($B52,'[13]Div 9 forecast'!$D$549:$AF$630, '[13]Div 9 forecast'!M$548,FALSE)</f>
        <v>609.42909791965735</v>
      </c>
      <c r="L52" s="339">
        <f>VLOOKUP($B52,'[13]Div 9 forecast'!$D$549:$AF$630, '[13]Div 9 forecast'!N$548,FALSE)</f>
        <v>675.7188030606294</v>
      </c>
      <c r="M52" s="339">
        <f>VLOOKUP($B52,'[13]Div 9 forecast'!$D$549:$AF$630, '[13]Div 9 forecast'!O$548,FALSE)</f>
        <v>686.66673798281647</v>
      </c>
      <c r="N52" s="339">
        <f>VLOOKUP($B52,'[13]Div 9 forecast'!$D$549:$AF$630, '[13]Div 9 forecast'!P$548,FALSE)</f>
        <v>658.14047745987784</v>
      </c>
      <c r="O52" s="339">
        <f>VLOOKUP($B52,'[13]Div 9 forecast'!$D$549:$AF$630, '[13]Div 9 forecast'!Q$548,FALSE)</f>
        <v>877.94286834884531</v>
      </c>
      <c r="P52" s="95">
        <f t="shared" si="4"/>
        <v>7882.6273086040865</v>
      </c>
      <c r="Q52" s="132"/>
      <c r="R52" s="505"/>
      <c r="S52" s="506"/>
    </row>
    <row r="53" spans="1:22">
      <c r="A53" s="1036">
        <f t="shared" si="1"/>
        <v>42</v>
      </c>
      <c r="B53" s="669">
        <v>8210</v>
      </c>
      <c r="C53" s="183" t="s">
        <v>881</v>
      </c>
      <c r="D53" s="481">
        <f>'[12]DIV 009 IS Activity'!L60</f>
        <v>132.68</v>
      </c>
      <c r="E53" s="481">
        <f>'[12]DIV 009 IS Activity'!M60</f>
        <v>582.48</v>
      </c>
      <c r="F53" s="481">
        <f>'[12]DIV 009 IS Activity'!N60</f>
        <v>4444.4000000000005</v>
      </c>
      <c r="G53" s="481">
        <f>'[12]DIV 009 IS Activity'!O60</f>
        <v>1712.9199999999998</v>
      </c>
      <c r="H53" s="481">
        <f>'[12]DIV 009 IS Activity'!P60</f>
        <v>11513.23</v>
      </c>
      <c r="I53" s="481">
        <f>'[12]DIV 009 IS Activity'!Q60</f>
        <v>-348.74999999999989</v>
      </c>
      <c r="J53" s="339">
        <f>VLOOKUP($B53,'[13]Div 9 forecast'!$D$549:$AF$630, '[13]Div 9 forecast'!L$548,FALSE)</f>
        <v>3486.3081118680543</v>
      </c>
      <c r="K53" s="339">
        <f>VLOOKUP($B53,'[13]Div 9 forecast'!$D$549:$AF$630, '[13]Div 9 forecast'!M$548,FALSE)</f>
        <v>3413.7588544046635</v>
      </c>
      <c r="L53" s="339">
        <f>VLOOKUP($B53,'[13]Div 9 forecast'!$D$549:$AF$630, '[13]Div 9 forecast'!N$548,FALSE)</f>
        <v>3412.1450988231495</v>
      </c>
      <c r="M53" s="339">
        <f>VLOOKUP($B53,'[13]Div 9 forecast'!$D$549:$AF$630, '[13]Div 9 forecast'!O$548,FALSE)</f>
        <v>3386.5062572191127</v>
      </c>
      <c r="N53" s="339">
        <f>VLOOKUP($B53,'[13]Div 9 forecast'!$D$549:$AF$630, '[13]Div 9 forecast'!P$548,FALSE)</f>
        <v>3438.9013380113729</v>
      </c>
      <c r="O53" s="339">
        <f>VLOOKUP($B53,'[13]Div 9 forecast'!$D$549:$AF$630, '[13]Div 9 forecast'!Q$548,FALSE)</f>
        <v>3283.3550404790562</v>
      </c>
      <c r="P53" s="95">
        <f t="shared" si="4"/>
        <v>38457.93470080541</v>
      </c>
      <c r="Q53" s="132"/>
      <c r="R53" s="184"/>
      <c r="S53" s="132"/>
    </row>
    <row r="54" spans="1:22">
      <c r="A54" s="1036">
        <f t="shared" si="1"/>
        <v>43</v>
      </c>
      <c r="B54" s="669">
        <v>8240</v>
      </c>
      <c r="C54" s="183" t="s">
        <v>882</v>
      </c>
      <c r="D54" s="481">
        <f>'[12]DIV 009 IS Activity'!L61</f>
        <v>0</v>
      </c>
      <c r="E54" s="481">
        <f>'[12]DIV 009 IS Activity'!M61</f>
        <v>0</v>
      </c>
      <c r="F54" s="481">
        <f>'[12]DIV 009 IS Activity'!N61</f>
        <v>0</v>
      </c>
      <c r="G54" s="481">
        <f>'[12]DIV 009 IS Activity'!O61</f>
        <v>0</v>
      </c>
      <c r="H54" s="481">
        <f>'[12]DIV 009 IS Activity'!P61</f>
        <v>0</v>
      </c>
      <c r="I54" s="481">
        <f>'[12]DIV 009 IS Activity'!Q61</f>
        <v>0</v>
      </c>
      <c r="J54" s="339">
        <f>VLOOKUP($B54,'[13]Div 9 forecast'!$D$549:$AF$630, '[13]Div 9 forecast'!L$548,FALSE)</f>
        <v>0</v>
      </c>
      <c r="K54" s="339">
        <f>VLOOKUP($B54,'[13]Div 9 forecast'!$D$549:$AF$630, '[13]Div 9 forecast'!M$548,FALSE)</f>
        <v>0</v>
      </c>
      <c r="L54" s="339">
        <f>VLOOKUP($B54,'[13]Div 9 forecast'!$D$549:$AF$630, '[13]Div 9 forecast'!N$548,FALSE)</f>
        <v>0</v>
      </c>
      <c r="M54" s="339">
        <f>VLOOKUP($B54,'[13]Div 9 forecast'!$D$549:$AF$630, '[13]Div 9 forecast'!O$548,FALSE)</f>
        <v>0</v>
      </c>
      <c r="N54" s="339">
        <f>VLOOKUP($B54,'[13]Div 9 forecast'!$D$549:$AF$630, '[13]Div 9 forecast'!P$548,FALSE)</f>
        <v>0</v>
      </c>
      <c r="O54" s="339">
        <f>VLOOKUP($B54,'[13]Div 9 forecast'!$D$549:$AF$630, '[13]Div 9 forecast'!Q$548,FALSE)</f>
        <v>0</v>
      </c>
      <c r="P54" s="95">
        <f t="shared" si="4"/>
        <v>0</v>
      </c>
      <c r="Q54" s="132"/>
      <c r="R54" s="184"/>
      <c r="S54" s="132"/>
    </row>
    <row r="55" spans="1:22">
      <c r="A55" s="1036">
        <f t="shared" si="1"/>
        <v>44</v>
      </c>
      <c r="B55" s="669">
        <v>8250</v>
      </c>
      <c r="C55" s="183" t="s">
        <v>893</v>
      </c>
      <c r="D55" s="481">
        <f>'[12]DIV 009 IS Activity'!L62</f>
        <v>192.66</v>
      </c>
      <c r="E55" s="481">
        <f>'[12]DIV 009 IS Activity'!M62</f>
        <v>234.14999999999998</v>
      </c>
      <c r="F55" s="481">
        <f>'[12]DIV 009 IS Activity'!N62</f>
        <v>468.11</v>
      </c>
      <c r="G55" s="481">
        <f>'[12]DIV 009 IS Activity'!O62</f>
        <v>1229.3</v>
      </c>
      <c r="H55" s="481">
        <f>'[12]DIV 009 IS Activity'!P62</f>
        <v>1387.8999999999999</v>
      </c>
      <c r="I55" s="481">
        <f>'[12]DIV 009 IS Activity'!Q62</f>
        <v>1329.28</v>
      </c>
      <c r="J55" s="339">
        <f>VLOOKUP($B55,'[13]Div 9 forecast'!$D$549:$AF$630, '[13]Div 9 forecast'!L$548,FALSE)</f>
        <v>748.65190667154775</v>
      </c>
      <c r="K55" s="339">
        <f>VLOOKUP($B55,'[13]Div 9 forecast'!$D$549:$AF$630, '[13]Div 9 forecast'!M$548,FALSE)</f>
        <v>760.70772022642552</v>
      </c>
      <c r="L55" s="339">
        <f>VLOOKUP($B55,'[13]Div 9 forecast'!$D$549:$AF$630, '[13]Div 9 forecast'!N$548,FALSE)</f>
        <v>709.84137828523637</v>
      </c>
      <c r="M55" s="339">
        <f>VLOOKUP($B55,'[13]Div 9 forecast'!$D$549:$AF$630, '[13]Div 9 forecast'!O$548,FALSE)</f>
        <v>748.82018482780234</v>
      </c>
      <c r="N55" s="339">
        <f>VLOOKUP($B55,'[13]Div 9 forecast'!$D$549:$AF$630, '[13]Div 9 forecast'!P$548,FALSE)</f>
        <v>700.06772604713149</v>
      </c>
      <c r="O55" s="339">
        <f>VLOOKUP($B55,'[13]Div 9 forecast'!$D$549:$AF$630, '[13]Div 9 forecast'!Q$548,FALSE)</f>
        <v>699.83683276296836</v>
      </c>
      <c r="P55" s="95">
        <f t="shared" si="4"/>
        <v>9209.3257488211129</v>
      </c>
      <c r="Q55" s="132"/>
      <c r="R55" s="132"/>
      <c r="S55" s="132"/>
    </row>
    <row r="56" spans="1:22">
      <c r="A56" s="1036">
        <f t="shared" si="1"/>
        <v>45</v>
      </c>
      <c r="B56" s="669">
        <v>8310</v>
      </c>
      <c r="C56" s="183" t="s">
        <v>894</v>
      </c>
      <c r="D56" s="481">
        <f>'[12]DIV 009 IS Activity'!L63</f>
        <v>0</v>
      </c>
      <c r="E56" s="481">
        <f>'[12]DIV 009 IS Activity'!M63</f>
        <v>0</v>
      </c>
      <c r="F56" s="481">
        <f>'[12]DIV 009 IS Activity'!N63</f>
        <v>0</v>
      </c>
      <c r="G56" s="481">
        <f>'[12]DIV 009 IS Activity'!O63</f>
        <v>0</v>
      </c>
      <c r="H56" s="481">
        <f>'[12]DIV 009 IS Activity'!P63</f>
        <v>0</v>
      </c>
      <c r="I56" s="481">
        <f>'[12]DIV 009 IS Activity'!Q63</f>
        <v>250.08</v>
      </c>
      <c r="J56" s="339">
        <f>VLOOKUP($B56,'[13]Div 9 forecast'!$D$549:$AF$630, '[13]Div 9 forecast'!L$548,FALSE)</f>
        <v>42.91369338241811</v>
      </c>
      <c r="K56" s="339">
        <f>VLOOKUP($B56,'[13]Div 9 forecast'!$D$549:$AF$630, '[13]Div 9 forecast'!M$548,FALSE)</f>
        <v>36.736994365816201</v>
      </c>
      <c r="L56" s="339">
        <f>VLOOKUP($B56,'[13]Div 9 forecast'!$D$549:$AF$630, '[13]Div 9 forecast'!N$548,FALSE)</f>
        <v>48.338193629953693</v>
      </c>
      <c r="M56" s="339">
        <f>VLOOKUP($B56,'[13]Div 9 forecast'!$D$549:$AF$630, '[13]Div 9 forecast'!O$548,FALSE)</f>
        <v>49.284984915165865</v>
      </c>
      <c r="N56" s="339">
        <f>VLOOKUP($B56,'[13]Div 9 forecast'!$D$549:$AF$630, '[13]Div 9 forecast'!P$548,FALSE)</f>
        <v>45.585653024466168</v>
      </c>
      <c r="O56" s="339">
        <f>VLOOKUP($B56,'[13]Div 9 forecast'!$D$549:$AF$630, '[13]Div 9 forecast'!Q$548,FALSE)</f>
        <v>81.265011734578991</v>
      </c>
      <c r="P56" s="95">
        <f t="shared" si="4"/>
        <v>554.20453105239903</v>
      </c>
      <c r="Q56" s="132"/>
      <c r="R56" s="184"/>
      <c r="S56" s="132"/>
    </row>
    <row r="57" spans="1:22">
      <c r="A57" s="1036">
        <f t="shared" si="1"/>
        <v>46</v>
      </c>
      <c r="B57" s="669">
        <v>8340</v>
      </c>
      <c r="C57" s="183" t="s">
        <v>895</v>
      </c>
      <c r="D57" s="481">
        <f>'[12]DIV 009 IS Activity'!L64</f>
        <v>0</v>
      </c>
      <c r="E57" s="481">
        <f>'[12]DIV 009 IS Activity'!M64</f>
        <v>0</v>
      </c>
      <c r="F57" s="481">
        <f>'[12]DIV 009 IS Activity'!N64</f>
        <v>0</v>
      </c>
      <c r="G57" s="481">
        <f>'[12]DIV 009 IS Activity'!O64</f>
        <v>0</v>
      </c>
      <c r="H57" s="481">
        <f>'[12]DIV 009 IS Activity'!P64</f>
        <v>0</v>
      </c>
      <c r="I57" s="481">
        <f>'[12]DIV 009 IS Activity'!Q64</f>
        <v>0</v>
      </c>
      <c r="J57" s="339">
        <f>VLOOKUP($B57,'[13]Div 9 forecast'!$D$549:$AF$630, '[13]Div 9 forecast'!L$548,FALSE)</f>
        <v>0</v>
      </c>
      <c r="K57" s="339">
        <f>VLOOKUP($B57,'[13]Div 9 forecast'!$D$549:$AF$630, '[13]Div 9 forecast'!M$548,FALSE)</f>
        <v>0</v>
      </c>
      <c r="L57" s="339">
        <f>VLOOKUP($B57,'[13]Div 9 forecast'!$D$549:$AF$630, '[13]Div 9 forecast'!N$548,FALSE)</f>
        <v>0</v>
      </c>
      <c r="M57" s="339">
        <f>VLOOKUP($B57,'[13]Div 9 forecast'!$D$549:$AF$630, '[13]Div 9 forecast'!O$548,FALSE)</f>
        <v>0</v>
      </c>
      <c r="N57" s="339">
        <f>VLOOKUP($B57,'[13]Div 9 forecast'!$D$549:$AF$630, '[13]Div 9 forecast'!P$548,FALSE)</f>
        <v>0</v>
      </c>
      <c r="O57" s="339">
        <f>VLOOKUP($B57,'[13]Div 9 forecast'!$D$549:$AF$630, '[13]Div 9 forecast'!Q$548,FALSE)</f>
        <v>0</v>
      </c>
      <c r="P57" s="95">
        <f t="shared" si="4"/>
        <v>0</v>
      </c>
      <c r="Q57" s="132"/>
      <c r="R57" s="184"/>
      <c r="S57" s="132"/>
    </row>
    <row r="58" spans="1:22">
      <c r="A58" s="1036">
        <f t="shared" si="1"/>
        <v>47</v>
      </c>
      <c r="B58" s="669">
        <v>8350</v>
      </c>
      <c r="C58" s="183" t="s">
        <v>896</v>
      </c>
      <c r="D58" s="481">
        <f>0</f>
        <v>0</v>
      </c>
      <c r="E58" s="481">
        <f>0</f>
        <v>0</v>
      </c>
      <c r="F58" s="481">
        <f>0</f>
        <v>0</v>
      </c>
      <c r="G58" s="481">
        <f>0</f>
        <v>0</v>
      </c>
      <c r="H58" s="481">
        <f>0</f>
        <v>0</v>
      </c>
      <c r="I58" s="481">
        <f>0</f>
        <v>0</v>
      </c>
      <c r="J58" s="339">
        <f>VLOOKUP($B58,'[13]Div 9 forecast'!$D$549:$AF$630, '[13]Div 9 forecast'!L$548,FALSE)</f>
        <v>0</v>
      </c>
      <c r="K58" s="339">
        <f>VLOOKUP($B58,'[13]Div 9 forecast'!$D$549:$AF$630, '[13]Div 9 forecast'!M$548,FALSE)</f>
        <v>0</v>
      </c>
      <c r="L58" s="339">
        <f>VLOOKUP($B58,'[13]Div 9 forecast'!$D$549:$AF$630, '[13]Div 9 forecast'!N$548,FALSE)</f>
        <v>0</v>
      </c>
      <c r="M58" s="339">
        <f>VLOOKUP($B58,'[13]Div 9 forecast'!$D$549:$AF$630, '[13]Div 9 forecast'!O$548,FALSE)</f>
        <v>0</v>
      </c>
      <c r="N58" s="339">
        <f>VLOOKUP($B58,'[13]Div 9 forecast'!$D$549:$AF$630, '[13]Div 9 forecast'!P$548,FALSE)</f>
        <v>0</v>
      </c>
      <c r="O58" s="339">
        <f>VLOOKUP($B58,'[13]Div 9 forecast'!$D$549:$AF$630, '[13]Div 9 forecast'!Q$548,FALSE)</f>
        <v>0</v>
      </c>
      <c r="P58" s="95">
        <f t="shared" si="4"/>
        <v>0</v>
      </c>
      <c r="Q58" s="132"/>
      <c r="R58" s="184"/>
      <c r="S58" s="132"/>
    </row>
    <row r="59" spans="1:22">
      <c r="A59" s="1036">
        <f t="shared" si="1"/>
        <v>48</v>
      </c>
      <c r="B59" s="669">
        <v>8360</v>
      </c>
      <c r="C59" s="183" t="s">
        <v>897</v>
      </c>
      <c r="D59" s="481">
        <f>0</f>
        <v>0</v>
      </c>
      <c r="E59" s="481">
        <f>0</f>
        <v>0</v>
      </c>
      <c r="F59" s="481">
        <f>0</f>
        <v>0</v>
      </c>
      <c r="G59" s="481">
        <f>0</f>
        <v>0</v>
      </c>
      <c r="H59" s="481">
        <f>0</f>
        <v>0</v>
      </c>
      <c r="I59" s="481">
        <f>0</f>
        <v>0</v>
      </c>
      <c r="J59" s="339">
        <f>VLOOKUP($B59,'[13]Div 9 forecast'!$D$549:$AF$630, '[13]Div 9 forecast'!L$548,FALSE)</f>
        <v>0</v>
      </c>
      <c r="K59" s="339">
        <f>VLOOKUP($B59,'[13]Div 9 forecast'!$D$549:$AF$630, '[13]Div 9 forecast'!M$548,FALSE)</f>
        <v>0</v>
      </c>
      <c r="L59" s="339">
        <f>VLOOKUP($B59,'[13]Div 9 forecast'!$D$549:$AF$630, '[13]Div 9 forecast'!N$548,FALSE)</f>
        <v>0</v>
      </c>
      <c r="M59" s="339">
        <f>VLOOKUP($B59,'[13]Div 9 forecast'!$D$549:$AF$630, '[13]Div 9 forecast'!O$548,FALSE)</f>
        <v>0</v>
      </c>
      <c r="N59" s="339">
        <f>VLOOKUP($B59,'[13]Div 9 forecast'!$D$549:$AF$630, '[13]Div 9 forecast'!P$548,FALSE)</f>
        <v>0</v>
      </c>
      <c r="O59" s="339">
        <f>VLOOKUP($B59,'[13]Div 9 forecast'!$D$549:$AF$630, '[13]Div 9 forecast'!Q$548,FALSE)</f>
        <v>0</v>
      </c>
      <c r="P59" s="95">
        <f t="shared" si="4"/>
        <v>0</v>
      </c>
      <c r="Q59" s="132"/>
      <c r="R59" s="184"/>
      <c r="S59" s="132"/>
    </row>
    <row r="60" spans="1:22" s="636" customFormat="1">
      <c r="A60" s="1036">
        <f t="shared" si="1"/>
        <v>49</v>
      </c>
      <c r="B60" s="570">
        <v>8370</v>
      </c>
      <c r="C60" s="73" t="s">
        <v>1293</v>
      </c>
      <c r="D60" s="481">
        <f>0</f>
        <v>0</v>
      </c>
      <c r="E60" s="481">
        <f>0</f>
        <v>0</v>
      </c>
      <c r="F60" s="481">
        <f>0</f>
        <v>0</v>
      </c>
      <c r="G60" s="481">
        <f>0</f>
        <v>0</v>
      </c>
      <c r="H60" s="481">
        <f>0</f>
        <v>0</v>
      </c>
      <c r="I60" s="481">
        <f>0</f>
        <v>0</v>
      </c>
      <c r="J60" s="339">
        <f>VLOOKUP($B60,'[13]Div 9 forecast'!$D$549:$AF$630, '[13]Div 9 forecast'!L$548,FALSE)</f>
        <v>0</v>
      </c>
      <c r="K60" s="339">
        <f>VLOOKUP($B60,'[13]Div 9 forecast'!$D$549:$AF$630, '[13]Div 9 forecast'!M$548,FALSE)</f>
        <v>0</v>
      </c>
      <c r="L60" s="339">
        <f>VLOOKUP($B60,'[13]Div 9 forecast'!$D$549:$AF$630, '[13]Div 9 forecast'!N$548,FALSE)</f>
        <v>0</v>
      </c>
      <c r="M60" s="339">
        <f>VLOOKUP($B60,'[13]Div 9 forecast'!$D$549:$AF$630, '[13]Div 9 forecast'!O$548,FALSE)</f>
        <v>0</v>
      </c>
      <c r="N60" s="339">
        <f>VLOOKUP($B60,'[13]Div 9 forecast'!$D$549:$AF$630, '[13]Div 9 forecast'!P$548,FALSE)</f>
        <v>0</v>
      </c>
      <c r="O60" s="339">
        <f>VLOOKUP($B60,'[13]Div 9 forecast'!$D$549:$AF$630, '[13]Div 9 forecast'!Q$548,FALSE)</f>
        <v>0</v>
      </c>
      <c r="P60" s="95">
        <f t="shared" si="4"/>
        <v>0</v>
      </c>
      <c r="Q60" s="132"/>
      <c r="R60" s="184"/>
      <c r="S60" s="132"/>
    </row>
    <row r="61" spans="1:22">
      <c r="A61" s="1036">
        <f t="shared" si="1"/>
        <v>50</v>
      </c>
      <c r="B61" s="669">
        <v>8410</v>
      </c>
      <c r="C61" s="183" t="s">
        <v>187</v>
      </c>
      <c r="D61" s="481">
        <f>'[12]DIV 009 IS Activity'!L65</f>
        <v>17322.14</v>
      </c>
      <c r="E61" s="481">
        <f>'[12]DIV 009 IS Activity'!M65</f>
        <v>15589.689999999999</v>
      </c>
      <c r="F61" s="481">
        <f>'[12]DIV 009 IS Activity'!N65</f>
        <v>30579.299999999996</v>
      </c>
      <c r="G61" s="481">
        <f>'[12]DIV 009 IS Activity'!O65</f>
        <v>13059.27</v>
      </c>
      <c r="H61" s="481">
        <f>'[12]DIV 009 IS Activity'!P65</f>
        <v>9380.32</v>
      </c>
      <c r="I61" s="481">
        <f>'[12]DIV 009 IS Activity'!Q65</f>
        <v>14961.36</v>
      </c>
      <c r="J61" s="339">
        <f>VLOOKUP($B61,'[13]Div 9 forecast'!$D$549:$AF$630, '[13]Div 9 forecast'!L$548,FALSE)</f>
        <v>21070.727637754775</v>
      </c>
      <c r="K61" s="339">
        <f>VLOOKUP($B61,'[13]Div 9 forecast'!$D$549:$AF$630, '[13]Div 9 forecast'!M$548,FALSE)</f>
        <v>20627.493600352311</v>
      </c>
      <c r="L61" s="339">
        <f>VLOOKUP($B61,'[13]Div 9 forecast'!$D$549:$AF$630, '[13]Div 9 forecast'!N$548,FALSE)</f>
        <v>20541.91373933569</v>
      </c>
      <c r="M61" s="339">
        <f>VLOOKUP($B61,'[13]Div 9 forecast'!$D$549:$AF$630, '[13]Div 9 forecast'!O$548,FALSE)</f>
        <v>20280.83239611832</v>
      </c>
      <c r="N61" s="339">
        <f>VLOOKUP($B61,'[13]Div 9 forecast'!$D$549:$AF$630, '[13]Div 9 forecast'!P$548,FALSE)</f>
        <v>20943.648303388953</v>
      </c>
      <c r="O61" s="339">
        <f>VLOOKUP($B61,'[13]Div 9 forecast'!$D$549:$AF$630, '[13]Div 9 forecast'!Q$548,FALSE)</f>
        <v>20317.864800458017</v>
      </c>
      <c r="P61" s="95">
        <f t="shared" si="4"/>
        <v>224674.56047740806</v>
      </c>
      <c r="Q61" s="132"/>
      <c r="R61" s="132"/>
      <c r="S61" s="132"/>
    </row>
    <row r="62" spans="1:22" s="639" customFormat="1">
      <c r="A62" s="1036">
        <f t="shared" si="1"/>
        <v>51</v>
      </c>
      <c r="B62" s="669">
        <v>8500</v>
      </c>
      <c r="C62" s="72" t="s">
        <v>898</v>
      </c>
      <c r="D62" s="481">
        <f>'[12]DIV 009 IS Activity'!L66</f>
        <v>0</v>
      </c>
      <c r="E62" s="481">
        <f>'[12]DIV 009 IS Activity'!M66</f>
        <v>0</v>
      </c>
      <c r="F62" s="481">
        <f>'[12]DIV 009 IS Activity'!N66</f>
        <v>3849.61</v>
      </c>
      <c r="G62" s="481">
        <f>'[12]DIV 009 IS Activity'!O66</f>
        <v>4206.46</v>
      </c>
      <c r="H62" s="481">
        <f>'[12]DIV 009 IS Activity'!P66</f>
        <v>0</v>
      </c>
      <c r="I62" s="481">
        <f>'[12]DIV 009 IS Activity'!Q66</f>
        <v>0</v>
      </c>
      <c r="J62" s="339">
        <f>VLOOKUP($B62,'[13]Div 9 forecast'!$D$549:$AF$630, '[13]Div 9 forecast'!L$548,FALSE)</f>
        <v>946.58671748546442</v>
      </c>
      <c r="K62" s="339">
        <f>VLOOKUP($B62,'[13]Div 9 forecast'!$D$549:$AF$630, '[13]Div 9 forecast'!M$548,FALSE)</f>
        <v>1055.2888041657197</v>
      </c>
      <c r="L62" s="339">
        <f>VLOOKUP($B62,'[13]Div 9 forecast'!$D$549:$AF$630, '[13]Div 9 forecast'!N$548,FALSE)</f>
        <v>1185.4629079680008</v>
      </c>
      <c r="M62" s="339">
        <f>VLOOKUP($B62,'[13]Div 9 forecast'!$D$549:$AF$630, '[13]Div 9 forecast'!O$548,FALSE)</f>
        <v>1074.5241528375345</v>
      </c>
      <c r="N62" s="339">
        <f>VLOOKUP($B62,'[13]Div 9 forecast'!$D$549:$AF$630, '[13]Div 9 forecast'!P$548,FALSE)</f>
        <v>951.86525502796235</v>
      </c>
      <c r="O62" s="339">
        <f>VLOOKUP($B62,'[13]Div 9 forecast'!$D$549:$AF$630, '[13]Div 9 forecast'!Q$548,FALSE)</f>
        <v>1132.24451353106</v>
      </c>
      <c r="P62" s="95">
        <f t="shared" si="4"/>
        <v>14402.042351015742</v>
      </c>
      <c r="Q62" s="132"/>
      <c r="R62" s="132"/>
      <c r="S62" s="132"/>
    </row>
    <row r="63" spans="1:22" s="637" customFormat="1">
      <c r="A63" s="1036">
        <f t="shared" si="1"/>
        <v>52</v>
      </c>
      <c r="B63" s="570">
        <v>8520</v>
      </c>
      <c r="C63" s="73" t="s">
        <v>1294</v>
      </c>
      <c r="D63" s="481">
        <f>0</f>
        <v>0</v>
      </c>
      <c r="E63" s="481">
        <f>0</f>
        <v>0</v>
      </c>
      <c r="F63" s="481">
        <f>0</f>
        <v>0</v>
      </c>
      <c r="G63" s="481">
        <f>0</f>
        <v>0</v>
      </c>
      <c r="H63" s="481">
        <f>0</f>
        <v>0</v>
      </c>
      <c r="I63" s="481">
        <f>0</f>
        <v>0</v>
      </c>
      <c r="J63" s="339">
        <f>VLOOKUP($B63,'[13]Div 9 forecast'!$D$549:$AF$630, '[13]Div 9 forecast'!L$548,FALSE)</f>
        <v>0</v>
      </c>
      <c r="K63" s="339">
        <f>VLOOKUP($B63,'[13]Div 9 forecast'!$D$549:$AF$630, '[13]Div 9 forecast'!M$548,FALSE)</f>
        <v>0</v>
      </c>
      <c r="L63" s="339">
        <f>VLOOKUP($B63,'[13]Div 9 forecast'!$D$549:$AF$630, '[13]Div 9 forecast'!N$548,FALSE)</f>
        <v>0</v>
      </c>
      <c r="M63" s="339">
        <f>VLOOKUP($B63,'[13]Div 9 forecast'!$D$549:$AF$630, '[13]Div 9 forecast'!O$548,FALSE)</f>
        <v>0</v>
      </c>
      <c r="N63" s="339">
        <f>VLOOKUP($B63,'[13]Div 9 forecast'!$D$549:$AF$630, '[13]Div 9 forecast'!P$548,FALSE)</f>
        <v>0</v>
      </c>
      <c r="O63" s="339">
        <f>VLOOKUP($B63,'[13]Div 9 forecast'!$D$549:$AF$630, '[13]Div 9 forecast'!Q$548,FALSE)</f>
        <v>0</v>
      </c>
      <c r="P63" s="95">
        <f t="shared" si="4"/>
        <v>0</v>
      </c>
      <c r="Q63" s="132"/>
      <c r="R63" s="132"/>
      <c r="S63" s="132"/>
      <c r="U63" s="557"/>
      <c r="V63" s="72"/>
    </row>
    <row r="64" spans="1:22" s="639" customFormat="1">
      <c r="A64" s="1036">
        <f t="shared" si="1"/>
        <v>53</v>
      </c>
      <c r="B64" s="570">
        <v>8550</v>
      </c>
      <c r="C64" s="73" t="s">
        <v>1343</v>
      </c>
      <c r="D64" s="481">
        <f>'[12]DIV 009 IS Activity'!L67</f>
        <v>2.52</v>
      </c>
      <c r="E64" s="481">
        <f>'[12]DIV 009 IS Activity'!M67</f>
        <v>35.93</v>
      </c>
      <c r="F64" s="481">
        <f>'[12]DIV 009 IS Activity'!N67</f>
        <v>37.39</v>
      </c>
      <c r="G64" s="481">
        <f>'[12]DIV 009 IS Activity'!O67</f>
        <v>0</v>
      </c>
      <c r="H64" s="481">
        <f>'[12]DIV 009 IS Activity'!P67</f>
        <v>0</v>
      </c>
      <c r="I64" s="481">
        <f>'[12]DIV 009 IS Activity'!Q67</f>
        <v>32.46</v>
      </c>
      <c r="J64" s="339">
        <f>VLOOKUP($B64,'[13]Div 9 forecast'!$D$549:$AF$630, '[13]Div 9 forecast'!L$548,FALSE)</f>
        <v>16.74701563442984</v>
      </c>
      <c r="K64" s="339">
        <f>VLOOKUP($B64,'[13]Div 9 forecast'!$D$549:$AF$630, '[13]Div 9 forecast'!M$548,FALSE)</f>
        <v>17.016698909514169</v>
      </c>
      <c r="L64" s="339">
        <f>VLOOKUP($B64,'[13]Div 9 forecast'!$D$549:$AF$630, '[13]Div 9 forecast'!N$548,FALSE)</f>
        <v>15.878841093132381</v>
      </c>
      <c r="M64" s="339">
        <f>VLOOKUP($B64,'[13]Div 9 forecast'!$D$549:$AF$630, '[13]Div 9 forecast'!O$548,FALSE)</f>
        <v>16.750779943167473</v>
      </c>
      <c r="N64" s="339">
        <f>VLOOKUP($B64,'[13]Div 9 forecast'!$D$549:$AF$630, '[13]Div 9 forecast'!P$548,FALSE)</f>
        <v>15.660208768311715</v>
      </c>
      <c r="O64" s="339">
        <f>VLOOKUP($B64,'[13]Div 9 forecast'!$D$549:$AF$630, '[13]Div 9 forecast'!Q$548,FALSE)</f>
        <v>15.655043786555433</v>
      </c>
      <c r="P64" s="95">
        <f t="shared" si="4"/>
        <v>206.00858813511107</v>
      </c>
      <c r="Q64" s="132"/>
      <c r="R64" s="132"/>
      <c r="S64" s="132"/>
      <c r="U64" s="557"/>
      <c r="V64" s="72"/>
    </row>
    <row r="65" spans="1:19">
      <c r="A65" s="1036">
        <f t="shared" si="1"/>
        <v>54</v>
      </c>
      <c r="B65" s="669">
        <v>8560</v>
      </c>
      <c r="C65" s="183" t="s">
        <v>899</v>
      </c>
      <c r="D65" s="481">
        <f>'[12]DIV 009 IS Activity'!L68</f>
        <v>17870.969999999998</v>
      </c>
      <c r="E65" s="481">
        <f>'[12]DIV 009 IS Activity'!M68</f>
        <v>13841.660000000003</v>
      </c>
      <c r="F65" s="481">
        <f>'[12]DIV 009 IS Activity'!N68</f>
        <v>7657.89</v>
      </c>
      <c r="G65" s="481">
        <f>'[12]DIV 009 IS Activity'!O68</f>
        <v>12373.059999999998</v>
      </c>
      <c r="H65" s="481">
        <f>'[12]DIV 009 IS Activity'!P68</f>
        <v>9541.5300000000007</v>
      </c>
      <c r="I65" s="481">
        <f>'[12]DIV 009 IS Activity'!Q68</f>
        <v>18556.419999999998</v>
      </c>
      <c r="J65" s="339">
        <f>VLOOKUP($B65,'[13]Div 9 forecast'!$D$549:$AF$630, '[13]Div 9 forecast'!L$548,FALSE)</f>
        <v>14993.185325060298</v>
      </c>
      <c r="K65" s="339">
        <f>VLOOKUP($B65,'[13]Div 9 forecast'!$D$549:$AF$630, '[13]Div 9 forecast'!M$548,FALSE)</f>
        <v>14698.010599695928</v>
      </c>
      <c r="L65" s="339">
        <f>VLOOKUP($B65,'[13]Div 9 forecast'!$D$549:$AF$630, '[13]Div 9 forecast'!N$548,FALSE)</f>
        <v>14949.387819578929</v>
      </c>
      <c r="M65" s="339">
        <f>VLOOKUP($B65,'[13]Div 9 forecast'!$D$549:$AF$630, '[13]Div 9 forecast'!O$548,FALSE)</f>
        <v>14897.128169951382</v>
      </c>
      <c r="N65" s="339">
        <f>VLOOKUP($B65,'[13]Div 9 forecast'!$D$549:$AF$630, '[13]Div 9 forecast'!P$548,FALSE)</f>
        <v>14928.669043800981</v>
      </c>
      <c r="O65" s="339">
        <f>VLOOKUP($B65,'[13]Div 9 forecast'!$D$549:$AF$630, '[13]Div 9 forecast'!Q$548,FALSE)</f>
        <v>16449.337875170218</v>
      </c>
      <c r="P65" s="95">
        <f t="shared" si="4"/>
        <v>170757.24883325773</v>
      </c>
      <c r="Q65" s="132"/>
      <c r="R65" s="184"/>
      <c r="S65" s="132"/>
    </row>
    <row r="66" spans="1:19">
      <c r="A66" s="1036">
        <f t="shared" si="1"/>
        <v>55</v>
      </c>
      <c r="B66" s="669">
        <v>8570</v>
      </c>
      <c r="C66" s="183" t="s">
        <v>900</v>
      </c>
      <c r="D66" s="481">
        <f>'[12]DIV 009 IS Activity'!L69</f>
        <v>627.84999999999991</v>
      </c>
      <c r="E66" s="481">
        <f>'[12]DIV 009 IS Activity'!M69</f>
        <v>2497.84</v>
      </c>
      <c r="F66" s="481">
        <f>'[12]DIV 009 IS Activity'!N69</f>
        <v>618.29</v>
      </c>
      <c r="G66" s="481">
        <f>'[12]DIV 009 IS Activity'!O69</f>
        <v>665.65</v>
      </c>
      <c r="H66" s="481">
        <f>'[12]DIV 009 IS Activity'!P69</f>
        <v>680.32999999999993</v>
      </c>
      <c r="I66" s="481">
        <f>'[12]DIV 009 IS Activity'!Q69</f>
        <v>890.4799999999999</v>
      </c>
      <c r="J66" s="339">
        <f>VLOOKUP($B66,'[13]Div 9 forecast'!$D$549:$AF$630, '[13]Div 9 forecast'!L$548,FALSE)</f>
        <v>971.53543568211921</v>
      </c>
      <c r="K66" s="339">
        <f>VLOOKUP($B66,'[13]Div 9 forecast'!$D$549:$AF$630, '[13]Div 9 forecast'!M$548,FALSE)</f>
        <v>951.78203875304803</v>
      </c>
      <c r="L66" s="339">
        <f>VLOOKUP($B66,'[13]Div 9 forecast'!$D$549:$AF$630, '[13]Div 9 forecast'!N$548,FALSE)</f>
        <v>959.11559675274941</v>
      </c>
      <c r="M66" s="339">
        <f>VLOOKUP($B66,'[13]Div 9 forecast'!$D$549:$AF$630, '[13]Div 9 forecast'!O$548,FALSE)</f>
        <v>995.68982684294906</v>
      </c>
      <c r="N66" s="339">
        <f>VLOOKUP($B66,'[13]Div 9 forecast'!$D$549:$AF$630, '[13]Div 9 forecast'!P$548,FALSE)</f>
        <v>939.69844708530945</v>
      </c>
      <c r="O66" s="339">
        <f>VLOOKUP($B66,'[13]Div 9 forecast'!$D$549:$AF$630, '[13]Div 9 forecast'!Q$548,FALSE)</f>
        <v>1090.2046358989051</v>
      </c>
      <c r="P66" s="95">
        <f t="shared" si="4"/>
        <v>11888.465981015079</v>
      </c>
      <c r="Q66" s="132"/>
      <c r="R66" s="132"/>
      <c r="S66" s="132"/>
    </row>
    <row r="67" spans="1:19">
      <c r="A67" s="1036">
        <f>A66+1</f>
        <v>56</v>
      </c>
      <c r="B67" s="669">
        <v>8630</v>
      </c>
      <c r="C67" s="183" t="s">
        <v>901</v>
      </c>
      <c r="D67" s="481">
        <f>'[12]DIV 009 IS Activity'!L71</f>
        <v>1083.33</v>
      </c>
      <c r="E67" s="481">
        <f>'[12]DIV 009 IS Activity'!M71</f>
        <v>1397.21</v>
      </c>
      <c r="F67" s="481">
        <f>'[12]DIV 009 IS Activity'!N71</f>
        <v>-623.91999999999996</v>
      </c>
      <c r="G67" s="481">
        <f>'[12]DIV 009 IS Activity'!O71</f>
        <v>0</v>
      </c>
      <c r="H67" s="481">
        <f>'[12]DIV 009 IS Activity'!P71</f>
        <v>0</v>
      </c>
      <c r="I67" s="481">
        <f>'[12]DIV 009 IS Activity'!Q71</f>
        <v>0</v>
      </c>
      <c r="J67" s="339">
        <f>VLOOKUP($B67,'[13]Div 9 forecast'!$D$549:$AF$630, '[13]Div 9 forecast'!L$548,FALSE)</f>
        <v>364.69102892697555</v>
      </c>
      <c r="K67" s="339">
        <f>VLOOKUP($B67,'[13]Div 9 forecast'!$D$549:$AF$630, '[13]Div 9 forecast'!M$548,FALSE)</f>
        <v>356.43017566342161</v>
      </c>
      <c r="L67" s="339">
        <f>VLOOKUP($B67,'[13]Div 9 forecast'!$D$549:$AF$630, '[13]Div 9 forecast'!N$548,FALSE)</f>
        <v>357.42827709775554</v>
      </c>
      <c r="M67" s="339">
        <f>VLOOKUP($B67,'[13]Div 9 forecast'!$D$549:$AF$630, '[13]Div 9 forecast'!O$548,FALSE)</f>
        <v>353.36102770788108</v>
      </c>
      <c r="N67" s="339">
        <f>VLOOKUP($B67,'[13]Div 9 forecast'!$D$549:$AF$630, '[13]Div 9 forecast'!P$548,FALSE)</f>
        <v>360.79263920185775</v>
      </c>
      <c r="O67" s="339">
        <f>VLOOKUP($B67,'[13]Div 9 forecast'!$D$549:$AF$630, '[13]Div 9 forecast'!Q$548,FALSE)</f>
        <v>342.347809541988</v>
      </c>
      <c r="P67" s="95">
        <f t="shared" ref="P67:P68" si="7">SUM(D67:O67)</f>
        <v>3991.6709581398791</v>
      </c>
      <c r="Q67" s="132"/>
      <c r="R67" s="184"/>
      <c r="S67" s="132"/>
    </row>
    <row r="68" spans="1:19" s="638" customFormat="1">
      <c r="A68" s="1036">
        <f t="shared" si="1"/>
        <v>57</v>
      </c>
      <c r="B68" s="570">
        <v>8640</v>
      </c>
      <c r="C68" s="73" t="s">
        <v>1295</v>
      </c>
      <c r="D68" s="481">
        <f>0</f>
        <v>0</v>
      </c>
      <c r="E68" s="481">
        <f>0</f>
        <v>0</v>
      </c>
      <c r="F68" s="481">
        <f>0</f>
        <v>0</v>
      </c>
      <c r="G68" s="481">
        <f>0</f>
        <v>0</v>
      </c>
      <c r="H68" s="481">
        <f>0</f>
        <v>0</v>
      </c>
      <c r="I68" s="481">
        <f>0</f>
        <v>0</v>
      </c>
      <c r="J68" s="339">
        <f>VLOOKUP($B68,'[13]Div 9 forecast'!$D$549:$AF$630, '[13]Div 9 forecast'!L$548,FALSE)</f>
        <v>0</v>
      </c>
      <c r="K68" s="339">
        <f>VLOOKUP($B68,'[13]Div 9 forecast'!$D$549:$AF$630, '[13]Div 9 forecast'!M$548,FALSE)</f>
        <v>0</v>
      </c>
      <c r="L68" s="339">
        <f>VLOOKUP($B68,'[13]Div 9 forecast'!$D$549:$AF$630, '[13]Div 9 forecast'!N$548,FALSE)</f>
        <v>0</v>
      </c>
      <c r="M68" s="339">
        <f>VLOOKUP($B68,'[13]Div 9 forecast'!$D$549:$AF$630, '[13]Div 9 forecast'!O$548,FALSE)</f>
        <v>0</v>
      </c>
      <c r="N68" s="339">
        <f>VLOOKUP($B68,'[13]Div 9 forecast'!$D$549:$AF$630, '[13]Div 9 forecast'!P$548,FALSE)</f>
        <v>0</v>
      </c>
      <c r="O68" s="339">
        <f>VLOOKUP($B68,'[13]Div 9 forecast'!$D$549:$AF$630, '[13]Div 9 forecast'!Q$548,FALSE)</f>
        <v>0</v>
      </c>
      <c r="P68" s="95">
        <f t="shared" si="7"/>
        <v>0</v>
      </c>
      <c r="Q68" s="132"/>
      <c r="R68" s="184"/>
      <c r="S68" s="132"/>
    </row>
    <row r="69" spans="1:19">
      <c r="A69" s="1036">
        <f t="shared" si="1"/>
        <v>58</v>
      </c>
      <c r="B69" s="669">
        <v>8650</v>
      </c>
      <c r="C69" s="183" t="s">
        <v>902</v>
      </c>
      <c r="D69" s="481">
        <f>0</f>
        <v>0</v>
      </c>
      <c r="E69" s="481">
        <f>0</f>
        <v>0</v>
      </c>
      <c r="F69" s="481">
        <f>0</f>
        <v>0</v>
      </c>
      <c r="G69" s="481">
        <f>0</f>
        <v>0</v>
      </c>
      <c r="H69" s="481">
        <f>0</f>
        <v>0</v>
      </c>
      <c r="I69" s="481">
        <f>0</f>
        <v>0</v>
      </c>
      <c r="J69" s="339">
        <f>VLOOKUP($B69,'[13]Div 9 forecast'!$D$549:$AF$630, '[13]Div 9 forecast'!L$548,FALSE)</f>
        <v>0</v>
      </c>
      <c r="K69" s="339">
        <f>VLOOKUP($B69,'[13]Div 9 forecast'!$D$549:$AF$630, '[13]Div 9 forecast'!M$548,FALSE)</f>
        <v>0</v>
      </c>
      <c r="L69" s="339">
        <f>VLOOKUP($B69,'[13]Div 9 forecast'!$D$549:$AF$630, '[13]Div 9 forecast'!N$548,FALSE)</f>
        <v>0</v>
      </c>
      <c r="M69" s="339">
        <f>VLOOKUP($B69,'[13]Div 9 forecast'!$D$549:$AF$630, '[13]Div 9 forecast'!O$548,FALSE)</f>
        <v>0</v>
      </c>
      <c r="N69" s="339">
        <f>VLOOKUP($B69,'[13]Div 9 forecast'!$D$549:$AF$630, '[13]Div 9 forecast'!P$548,FALSE)</f>
        <v>0</v>
      </c>
      <c r="O69" s="339">
        <f>VLOOKUP($B69,'[13]Div 9 forecast'!$D$549:$AF$630, '[13]Div 9 forecast'!Q$548,FALSE)</f>
        <v>0</v>
      </c>
      <c r="P69" s="95">
        <f t="shared" ref="P69:P108" si="8">SUM(D69:O69)</f>
        <v>0</v>
      </c>
      <c r="Q69" s="132"/>
      <c r="R69" s="132"/>
      <c r="S69" s="132"/>
    </row>
    <row r="70" spans="1:19">
      <c r="A70" s="1036">
        <f t="shared" si="1"/>
        <v>59</v>
      </c>
      <c r="B70" s="669">
        <v>8700</v>
      </c>
      <c r="C70" s="183" t="s">
        <v>903</v>
      </c>
      <c r="D70" s="481">
        <f>'[12]DIV 009 IS Activity'!L72</f>
        <v>71287.709999999919</v>
      </c>
      <c r="E70" s="481">
        <f>'[12]DIV 009 IS Activity'!M72</f>
        <v>66361.860000000073</v>
      </c>
      <c r="F70" s="481">
        <f>'[12]DIV 009 IS Activity'!N72</f>
        <v>95387.119999999981</v>
      </c>
      <c r="G70" s="481">
        <f>'[12]DIV 009 IS Activity'!O72</f>
        <v>79707.709999999919</v>
      </c>
      <c r="H70" s="481">
        <f>'[12]DIV 009 IS Activity'!P72</f>
        <v>56124.130000000019</v>
      </c>
      <c r="I70" s="481">
        <f>'[12]DIV 009 IS Activity'!Q72</f>
        <v>82260.840000000127</v>
      </c>
      <c r="J70" s="339">
        <f>VLOOKUP($B70,'[13]Div 9 forecast'!$D$549:$AF$630, '[13]Div 9 forecast'!L$548,FALSE)</f>
        <v>93122.236122692775</v>
      </c>
      <c r="K70" s="339">
        <f>VLOOKUP($B70,'[13]Div 9 forecast'!$D$549:$AF$630, '[13]Div 9 forecast'!M$548,FALSE)</f>
        <v>98201.902429322727</v>
      </c>
      <c r="L70" s="339">
        <f>VLOOKUP($B70,'[13]Div 9 forecast'!$D$549:$AF$630, '[13]Div 9 forecast'!N$548,FALSE)</f>
        <v>95512.323112187267</v>
      </c>
      <c r="M70" s="339">
        <f>VLOOKUP($B70,'[13]Div 9 forecast'!$D$549:$AF$630, '[13]Div 9 forecast'!O$548,FALSE)</f>
        <v>96985.766161375301</v>
      </c>
      <c r="N70" s="339">
        <f>VLOOKUP($B70,'[13]Div 9 forecast'!$D$549:$AF$630, '[13]Div 9 forecast'!P$548,FALSE)</f>
        <v>97459.588276690425</v>
      </c>
      <c r="O70" s="339">
        <f>VLOOKUP($B70,'[13]Div 9 forecast'!$D$549:$AF$630, '[13]Div 9 forecast'!Q$548,FALSE)</f>
        <v>115322.44606902936</v>
      </c>
      <c r="P70" s="95">
        <f t="shared" si="8"/>
        <v>1047733.6321712979</v>
      </c>
      <c r="Q70" s="132"/>
      <c r="R70" s="184"/>
      <c r="S70" s="132"/>
    </row>
    <row r="71" spans="1:19">
      <c r="A71" s="1036">
        <f t="shared" si="1"/>
        <v>60</v>
      </c>
      <c r="B71" s="669">
        <v>8710</v>
      </c>
      <c r="C71" s="183" t="s">
        <v>904</v>
      </c>
      <c r="D71" s="481">
        <f>'[12]DIV 009 IS Activity'!L73</f>
        <v>23.54</v>
      </c>
      <c r="E71" s="481">
        <f>'[12]DIV 009 IS Activity'!M73</f>
        <v>22.74</v>
      </c>
      <c r="F71" s="481">
        <f>'[12]DIV 009 IS Activity'!N73</f>
        <v>20.54</v>
      </c>
      <c r="G71" s="481">
        <f>'[12]DIV 009 IS Activity'!O73</f>
        <v>20.059999999999999</v>
      </c>
      <c r="H71" s="481">
        <f>'[12]DIV 009 IS Activity'!P73</f>
        <v>0</v>
      </c>
      <c r="I71" s="481">
        <f>'[12]DIV 009 IS Activity'!Q73</f>
        <v>122.51</v>
      </c>
      <c r="J71" s="339">
        <f>VLOOKUP($B71,'[13]Div 9 forecast'!$D$549:$AF$630, '[13]Div 9 forecast'!L$548,FALSE)</f>
        <v>32.379109914065225</v>
      </c>
      <c r="K71" s="339">
        <f>VLOOKUP($B71,'[13]Div 9 forecast'!$D$549:$AF$630, '[13]Div 9 forecast'!M$548,FALSE)</f>
        <v>32.900522480731034</v>
      </c>
      <c r="L71" s="339">
        <f>VLOOKUP($B71,'[13]Div 9 forecast'!$D$549:$AF$630, '[13]Div 9 forecast'!N$548,FALSE)</f>
        <v>30.70055897036924</v>
      </c>
      <c r="M71" s="339">
        <f>VLOOKUP($B71,'[13]Div 9 forecast'!$D$549:$AF$630, '[13]Div 9 forecast'!O$548,FALSE)</f>
        <v>32.38638792520625</v>
      </c>
      <c r="N71" s="339">
        <f>VLOOKUP($B71,'[13]Div 9 forecast'!$D$549:$AF$630, '[13]Div 9 forecast'!P$548,FALSE)</f>
        <v>30.277849621392331</v>
      </c>
      <c r="O71" s="339">
        <f>VLOOKUP($B71,'[13]Div 9 forecast'!$D$549:$AF$630, '[13]Div 9 forecast'!Q$548,FALSE)</f>
        <v>30.267863513082567</v>
      </c>
      <c r="P71" s="95">
        <f t="shared" si="8"/>
        <v>398.30229242484654</v>
      </c>
      <c r="Q71" s="132"/>
      <c r="R71" s="184"/>
      <c r="S71" s="132"/>
    </row>
    <row r="72" spans="1:19">
      <c r="A72" s="1036">
        <f t="shared" si="1"/>
        <v>61</v>
      </c>
      <c r="B72" s="669">
        <v>8711</v>
      </c>
      <c r="C72" s="95" t="s">
        <v>188</v>
      </c>
      <c r="D72" s="481">
        <f>'[12]DIV 009 IS Activity'!L74</f>
        <v>9981.4599999999991</v>
      </c>
      <c r="E72" s="481">
        <f>'[12]DIV 009 IS Activity'!M74</f>
        <v>0</v>
      </c>
      <c r="F72" s="481">
        <f>'[12]DIV 009 IS Activity'!N74</f>
        <v>3591.52</v>
      </c>
      <c r="G72" s="481">
        <f>'[12]DIV 009 IS Activity'!O74</f>
        <v>5219.08</v>
      </c>
      <c r="H72" s="481">
        <f>'[12]DIV 009 IS Activity'!P74</f>
        <v>3673.96</v>
      </c>
      <c r="I72" s="481">
        <f>'[12]DIV 009 IS Activity'!Q74</f>
        <v>26350.930000000004</v>
      </c>
      <c r="J72" s="339">
        <f>VLOOKUP($B72,'[13]Div 9 forecast'!$D$549:$AF$630, '[13]Div 9 forecast'!L$548,FALSE)</f>
        <v>8376.3304357184188</v>
      </c>
      <c r="K72" s="339">
        <f>VLOOKUP($B72,'[13]Div 9 forecast'!$D$549:$AF$630, '[13]Div 9 forecast'!M$548,FALSE)</f>
        <v>7180.9870015487395</v>
      </c>
      <c r="L72" s="339">
        <f>VLOOKUP($B72,'[13]Div 9 forecast'!$D$549:$AF$630, '[13]Div 9 forecast'!N$548,FALSE)</f>
        <v>9438.0623159543757</v>
      </c>
      <c r="M72" s="339">
        <f>VLOOKUP($B72,'[13]Div 9 forecast'!$D$549:$AF$630, '[13]Div 9 forecast'!O$548,FALSE)</f>
        <v>9617.5342908122111</v>
      </c>
      <c r="N72" s="339">
        <f>VLOOKUP($B72,'[13]Div 9 forecast'!$D$549:$AF$630, '[13]Div 9 forecast'!P$548,FALSE)</f>
        <v>8893.7159447132144</v>
      </c>
      <c r="O72" s="339">
        <f>VLOOKUP($B72,'[13]Div 9 forecast'!$D$549:$AF$630, '[13]Div 9 forecast'!Q$548,FALSE)</f>
        <v>15806.480344670883</v>
      </c>
      <c r="P72" s="95">
        <f t="shared" ref="P72:P73" si="9">SUM(D72:O72)</f>
        <v>108130.06033341784</v>
      </c>
      <c r="Q72" s="132"/>
      <c r="R72" s="184"/>
      <c r="S72" s="132"/>
    </row>
    <row r="73" spans="1:19" s="639" customFormat="1">
      <c r="A73" s="1036">
        <f t="shared" si="1"/>
        <v>62</v>
      </c>
      <c r="B73" s="570">
        <v>8720</v>
      </c>
      <c r="C73" s="95" t="s">
        <v>1296</v>
      </c>
      <c r="D73" s="481">
        <f>0</f>
        <v>0</v>
      </c>
      <c r="E73" s="481">
        <f>0</f>
        <v>0</v>
      </c>
      <c r="F73" s="481">
        <f>0</f>
        <v>0</v>
      </c>
      <c r="G73" s="481">
        <f>0</f>
        <v>0</v>
      </c>
      <c r="H73" s="481">
        <f>0</f>
        <v>0</v>
      </c>
      <c r="I73" s="481">
        <f>0</f>
        <v>0</v>
      </c>
      <c r="J73" s="339">
        <f>VLOOKUP($B73,'[13]Div 9 forecast'!$D$549:$AF$630, '[13]Div 9 forecast'!L$548,FALSE)</f>
        <v>0</v>
      </c>
      <c r="K73" s="339">
        <f>VLOOKUP($B73,'[13]Div 9 forecast'!$D$549:$AF$630, '[13]Div 9 forecast'!M$548,FALSE)</f>
        <v>0</v>
      </c>
      <c r="L73" s="339">
        <f>VLOOKUP($B73,'[13]Div 9 forecast'!$D$549:$AF$630, '[13]Div 9 forecast'!N$548,FALSE)</f>
        <v>0</v>
      </c>
      <c r="M73" s="339">
        <f>VLOOKUP($B73,'[13]Div 9 forecast'!$D$549:$AF$630, '[13]Div 9 forecast'!O$548,FALSE)</f>
        <v>0</v>
      </c>
      <c r="N73" s="339">
        <f>VLOOKUP($B73,'[13]Div 9 forecast'!$D$549:$AF$630, '[13]Div 9 forecast'!P$548,FALSE)</f>
        <v>0</v>
      </c>
      <c r="O73" s="339">
        <f>VLOOKUP($B73,'[13]Div 9 forecast'!$D$549:$AF$630, '[13]Div 9 forecast'!Q$548,FALSE)</f>
        <v>0</v>
      </c>
      <c r="P73" s="95">
        <f t="shared" si="9"/>
        <v>0</v>
      </c>
      <c r="Q73" s="132"/>
      <c r="R73" s="184"/>
      <c r="S73" s="132"/>
    </row>
    <row r="74" spans="1:19">
      <c r="A74" s="1036">
        <f t="shared" si="1"/>
        <v>63</v>
      </c>
      <c r="B74" s="669">
        <v>8740</v>
      </c>
      <c r="C74" s="183" t="s">
        <v>905</v>
      </c>
      <c r="D74" s="481">
        <f>'[12]DIV 009 IS Activity'!L75</f>
        <v>432009.12000000005</v>
      </c>
      <c r="E74" s="481">
        <f>'[12]DIV 009 IS Activity'!M75</f>
        <v>431860.20999999996</v>
      </c>
      <c r="F74" s="481">
        <f>'[12]DIV 009 IS Activity'!N75</f>
        <v>432337.6999999999</v>
      </c>
      <c r="G74" s="481">
        <f>'[12]DIV 009 IS Activity'!O75</f>
        <v>430923.01</v>
      </c>
      <c r="H74" s="481">
        <f>'[12]DIV 009 IS Activity'!P75</f>
        <v>490518.82999999996</v>
      </c>
      <c r="I74" s="481">
        <f>'[12]DIV 009 IS Activity'!Q75</f>
        <v>491740.31999999995</v>
      </c>
      <c r="J74" s="339">
        <f>VLOOKUP($B74,'[13]Div 9 forecast'!$D$549:$AF$630, '[13]Div 9 forecast'!L$548,FALSE)</f>
        <v>521671.42298099218</v>
      </c>
      <c r="K74" s="339">
        <f>VLOOKUP($B74,'[13]Div 9 forecast'!$D$549:$AF$630, '[13]Div 9 forecast'!M$548,FALSE)</f>
        <v>532162.46733663278</v>
      </c>
      <c r="L74" s="339">
        <f>VLOOKUP($B74,'[13]Div 9 forecast'!$D$549:$AF$630, '[13]Div 9 forecast'!N$548,FALSE)</f>
        <v>560329.13107562414</v>
      </c>
      <c r="M74" s="339">
        <f>VLOOKUP($B74,'[13]Div 9 forecast'!$D$549:$AF$630, '[13]Div 9 forecast'!O$548,FALSE)</f>
        <v>549227.18836872245</v>
      </c>
      <c r="N74" s="339">
        <f>VLOOKUP($B74,'[13]Div 9 forecast'!$D$549:$AF$630, '[13]Div 9 forecast'!P$548,FALSE)</f>
        <v>525467.83047399053</v>
      </c>
      <c r="O74" s="339">
        <f>VLOOKUP($B74,'[13]Div 9 forecast'!$D$549:$AF$630, '[13]Div 9 forecast'!Q$548,FALSE)</f>
        <v>485333.60735333659</v>
      </c>
      <c r="P74" s="95">
        <f t="shared" si="8"/>
        <v>5883580.8375892984</v>
      </c>
      <c r="Q74" s="132"/>
      <c r="R74" s="184"/>
      <c r="S74" s="132"/>
    </row>
    <row r="75" spans="1:19">
      <c r="A75" s="1036">
        <f t="shared" si="1"/>
        <v>64</v>
      </c>
      <c r="B75" s="669">
        <v>8750</v>
      </c>
      <c r="C75" s="183" t="s">
        <v>906</v>
      </c>
      <c r="D75" s="481">
        <f>'[12]DIV 009 IS Activity'!L76</f>
        <v>21441.86</v>
      </c>
      <c r="E75" s="481">
        <f>'[12]DIV 009 IS Activity'!M76</f>
        <v>41165.279999999999</v>
      </c>
      <c r="F75" s="481">
        <f>'[12]DIV 009 IS Activity'!N76</f>
        <v>43475.799999999996</v>
      </c>
      <c r="G75" s="481">
        <f>'[12]DIV 009 IS Activity'!O76</f>
        <v>39742.289999999994</v>
      </c>
      <c r="H75" s="481">
        <f>'[12]DIV 009 IS Activity'!P76</f>
        <v>48221.07</v>
      </c>
      <c r="I75" s="481">
        <f>'[12]DIV 009 IS Activity'!Q76</f>
        <v>32227.400000000005</v>
      </c>
      <c r="J75" s="339">
        <f>VLOOKUP($B75,'[13]Div 9 forecast'!$D$549:$AF$630, '[13]Div 9 forecast'!L$548,FALSE)</f>
        <v>43114.740118733498</v>
      </c>
      <c r="K75" s="339">
        <f>VLOOKUP($B75,'[13]Div 9 forecast'!$D$549:$AF$630, '[13]Div 9 forecast'!M$548,FALSE)</f>
        <v>41937.696367369768</v>
      </c>
      <c r="L75" s="339">
        <f>VLOOKUP($B75,'[13]Div 9 forecast'!$D$549:$AF$630, '[13]Div 9 forecast'!N$548,FALSE)</f>
        <v>44200.348201573179</v>
      </c>
      <c r="M75" s="339">
        <f>VLOOKUP($B75,'[13]Div 9 forecast'!$D$549:$AF$630, '[13]Div 9 forecast'!O$548,FALSE)</f>
        <v>43772.570403527316</v>
      </c>
      <c r="N75" s="339">
        <f>VLOOKUP($B75,'[13]Div 9 forecast'!$D$549:$AF$630, '[13]Div 9 forecast'!P$548,FALSE)</f>
        <v>43185.305636721838</v>
      </c>
      <c r="O75" s="339">
        <f>VLOOKUP($B75,'[13]Div 9 forecast'!$D$549:$AF$630, '[13]Div 9 forecast'!Q$548,FALSE)</f>
        <v>46823.618245086742</v>
      </c>
      <c r="P75" s="95">
        <f t="shared" si="8"/>
        <v>489307.97897301236</v>
      </c>
      <c r="Q75" s="132"/>
      <c r="R75" s="184"/>
      <c r="S75" s="132"/>
    </row>
    <row r="76" spans="1:19">
      <c r="A76" s="1036">
        <f t="shared" si="1"/>
        <v>65</v>
      </c>
      <c r="B76" s="669">
        <v>8760</v>
      </c>
      <c r="C76" s="183" t="s">
        <v>907</v>
      </c>
      <c r="D76" s="481">
        <f>'[12]DIV 009 IS Activity'!L77</f>
        <v>2416.0100000000002</v>
      </c>
      <c r="E76" s="481">
        <f>'[12]DIV 009 IS Activity'!M77</f>
        <v>1483.0500000000002</v>
      </c>
      <c r="F76" s="481">
        <f>'[12]DIV 009 IS Activity'!N77</f>
        <v>49.21</v>
      </c>
      <c r="G76" s="481">
        <f>'[12]DIV 009 IS Activity'!O77</f>
        <v>-93.13</v>
      </c>
      <c r="H76" s="481">
        <f>'[12]DIV 009 IS Activity'!P77</f>
        <v>4198.7299999999996</v>
      </c>
      <c r="I76" s="481">
        <f>'[12]DIV 009 IS Activity'!Q77</f>
        <v>4164.2199999999993</v>
      </c>
      <c r="J76" s="339">
        <f>VLOOKUP($B76,'[13]Div 9 forecast'!$D$549:$AF$630, '[13]Div 9 forecast'!L$548,FALSE)</f>
        <v>2381.4100909874433</v>
      </c>
      <c r="K76" s="339">
        <f>VLOOKUP($B76,'[13]Div 9 forecast'!$D$549:$AF$630, '[13]Div 9 forecast'!M$548,FALSE)</f>
        <v>2311.1585684840911</v>
      </c>
      <c r="L76" s="339">
        <f>VLOOKUP($B76,'[13]Div 9 forecast'!$D$549:$AF$630, '[13]Div 9 forecast'!N$548,FALSE)</f>
        <v>2354.0666800393965</v>
      </c>
      <c r="M76" s="339">
        <f>VLOOKUP($B76,'[13]Div 9 forecast'!$D$549:$AF$630, '[13]Div 9 forecast'!O$548,FALSE)</f>
        <v>2332.4211296451299</v>
      </c>
      <c r="N76" s="339">
        <f>VLOOKUP($B76,'[13]Div 9 forecast'!$D$549:$AF$630, '[13]Div 9 forecast'!P$548,FALSE)</f>
        <v>2366.3778721837839</v>
      </c>
      <c r="O76" s="339">
        <f>VLOOKUP($B76,'[13]Div 9 forecast'!$D$549:$AF$630, '[13]Div 9 forecast'!Q$548,FALSE)</f>
        <v>2366.2260961240472</v>
      </c>
      <c r="P76" s="95">
        <f t="shared" si="8"/>
        <v>26329.750437463888</v>
      </c>
      <c r="Q76" s="132"/>
      <c r="R76" s="184"/>
      <c r="S76" s="132"/>
    </row>
    <row r="77" spans="1:19">
      <c r="A77" s="1036">
        <f t="shared" si="1"/>
        <v>66</v>
      </c>
      <c r="B77" s="669">
        <v>8770</v>
      </c>
      <c r="C77" s="183" t="s">
        <v>908</v>
      </c>
      <c r="D77" s="481">
        <f>'[12]DIV 009 IS Activity'!L78</f>
        <v>197</v>
      </c>
      <c r="E77" s="481">
        <f>'[12]DIV 009 IS Activity'!M78</f>
        <v>211.44</v>
      </c>
      <c r="F77" s="481">
        <f>'[12]DIV 009 IS Activity'!N78</f>
        <v>271.94</v>
      </c>
      <c r="G77" s="481">
        <f>'[12]DIV 009 IS Activity'!O78</f>
        <v>352.28000000000003</v>
      </c>
      <c r="H77" s="481">
        <f>'[12]DIV 009 IS Activity'!P78</f>
        <v>394.81000000000006</v>
      </c>
      <c r="I77" s="481">
        <f>'[12]DIV 009 IS Activity'!Q78</f>
        <v>427.57</v>
      </c>
      <c r="J77" s="339">
        <f>VLOOKUP($B77,'[13]Div 9 forecast'!$D$549:$AF$630, '[13]Div 9 forecast'!L$548,FALSE)</f>
        <v>286.85488349485433</v>
      </c>
      <c r="K77" s="339">
        <f>VLOOKUP($B77,'[13]Div 9 forecast'!$D$549:$AF$630, '[13]Div 9 forecast'!M$548,FALSE)</f>
        <v>291.47421186616026</v>
      </c>
      <c r="L77" s="339">
        <f>VLOOKUP($B77,'[13]Div 9 forecast'!$D$549:$AF$630, '[13]Div 9 forecast'!N$548,FALSE)</f>
        <v>271.98416788000264</v>
      </c>
      <c r="M77" s="339">
        <f>VLOOKUP($B77,'[13]Div 9 forecast'!$D$549:$AF$630, '[13]Div 9 forecast'!O$548,FALSE)</f>
        <v>286.91936127214575</v>
      </c>
      <c r="N77" s="339">
        <f>VLOOKUP($B77,'[13]Div 9 forecast'!$D$549:$AF$630, '[13]Div 9 forecast'!P$548,FALSE)</f>
        <v>268.23927676425632</v>
      </c>
      <c r="O77" s="339">
        <f>VLOOKUP($B77,'[13]Div 9 forecast'!$D$549:$AF$630, '[13]Div 9 forecast'!Q$548,FALSE)</f>
        <v>268.15080725587984</v>
      </c>
      <c r="P77" s="95">
        <f t="shared" si="8"/>
        <v>3528.6627085332993</v>
      </c>
      <c r="Q77" s="132"/>
      <c r="R77" s="184"/>
      <c r="S77" s="132"/>
    </row>
    <row r="78" spans="1:19">
      <c r="A78" s="1036">
        <f t="shared" si="1"/>
        <v>67</v>
      </c>
      <c r="B78" s="669">
        <v>8780</v>
      </c>
      <c r="C78" s="183" t="s">
        <v>909</v>
      </c>
      <c r="D78" s="481">
        <f>'[12]DIV 009 IS Activity'!L79</f>
        <v>84884.89</v>
      </c>
      <c r="E78" s="481">
        <f>'[12]DIV 009 IS Activity'!M79</f>
        <v>94390.59</v>
      </c>
      <c r="F78" s="481">
        <f>'[12]DIV 009 IS Activity'!N79</f>
        <v>95348.830000000045</v>
      </c>
      <c r="G78" s="481">
        <f>'[12]DIV 009 IS Activity'!O79</f>
        <v>79105.660000000033</v>
      </c>
      <c r="H78" s="481">
        <f>'[12]DIV 009 IS Activity'!P79</f>
        <v>75250.130000000019</v>
      </c>
      <c r="I78" s="481">
        <f>'[12]DIV 009 IS Activity'!Q79</f>
        <v>54351.920000000006</v>
      </c>
      <c r="J78" s="339">
        <f>VLOOKUP($B78,'[13]Div 9 forecast'!$D$549:$AF$630, '[13]Div 9 forecast'!L$548,FALSE)</f>
        <v>96001.383938557163</v>
      </c>
      <c r="K78" s="339">
        <f>VLOOKUP($B78,'[13]Div 9 forecast'!$D$549:$AF$630, '[13]Div 9 forecast'!M$548,FALSE)</f>
        <v>93785.614255938926</v>
      </c>
      <c r="L78" s="339">
        <f>VLOOKUP($B78,'[13]Div 9 forecast'!$D$549:$AF$630, '[13]Div 9 forecast'!N$548,FALSE)</f>
        <v>94112.153148435988</v>
      </c>
      <c r="M78" s="339">
        <f>VLOOKUP($B78,'[13]Div 9 forecast'!$D$549:$AF$630, '[13]Div 9 forecast'!O$548,FALSE)</f>
        <v>93164.82405371053</v>
      </c>
      <c r="N78" s="339">
        <f>VLOOKUP($B78,'[13]Div 9 forecast'!$D$549:$AF$630, '[13]Div 9 forecast'!P$548,FALSE)</f>
        <v>95188.153104340512</v>
      </c>
      <c r="O78" s="339">
        <f>VLOOKUP($B78,'[13]Div 9 forecast'!$D$549:$AF$630, '[13]Div 9 forecast'!Q$548,FALSE)</f>
        <v>92619.980675173952</v>
      </c>
      <c r="P78" s="95">
        <f t="shared" si="8"/>
        <v>1048204.1291761572</v>
      </c>
      <c r="Q78" s="132"/>
      <c r="R78" s="184"/>
      <c r="S78" s="132"/>
    </row>
    <row r="79" spans="1:19">
      <c r="A79" s="1036">
        <f t="shared" si="1"/>
        <v>68</v>
      </c>
      <c r="B79" s="669">
        <v>8790</v>
      </c>
      <c r="C79" s="183" t="s">
        <v>910</v>
      </c>
      <c r="D79" s="481">
        <f>'[12]DIV 009 IS Activity'!L80</f>
        <v>0</v>
      </c>
      <c r="E79" s="481">
        <f>'[12]DIV 009 IS Activity'!M80</f>
        <v>0</v>
      </c>
      <c r="F79" s="481">
        <f>'[12]DIV 009 IS Activity'!N80</f>
        <v>0</v>
      </c>
      <c r="G79" s="481">
        <f>'[12]DIV 009 IS Activity'!O80</f>
        <v>0</v>
      </c>
      <c r="H79" s="481">
        <f>'[12]DIV 009 IS Activity'!P80</f>
        <v>0</v>
      </c>
      <c r="I79" s="481">
        <f>'[12]DIV 009 IS Activity'!Q80</f>
        <v>0</v>
      </c>
      <c r="J79" s="339">
        <f>VLOOKUP($B79,'[13]Div 9 forecast'!$D$549:$AF$630, '[13]Div 9 forecast'!L$548,FALSE)</f>
        <v>0</v>
      </c>
      <c r="K79" s="339">
        <f>VLOOKUP($B79,'[13]Div 9 forecast'!$D$549:$AF$630, '[13]Div 9 forecast'!M$548,FALSE)</f>
        <v>0</v>
      </c>
      <c r="L79" s="339">
        <f>VLOOKUP($B79,'[13]Div 9 forecast'!$D$549:$AF$630, '[13]Div 9 forecast'!N$548,FALSE)</f>
        <v>0</v>
      </c>
      <c r="M79" s="339">
        <f>VLOOKUP($B79,'[13]Div 9 forecast'!$D$549:$AF$630, '[13]Div 9 forecast'!O$548,FALSE)</f>
        <v>0</v>
      </c>
      <c r="N79" s="339">
        <f>VLOOKUP($B79,'[13]Div 9 forecast'!$D$549:$AF$630, '[13]Div 9 forecast'!P$548,FALSE)</f>
        <v>0</v>
      </c>
      <c r="O79" s="339">
        <f>VLOOKUP($B79,'[13]Div 9 forecast'!$D$549:$AF$630, '[13]Div 9 forecast'!Q$548,FALSE)</f>
        <v>0</v>
      </c>
      <c r="P79" s="95">
        <f t="shared" si="8"/>
        <v>0</v>
      </c>
      <c r="Q79" s="132"/>
      <c r="R79" s="184"/>
      <c r="S79" s="132"/>
    </row>
    <row r="80" spans="1:19">
      <c r="A80" s="1036">
        <f t="shared" si="1"/>
        <v>69</v>
      </c>
      <c r="B80" s="669">
        <v>8800</v>
      </c>
      <c r="C80" s="183" t="s">
        <v>911</v>
      </c>
      <c r="D80" s="481">
        <f>'[12]DIV 009 IS Activity'!L81</f>
        <v>586.12000000000012</v>
      </c>
      <c r="E80" s="481">
        <f>'[12]DIV 009 IS Activity'!M81</f>
        <v>14</v>
      </c>
      <c r="F80" s="481">
        <f>'[12]DIV 009 IS Activity'!N81</f>
        <v>157.12999999999997</v>
      </c>
      <c r="G80" s="481">
        <f>'[12]DIV 009 IS Activity'!O81</f>
        <v>228.38</v>
      </c>
      <c r="H80" s="481">
        <f>'[12]DIV 009 IS Activity'!P81</f>
        <v>0</v>
      </c>
      <c r="I80" s="481">
        <f>'[12]DIV 009 IS Activity'!Q81</f>
        <v>33.019999999999989</v>
      </c>
      <c r="J80" s="339">
        <f>VLOOKUP($B80,'[13]Div 9 forecast'!$D$549:$AF$630, '[13]Div 9 forecast'!L$548,FALSE)</f>
        <v>117.80498651480819</v>
      </c>
      <c r="K80" s="339">
        <f>VLOOKUP($B80,'[13]Div 9 forecast'!$D$549:$AF$630, '[13]Div 9 forecast'!M$548,FALSE)</f>
        <v>113.47537053521938</v>
      </c>
      <c r="L80" s="339">
        <f>VLOOKUP($B80,'[13]Div 9 forecast'!$D$549:$AF$630, '[13]Div 9 forecast'!N$548,FALSE)</f>
        <v>118.90895765227725</v>
      </c>
      <c r="M80" s="339">
        <f>VLOOKUP($B80,'[13]Div 9 forecast'!$D$549:$AF$630, '[13]Div 9 forecast'!O$548,FALSE)</f>
        <v>123.80517292802701</v>
      </c>
      <c r="N80" s="339">
        <f>VLOOKUP($B80,'[13]Div 9 forecast'!$D$549:$AF$630, '[13]Div 9 forecast'!P$548,FALSE)</f>
        <v>119.0382073254508</v>
      </c>
      <c r="O80" s="339">
        <f>VLOOKUP($B80,'[13]Div 9 forecast'!$D$549:$AF$630, '[13]Div 9 forecast'!Q$548,FALSE)</f>
        <v>151.49020811283282</v>
      </c>
      <c r="P80" s="95">
        <f t="shared" si="8"/>
        <v>1763.1729030686154</v>
      </c>
      <c r="Q80" s="132"/>
      <c r="R80" s="132"/>
      <c r="S80" s="132"/>
    </row>
    <row r="81" spans="1:21">
      <c r="A81" s="1036">
        <f t="shared" si="1"/>
        <v>70</v>
      </c>
      <c r="B81" s="669">
        <v>8810</v>
      </c>
      <c r="C81" s="183" t="s">
        <v>912</v>
      </c>
      <c r="D81" s="481">
        <f>'[12]DIV 009 IS Activity'!L82</f>
        <v>35928.699999999997</v>
      </c>
      <c r="E81" s="481">
        <f>'[12]DIV 009 IS Activity'!M82</f>
        <v>32990.769999999997</v>
      </c>
      <c r="F81" s="481">
        <f>'[12]DIV 009 IS Activity'!N82</f>
        <v>34106.49</v>
      </c>
      <c r="G81" s="481">
        <f>'[12]DIV 009 IS Activity'!O82</f>
        <v>37628.39999999998</v>
      </c>
      <c r="H81" s="481">
        <f>'[12]DIV 009 IS Activity'!P82</f>
        <v>40035.220000000008</v>
      </c>
      <c r="I81" s="481">
        <f>'[12]DIV 009 IS Activity'!Q82</f>
        <v>43174.249999999993</v>
      </c>
      <c r="J81" s="339">
        <f>VLOOKUP($B81,'[13]Div 9 forecast'!$D$549:$AF$630, '[13]Div 9 forecast'!L$548,FALSE)</f>
        <v>24983.550526013558</v>
      </c>
      <c r="K81" s="339">
        <f>VLOOKUP($B81,'[13]Div 9 forecast'!$D$549:$AF$630, '[13]Div 9 forecast'!M$548,FALSE)</f>
        <v>25109.639620637874</v>
      </c>
      <c r="L81" s="339">
        <f>VLOOKUP($B81,'[13]Div 9 forecast'!$D$549:$AF$630, '[13]Div 9 forecast'!N$548,FALSE)</f>
        <v>22395.986080873747</v>
      </c>
      <c r="M81" s="339">
        <f>VLOOKUP($B81,'[13]Div 9 forecast'!$D$549:$AF$630, '[13]Div 9 forecast'!O$548,FALSE)</f>
        <v>23354.210256546106</v>
      </c>
      <c r="N81" s="339">
        <f>VLOOKUP($B81,'[13]Div 9 forecast'!$D$549:$AF$630, '[13]Div 9 forecast'!P$548,FALSE)</f>
        <v>19802.794648471794</v>
      </c>
      <c r="O81" s="339">
        <f>VLOOKUP($B81,'[13]Div 9 forecast'!$D$549:$AF$630, '[13]Div 9 forecast'!Q$548,FALSE)</f>
        <v>21482.139115648471</v>
      </c>
      <c r="P81" s="95">
        <f t="shared" si="8"/>
        <v>360992.15024819155</v>
      </c>
      <c r="Q81" s="132"/>
      <c r="R81" s="132"/>
      <c r="S81" s="132"/>
    </row>
    <row r="82" spans="1:21">
      <c r="A82" s="1036">
        <f t="shared" si="1"/>
        <v>71</v>
      </c>
      <c r="B82" s="669">
        <v>8850</v>
      </c>
      <c r="C82" s="183" t="s">
        <v>913</v>
      </c>
      <c r="D82" s="481">
        <f>'[12]DIV 009 IS Activity'!L83</f>
        <v>0</v>
      </c>
      <c r="E82" s="481">
        <f>'[12]DIV 009 IS Activity'!M83</f>
        <v>0</v>
      </c>
      <c r="F82" s="481">
        <f>'[12]DIV 009 IS Activity'!N83</f>
        <v>36.979999999999997</v>
      </c>
      <c r="G82" s="481">
        <f>'[12]DIV 009 IS Activity'!O83</f>
        <v>53.53</v>
      </c>
      <c r="H82" s="481">
        <f>'[12]DIV 009 IS Activity'!P83</f>
        <v>0</v>
      </c>
      <c r="I82" s="481">
        <f>'[12]DIV 009 IS Activity'!Q83</f>
        <v>0</v>
      </c>
      <c r="J82" s="339">
        <f>VLOOKUP($B82,'[13]Div 9 forecast'!$D$549:$AF$630, '[13]Div 9 forecast'!L$548,FALSE)</f>
        <v>14.124793219220276</v>
      </c>
      <c r="K82" s="339">
        <f>VLOOKUP($B82,'[13]Div 9 forecast'!$D$549:$AF$630, '[13]Div 9 forecast'!M$548,FALSE)</f>
        <v>14.728684414327203</v>
      </c>
      <c r="L82" s="339">
        <f>VLOOKUP($B82,'[13]Div 9 forecast'!$D$549:$AF$630, '[13]Div 9 forecast'!N$548,FALSE)</f>
        <v>14.539268960661797</v>
      </c>
      <c r="M82" s="339">
        <f>VLOOKUP($B82,'[13]Div 9 forecast'!$D$549:$AF$630, '[13]Div 9 forecast'!O$548,FALSE)</f>
        <v>14.76978549678782</v>
      </c>
      <c r="N82" s="339">
        <f>VLOOKUP($B82,'[13]Div 9 forecast'!$D$549:$AF$630, '[13]Div 9 forecast'!P$548,FALSE)</f>
        <v>16.657926212267888</v>
      </c>
      <c r="O82" s="339">
        <f>VLOOKUP($B82,'[13]Div 9 forecast'!$D$549:$AF$630, '[13]Div 9 forecast'!Q$548,FALSE)</f>
        <v>14.480962773915339</v>
      </c>
      <c r="P82" s="95">
        <f t="shared" si="8"/>
        <v>179.81142107718031</v>
      </c>
      <c r="Q82" s="132"/>
      <c r="R82" s="132"/>
      <c r="S82" s="132"/>
    </row>
    <row r="83" spans="1:21">
      <c r="A83" s="1036">
        <f t="shared" si="1"/>
        <v>72</v>
      </c>
      <c r="B83" s="669">
        <v>8860</v>
      </c>
      <c r="C83" s="183" t="s">
        <v>914</v>
      </c>
      <c r="D83" s="481">
        <f>'[12]DIV 009 IS Activity'!L84</f>
        <v>0</v>
      </c>
      <c r="E83" s="481">
        <f>'[12]DIV 009 IS Activity'!M84</f>
        <v>0</v>
      </c>
      <c r="F83" s="481">
        <f>'[12]DIV 009 IS Activity'!N84</f>
        <v>0</v>
      </c>
      <c r="G83" s="481">
        <f>'[12]DIV 009 IS Activity'!O84</f>
        <v>0</v>
      </c>
      <c r="H83" s="481">
        <f>'[12]DIV 009 IS Activity'!P84</f>
        <v>0</v>
      </c>
      <c r="I83" s="481">
        <f>'[12]DIV 009 IS Activity'!Q84</f>
        <v>0</v>
      </c>
      <c r="J83" s="339">
        <f>VLOOKUP($B83,'[13]Div 9 forecast'!$D$549:$AF$630, '[13]Div 9 forecast'!L$548,FALSE)</f>
        <v>0</v>
      </c>
      <c r="K83" s="339">
        <f>VLOOKUP($B83,'[13]Div 9 forecast'!$D$549:$AF$630, '[13]Div 9 forecast'!M$548,FALSE)</f>
        <v>0</v>
      </c>
      <c r="L83" s="339">
        <f>VLOOKUP($B83,'[13]Div 9 forecast'!$D$549:$AF$630, '[13]Div 9 forecast'!N$548,FALSE)</f>
        <v>0</v>
      </c>
      <c r="M83" s="339">
        <f>VLOOKUP($B83,'[13]Div 9 forecast'!$D$549:$AF$630, '[13]Div 9 forecast'!O$548,FALSE)</f>
        <v>0</v>
      </c>
      <c r="N83" s="339">
        <f>VLOOKUP($B83,'[13]Div 9 forecast'!$D$549:$AF$630, '[13]Div 9 forecast'!P$548,FALSE)</f>
        <v>0</v>
      </c>
      <c r="O83" s="339">
        <f>VLOOKUP($B83,'[13]Div 9 forecast'!$D$549:$AF$630, '[13]Div 9 forecast'!Q$548,FALSE)</f>
        <v>0</v>
      </c>
      <c r="P83" s="95">
        <f t="shared" si="8"/>
        <v>0</v>
      </c>
      <c r="Q83" s="132"/>
      <c r="R83" s="132"/>
      <c r="S83" s="132"/>
    </row>
    <row r="84" spans="1:21">
      <c r="A84" s="1036">
        <f t="shared" si="1"/>
        <v>73</v>
      </c>
      <c r="B84" s="669">
        <v>8870</v>
      </c>
      <c r="C84" s="183" t="s">
        <v>915</v>
      </c>
      <c r="D84" s="481">
        <f>'[12]DIV 009 IS Activity'!L85</f>
        <v>-814.19</v>
      </c>
      <c r="E84" s="481">
        <f>'[12]DIV 009 IS Activity'!M85</f>
        <v>252.19</v>
      </c>
      <c r="F84" s="481">
        <f>'[12]DIV 009 IS Activity'!N85</f>
        <v>62.52000000000001</v>
      </c>
      <c r="G84" s="481">
        <f>'[12]DIV 009 IS Activity'!O85</f>
        <v>6237.0700000000006</v>
      </c>
      <c r="H84" s="481">
        <f>'[12]DIV 009 IS Activity'!P85</f>
        <v>2539.86</v>
      </c>
      <c r="I84" s="481">
        <f>'[12]DIV 009 IS Activity'!Q85</f>
        <v>291.18000000000006</v>
      </c>
      <c r="J84" s="339">
        <f>VLOOKUP($B84,'[13]Div 9 forecast'!$D$549:$AF$630, '[13]Div 9 forecast'!L$548,FALSE)</f>
        <v>1522.9165062399481</v>
      </c>
      <c r="K84" s="339">
        <f>VLOOKUP($B84,'[13]Div 9 forecast'!$D$549:$AF$630, '[13]Div 9 forecast'!M$548,FALSE)</f>
        <v>1553.2046809065062</v>
      </c>
      <c r="L84" s="339">
        <f>VLOOKUP($B84,'[13]Div 9 forecast'!$D$549:$AF$630, '[13]Div 9 forecast'!N$548,FALSE)</f>
        <v>1694.1606740737716</v>
      </c>
      <c r="M84" s="339">
        <f>VLOOKUP($B84,'[13]Div 9 forecast'!$D$549:$AF$630, '[13]Div 9 forecast'!O$548,FALSE)</f>
        <v>1613.5544156016083</v>
      </c>
      <c r="N84" s="339">
        <f>VLOOKUP($B84,'[13]Div 9 forecast'!$D$549:$AF$630, '[13]Div 9 forecast'!P$548,FALSE)</f>
        <v>1504.7616797221572</v>
      </c>
      <c r="O84" s="339">
        <f>VLOOKUP($B84,'[13]Div 9 forecast'!$D$549:$AF$630, '[13]Div 9 forecast'!Q$548,FALSE)</f>
        <v>1381.985227436403</v>
      </c>
      <c r="P84" s="95">
        <f t="shared" si="8"/>
        <v>17839.213183980395</v>
      </c>
      <c r="Q84" s="132"/>
      <c r="R84" s="136"/>
      <c r="S84" s="132"/>
    </row>
    <row r="85" spans="1:21">
      <c r="A85" s="1036">
        <f t="shared" si="1"/>
        <v>74</v>
      </c>
      <c r="B85" s="669">
        <v>8890</v>
      </c>
      <c r="C85" s="699" t="s">
        <v>916</v>
      </c>
      <c r="D85" s="481">
        <f>'[12]DIV 009 IS Activity'!L86</f>
        <v>7538.23</v>
      </c>
      <c r="E85" s="481">
        <f>'[12]DIV 009 IS Activity'!M86</f>
        <v>1569.38</v>
      </c>
      <c r="F85" s="481">
        <f>'[12]DIV 009 IS Activity'!N86</f>
        <v>2676.37</v>
      </c>
      <c r="G85" s="481">
        <f>'[12]DIV 009 IS Activity'!O86</f>
        <v>1239.4900000000002</v>
      </c>
      <c r="H85" s="481">
        <f>'[12]DIV 009 IS Activity'!P86</f>
        <v>3167.36</v>
      </c>
      <c r="I85" s="481">
        <f>'[12]DIV 009 IS Activity'!Q86</f>
        <v>12320.66</v>
      </c>
      <c r="J85" s="339">
        <f>VLOOKUP($B85,'[13]Div 9 forecast'!$D$549:$AF$630, '[13]Div 9 forecast'!L$548,FALSE)</f>
        <v>4853.9923769279358</v>
      </c>
      <c r="K85" s="339">
        <f>VLOOKUP($B85,'[13]Div 9 forecast'!$D$549:$AF$630, '[13]Div 9 forecast'!M$548,FALSE)</f>
        <v>4753.0621437031577</v>
      </c>
      <c r="L85" s="339">
        <f>VLOOKUP($B85,'[13]Div 9 forecast'!$D$549:$AF$630, '[13]Div 9 forecast'!N$548,FALSE)</f>
        <v>5636.1421208271677</v>
      </c>
      <c r="M85" s="339">
        <f>VLOOKUP($B85,'[13]Div 9 forecast'!$D$549:$AF$630, '[13]Div 9 forecast'!O$548,FALSE)</f>
        <v>5434.1657090158751</v>
      </c>
      <c r="N85" s="339">
        <f>VLOOKUP($B85,'[13]Div 9 forecast'!$D$549:$AF$630, '[13]Div 9 forecast'!P$548,FALSE)</f>
        <v>4916.4143004307152</v>
      </c>
      <c r="O85" s="339">
        <f>VLOOKUP($B85,'[13]Div 9 forecast'!$D$549:$AF$630, '[13]Div 9 forecast'!Q$548,FALSE)</f>
        <v>5959.7283589779036</v>
      </c>
      <c r="P85" s="95">
        <f t="shared" si="8"/>
        <v>60064.995009882761</v>
      </c>
      <c r="Q85" s="132"/>
      <c r="R85" s="132"/>
      <c r="S85" s="132"/>
    </row>
    <row r="86" spans="1:21">
      <c r="A86" s="1036">
        <f t="shared" ref="A86:A112" si="10">A85+1</f>
        <v>75</v>
      </c>
      <c r="B86" s="669">
        <v>8900</v>
      </c>
      <c r="C86" s="183" t="s">
        <v>917</v>
      </c>
      <c r="D86" s="481">
        <f>0</f>
        <v>0</v>
      </c>
      <c r="E86" s="481">
        <f>0</f>
        <v>0</v>
      </c>
      <c r="F86" s="481">
        <f>0</f>
        <v>0</v>
      </c>
      <c r="G86" s="481">
        <f>0</f>
        <v>0</v>
      </c>
      <c r="H86" s="481">
        <f>0</f>
        <v>0</v>
      </c>
      <c r="I86" s="481">
        <f>0</f>
        <v>0</v>
      </c>
      <c r="J86" s="339">
        <f>VLOOKUP($B86,'[13]Div 9 forecast'!$D$549:$AF$630, '[13]Div 9 forecast'!L$548,FALSE)</f>
        <v>0</v>
      </c>
      <c r="K86" s="339">
        <f>VLOOKUP($B86,'[13]Div 9 forecast'!$D$549:$AF$630, '[13]Div 9 forecast'!M$548,FALSE)</f>
        <v>0</v>
      </c>
      <c r="L86" s="339">
        <f>VLOOKUP($B86,'[13]Div 9 forecast'!$D$549:$AF$630, '[13]Div 9 forecast'!N$548,FALSE)</f>
        <v>0</v>
      </c>
      <c r="M86" s="339">
        <f>VLOOKUP($B86,'[13]Div 9 forecast'!$D$549:$AF$630, '[13]Div 9 forecast'!O$548,FALSE)</f>
        <v>0</v>
      </c>
      <c r="N86" s="339">
        <f>VLOOKUP($B86,'[13]Div 9 forecast'!$D$549:$AF$630, '[13]Div 9 forecast'!P$548,FALSE)</f>
        <v>0</v>
      </c>
      <c r="O86" s="339">
        <f>VLOOKUP($B86,'[13]Div 9 forecast'!$D$549:$AF$630, '[13]Div 9 forecast'!Q$548,FALSE)</f>
        <v>0</v>
      </c>
      <c r="P86" s="95">
        <f t="shared" si="8"/>
        <v>0</v>
      </c>
      <c r="Q86" s="132"/>
      <c r="R86" s="132"/>
      <c r="S86" s="132"/>
    </row>
    <row r="87" spans="1:21">
      <c r="A87" s="1036">
        <f t="shared" si="10"/>
        <v>76</v>
      </c>
      <c r="B87" s="669">
        <v>8910</v>
      </c>
      <c r="C87" s="183" t="s">
        <v>918</v>
      </c>
      <c r="D87" s="481">
        <f>'[12]DIV 009 IS Activity'!L87</f>
        <v>-117.09</v>
      </c>
      <c r="E87" s="481">
        <f>'[12]DIV 009 IS Activity'!M87</f>
        <v>0</v>
      </c>
      <c r="F87" s="481">
        <f>'[12]DIV 009 IS Activity'!N87</f>
        <v>0</v>
      </c>
      <c r="G87" s="481">
        <f>'[12]DIV 009 IS Activity'!O87</f>
        <v>0</v>
      </c>
      <c r="H87" s="481">
        <f>'[12]DIV 009 IS Activity'!P87</f>
        <v>906.68000000000006</v>
      </c>
      <c r="I87" s="481">
        <f>'[12]DIV 009 IS Activity'!Q87</f>
        <v>180.95</v>
      </c>
      <c r="J87" s="339">
        <f>VLOOKUP($B87,'[13]Div 9 forecast'!$D$549:$AF$630, '[13]Div 9 forecast'!L$548,FALSE)</f>
        <v>190.64064332754509</v>
      </c>
      <c r="K87" s="339">
        <f>VLOOKUP($B87,'[13]Div 9 forecast'!$D$549:$AF$630, '[13]Div 9 forecast'!M$548,FALSE)</f>
        <v>186.32231834644523</v>
      </c>
      <c r="L87" s="339">
        <f>VLOOKUP($B87,'[13]Div 9 forecast'!$D$549:$AF$630, '[13]Div 9 forecast'!N$548,FALSE)</f>
        <v>186.8440715140716</v>
      </c>
      <c r="M87" s="339">
        <f>VLOOKUP($B87,'[13]Div 9 forecast'!$D$549:$AF$630, '[13]Div 9 forecast'!O$548,FALSE)</f>
        <v>184.7179346509285</v>
      </c>
      <c r="N87" s="339">
        <f>VLOOKUP($B87,'[13]Div 9 forecast'!$D$549:$AF$630, '[13]Div 9 forecast'!P$548,FALSE)</f>
        <v>188.60277711700346</v>
      </c>
      <c r="O87" s="339">
        <f>VLOOKUP($B87,'[13]Div 9 forecast'!$D$549:$AF$630, '[13]Div 9 forecast'!Q$548,FALSE)</f>
        <v>178.96082293246923</v>
      </c>
      <c r="P87" s="95">
        <f t="shared" si="8"/>
        <v>2086.6285678884633</v>
      </c>
      <c r="Q87" s="132"/>
      <c r="R87" s="132"/>
      <c r="S87" s="132"/>
    </row>
    <row r="88" spans="1:21">
      <c r="A88" s="1036">
        <f t="shared" si="10"/>
        <v>77</v>
      </c>
      <c r="B88" s="669">
        <v>8920</v>
      </c>
      <c r="C88" s="183" t="s">
        <v>919</v>
      </c>
      <c r="D88" s="481">
        <f>'[12]DIV 009 IS Activity'!L88</f>
        <v>0</v>
      </c>
      <c r="E88" s="481">
        <f>'[12]DIV 009 IS Activity'!M88</f>
        <v>77.08</v>
      </c>
      <c r="F88" s="481">
        <f>'[12]DIV 009 IS Activity'!N88</f>
        <v>222.45</v>
      </c>
      <c r="G88" s="481">
        <f>'[12]DIV 009 IS Activity'!O88</f>
        <v>215.4</v>
      </c>
      <c r="H88" s="481">
        <f>'[12]DIV 009 IS Activity'!P88</f>
        <v>-43.76</v>
      </c>
      <c r="I88" s="481">
        <f>'[12]DIV 009 IS Activity'!Q88</f>
        <v>105.92</v>
      </c>
      <c r="J88" s="339">
        <f>VLOOKUP($B88,'[13]Div 9 forecast'!$D$549:$AF$630, '[13]Div 9 forecast'!L$548,FALSE)</f>
        <v>112.71101743716443</v>
      </c>
      <c r="K88" s="339">
        <f>VLOOKUP($B88,'[13]Div 9 forecast'!$D$549:$AF$630, '[13]Div 9 forecast'!M$548,FALSE)</f>
        <v>109.61702643858979</v>
      </c>
      <c r="L88" s="339">
        <f>VLOOKUP($B88,'[13]Div 9 forecast'!$D$549:$AF$630, '[13]Div 9 forecast'!N$548,FALSE)</f>
        <v>111.1189674702437</v>
      </c>
      <c r="M88" s="339">
        <f>VLOOKUP($B88,'[13]Div 9 forecast'!$D$549:$AF$630, '[13]Div 9 forecast'!O$548,FALSE)</f>
        <v>110.01008389615963</v>
      </c>
      <c r="N88" s="339">
        <f>VLOOKUP($B88,'[13]Div 9 forecast'!$D$549:$AF$630, '[13]Div 9 forecast'!P$548,FALSE)</f>
        <v>111.83154755978249</v>
      </c>
      <c r="O88" s="339">
        <f>VLOOKUP($B88,'[13]Div 9 forecast'!$D$549:$AF$630, '[13]Div 9 forecast'!Q$548,FALSE)</f>
        <v>110.06461344304761</v>
      </c>
      <c r="P88" s="95">
        <f t="shared" si="8"/>
        <v>1242.4432562449874</v>
      </c>
      <c r="Q88" s="132"/>
      <c r="R88" s="132"/>
      <c r="S88" s="132"/>
    </row>
    <row r="89" spans="1:21">
      <c r="A89" s="1036">
        <f t="shared" si="10"/>
        <v>78</v>
      </c>
      <c r="B89" s="669">
        <v>8930</v>
      </c>
      <c r="C89" s="183" t="s">
        <v>920</v>
      </c>
      <c r="D89" s="481">
        <f>'[12]DIV 009 IS Activity'!L89</f>
        <v>4000</v>
      </c>
      <c r="E89" s="481">
        <f>'[12]DIV 009 IS Activity'!M89</f>
        <v>0</v>
      </c>
      <c r="F89" s="481">
        <f>'[12]DIV 009 IS Activity'!N89</f>
        <v>0</v>
      </c>
      <c r="G89" s="481">
        <f>'[12]DIV 009 IS Activity'!O89</f>
        <v>0</v>
      </c>
      <c r="H89" s="481">
        <f>'[12]DIV 009 IS Activity'!P89</f>
        <v>0</v>
      </c>
      <c r="I89" s="481">
        <f>'[12]DIV 009 IS Activity'!Q89</f>
        <v>0</v>
      </c>
      <c r="J89" s="339">
        <f>VLOOKUP($B89,'[13]Div 9 forecast'!$D$549:$AF$630, '[13]Div 9 forecast'!L$548,FALSE)</f>
        <v>676.95094756594835</v>
      </c>
      <c r="K89" s="339">
        <f>VLOOKUP($B89,'[13]Div 9 forecast'!$D$549:$AF$630, '[13]Div 9 forecast'!M$548,FALSE)</f>
        <v>728.72702475333051</v>
      </c>
      <c r="L89" s="339">
        <f>VLOOKUP($B89,'[13]Div 9 forecast'!$D$549:$AF$630, '[13]Div 9 forecast'!N$548,FALSE)</f>
        <v>804.91463643210193</v>
      </c>
      <c r="M89" s="339">
        <f>VLOOKUP($B89,'[13]Div 9 forecast'!$D$549:$AF$630, '[13]Div 9 forecast'!O$548,FALSE)</f>
        <v>742.50772970814705</v>
      </c>
      <c r="N89" s="339">
        <f>VLOOKUP($B89,'[13]Div 9 forecast'!$D$549:$AF$630, '[13]Div 9 forecast'!P$548,FALSE)</f>
        <v>658.83916391104663</v>
      </c>
      <c r="O89" s="339">
        <f>VLOOKUP($B89,'[13]Div 9 forecast'!$D$549:$AF$630, '[13]Div 9 forecast'!Q$548,FALSE)</f>
        <v>474.76894913250931</v>
      </c>
      <c r="P89" s="95">
        <f t="shared" si="8"/>
        <v>8086.7084515030847</v>
      </c>
      <c r="Q89" s="132"/>
      <c r="R89" s="132"/>
      <c r="S89" s="132"/>
    </row>
    <row r="90" spans="1:21">
      <c r="A90" s="1036">
        <f t="shared" si="10"/>
        <v>79</v>
      </c>
      <c r="B90" s="669">
        <v>8940</v>
      </c>
      <c r="C90" s="183" t="s">
        <v>921</v>
      </c>
      <c r="D90" s="481">
        <f>'[12]DIV 009 IS Activity'!L90</f>
        <v>178.42</v>
      </c>
      <c r="E90" s="481">
        <f>'[12]DIV 009 IS Activity'!M90</f>
        <v>0</v>
      </c>
      <c r="F90" s="481">
        <f>'[12]DIV 009 IS Activity'!N90</f>
        <v>12.75</v>
      </c>
      <c r="G90" s="481">
        <f>'[12]DIV 009 IS Activity'!O90</f>
        <v>199.63</v>
      </c>
      <c r="H90" s="481">
        <f>'[12]DIV 009 IS Activity'!P90</f>
        <v>0</v>
      </c>
      <c r="I90" s="481">
        <f>'[12]DIV 009 IS Activity'!Q90</f>
        <v>21.19</v>
      </c>
      <c r="J90" s="339">
        <f>VLOOKUP($B90,'[13]Div 9 forecast'!$D$549:$AF$630, '[13]Div 9 forecast'!L$548,FALSE)</f>
        <v>70.697426969859379</v>
      </c>
      <c r="K90" s="339">
        <f>VLOOKUP($B90,'[13]Div 9 forecast'!$D$549:$AF$630, '[13]Div 9 forecast'!M$548,FALSE)</f>
        <v>60.521730281400416</v>
      </c>
      <c r="L90" s="339">
        <f>VLOOKUP($B90,'[13]Div 9 forecast'!$D$549:$AF$630, '[13]Div 9 forecast'!N$548,FALSE)</f>
        <v>79.633926717868761</v>
      </c>
      <c r="M90" s="339">
        <f>VLOOKUP($B90,'[13]Div 9 forecast'!$D$549:$AF$630, '[13]Div 9 forecast'!O$548,FALSE)</f>
        <v>81.193701756234745</v>
      </c>
      <c r="N90" s="339">
        <f>VLOOKUP($B90,'[13]Div 9 forecast'!$D$549:$AF$630, '[13]Div 9 forecast'!P$548,FALSE)</f>
        <v>75.099300981885051</v>
      </c>
      <c r="O90" s="339">
        <f>VLOOKUP($B90,'[13]Div 9 forecast'!$D$549:$AF$630, '[13]Div 9 forecast'!Q$548,FALSE)</f>
        <v>133.87864757089409</v>
      </c>
      <c r="P90" s="95">
        <f t="shared" si="8"/>
        <v>913.01473427814244</v>
      </c>
      <c r="Q90" s="132"/>
      <c r="R90" s="132"/>
      <c r="S90" s="132"/>
    </row>
    <row r="91" spans="1:21" s="639" customFormat="1">
      <c r="A91" s="1036">
        <f t="shared" si="10"/>
        <v>80</v>
      </c>
      <c r="B91" s="669">
        <v>9010</v>
      </c>
      <c r="C91" s="72" t="s">
        <v>180</v>
      </c>
      <c r="D91" s="481">
        <f>0</f>
        <v>0</v>
      </c>
      <c r="E91" s="481">
        <f>0</f>
        <v>0</v>
      </c>
      <c r="F91" s="481">
        <f>0</f>
        <v>0</v>
      </c>
      <c r="G91" s="481">
        <f>0</f>
        <v>0</v>
      </c>
      <c r="H91" s="481">
        <f>0</f>
        <v>0</v>
      </c>
      <c r="I91" s="481">
        <f>0</f>
        <v>0</v>
      </c>
      <c r="J91" s="339">
        <f>VLOOKUP($B91,'[13]Div 9 forecast'!$D$549:$AF$630, '[13]Div 9 forecast'!L$548,FALSE)</f>
        <v>0</v>
      </c>
      <c r="K91" s="339">
        <f>VLOOKUP($B91,'[13]Div 9 forecast'!$D$549:$AF$630, '[13]Div 9 forecast'!M$548,FALSE)</f>
        <v>0</v>
      </c>
      <c r="L91" s="339">
        <f>VLOOKUP($B91,'[13]Div 9 forecast'!$D$549:$AF$630, '[13]Div 9 forecast'!N$548,FALSE)</f>
        <v>0</v>
      </c>
      <c r="M91" s="339">
        <f>VLOOKUP($B91,'[13]Div 9 forecast'!$D$549:$AF$630, '[13]Div 9 forecast'!O$548,FALSE)</f>
        <v>0</v>
      </c>
      <c r="N91" s="339">
        <f>VLOOKUP($B91,'[13]Div 9 forecast'!$D$549:$AF$630, '[13]Div 9 forecast'!P$548,FALSE)</f>
        <v>0</v>
      </c>
      <c r="O91" s="339">
        <f>VLOOKUP($B91,'[13]Div 9 forecast'!$D$549:$AF$630, '[13]Div 9 forecast'!Q$548,FALSE)</f>
        <v>0</v>
      </c>
      <c r="P91" s="95">
        <f t="shared" si="8"/>
        <v>0</v>
      </c>
      <c r="Q91" s="132"/>
      <c r="R91" s="132"/>
      <c r="S91" s="132"/>
    </row>
    <row r="92" spans="1:21">
      <c r="A92" s="1036">
        <f t="shared" si="10"/>
        <v>81</v>
      </c>
      <c r="B92" s="669">
        <v>9020</v>
      </c>
      <c r="C92" s="183" t="s">
        <v>922</v>
      </c>
      <c r="D92" s="481">
        <f>'[12]DIV 009 IS Activity'!L91</f>
        <v>75565.180000000008</v>
      </c>
      <c r="E92" s="481">
        <f>'[12]DIV 009 IS Activity'!M91</f>
        <v>69528.97</v>
      </c>
      <c r="F92" s="481">
        <f>'[12]DIV 009 IS Activity'!N91</f>
        <v>68815.7</v>
      </c>
      <c r="G92" s="481">
        <f>'[12]DIV 009 IS Activity'!O91</f>
        <v>62636.800000000003</v>
      </c>
      <c r="H92" s="481">
        <f>'[12]DIV 009 IS Activity'!P91</f>
        <v>77734.880000000005</v>
      </c>
      <c r="I92" s="481">
        <f>'[12]DIV 009 IS Activity'!Q91</f>
        <v>77631.86</v>
      </c>
      <c r="J92" s="339">
        <f>VLOOKUP($B92,'[13]Div 9 forecast'!$D$549:$AF$630, '[13]Div 9 forecast'!L$548,FALSE)</f>
        <v>81941.745689999298</v>
      </c>
      <c r="K92" s="339">
        <f>VLOOKUP($B92,'[13]Div 9 forecast'!$D$549:$AF$630, '[13]Div 9 forecast'!M$548,FALSE)</f>
        <v>80474.349102523804</v>
      </c>
      <c r="L92" s="339">
        <f>VLOOKUP($B92,'[13]Div 9 forecast'!$D$549:$AF$630, '[13]Div 9 forecast'!N$548,FALSE)</f>
        <v>78329.112227770165</v>
      </c>
      <c r="M92" s="339">
        <f>VLOOKUP($B92,'[13]Div 9 forecast'!$D$549:$AF$630, '[13]Div 9 forecast'!O$548,FALSE)</f>
        <v>79414.08940109807</v>
      </c>
      <c r="N92" s="339">
        <f>VLOOKUP($B92,'[13]Div 9 forecast'!$D$549:$AF$630, '[13]Div 9 forecast'!P$548,FALSE)</f>
        <v>77057.897647127305</v>
      </c>
      <c r="O92" s="339">
        <f>VLOOKUP($B92,'[13]Div 9 forecast'!$D$549:$AF$630, '[13]Div 9 forecast'!Q$548,FALSE)</f>
        <v>76318.858945503714</v>
      </c>
      <c r="P92" s="95">
        <f t="shared" si="8"/>
        <v>905449.44301402231</v>
      </c>
      <c r="Q92" s="477"/>
      <c r="R92" s="477"/>
      <c r="S92" s="477"/>
      <c r="T92" s="477"/>
      <c r="U92" s="477"/>
    </row>
    <row r="93" spans="1:21">
      <c r="A93" s="1036">
        <f t="shared" si="10"/>
        <v>82</v>
      </c>
      <c r="B93" s="669">
        <v>9030</v>
      </c>
      <c r="C93" s="183" t="s">
        <v>926</v>
      </c>
      <c r="D93" s="481">
        <f>'[12]DIV 009 IS Activity'!L92</f>
        <v>81339.360000000001</v>
      </c>
      <c r="E93" s="481">
        <f>'[12]DIV 009 IS Activity'!M92</f>
        <v>80263.5</v>
      </c>
      <c r="F93" s="481">
        <f>'[12]DIV 009 IS Activity'!N92</f>
        <v>77058.37999999999</v>
      </c>
      <c r="G93" s="481">
        <f>'[12]DIV 009 IS Activity'!O92</f>
        <v>81686.200000000012</v>
      </c>
      <c r="H93" s="481">
        <f>'[12]DIV 009 IS Activity'!P92</f>
        <v>80211.53</v>
      </c>
      <c r="I93" s="481">
        <f>'[12]DIV 009 IS Activity'!Q92</f>
        <v>120095.81</v>
      </c>
      <c r="J93" s="339">
        <f>VLOOKUP($B93,'[13]Div 9 forecast'!$D$549:$AF$630, '[13]Div 9 forecast'!L$548,FALSE)</f>
        <v>96410.992736261309</v>
      </c>
      <c r="K93" s="339">
        <f>VLOOKUP($B93,'[13]Div 9 forecast'!$D$549:$AF$630, '[13]Div 9 forecast'!M$548,FALSE)</f>
        <v>101948.7099766678</v>
      </c>
      <c r="L93" s="339">
        <f>VLOOKUP($B93,'[13]Div 9 forecast'!$D$549:$AF$630, '[13]Div 9 forecast'!N$548,FALSE)</f>
        <v>109946.17175729072</v>
      </c>
      <c r="M93" s="339">
        <f>VLOOKUP($B93,'[13]Div 9 forecast'!$D$549:$AF$630, '[13]Div 9 forecast'!O$548,FALSE)</f>
        <v>102650.22020713714</v>
      </c>
      <c r="N93" s="339">
        <f>VLOOKUP($B93,'[13]Div 9 forecast'!$D$549:$AF$630, '[13]Div 9 forecast'!P$548,FALSE)</f>
        <v>94724.949366239292</v>
      </c>
      <c r="O93" s="339">
        <f>VLOOKUP($B93,'[13]Div 9 forecast'!$D$549:$AF$630, '[13]Div 9 forecast'!Q$548,FALSE)</f>
        <v>76869.430936390709</v>
      </c>
      <c r="P93" s="95">
        <f t="shared" si="8"/>
        <v>1103205.2549799869</v>
      </c>
      <c r="Q93" s="477"/>
      <c r="R93" s="477"/>
      <c r="S93" s="477"/>
      <c r="T93" s="477"/>
      <c r="U93" s="477"/>
    </row>
    <row r="94" spans="1:21">
      <c r="A94" s="1036">
        <f t="shared" si="10"/>
        <v>83</v>
      </c>
      <c r="B94" s="669">
        <v>9040</v>
      </c>
      <c r="C94" s="183" t="s">
        <v>927</v>
      </c>
      <c r="D94" s="481">
        <f>'[12]DIV 009 IS Activity'!L93</f>
        <v>65873</v>
      </c>
      <c r="E94" s="481">
        <f>'[12]DIV 009 IS Activity'!M93</f>
        <v>83619</v>
      </c>
      <c r="F94" s="481">
        <f>'[12]DIV 009 IS Activity'!N93</f>
        <v>111162</v>
      </c>
      <c r="G94" s="481">
        <f>'[12]DIV 009 IS Activity'!O93</f>
        <v>113424</v>
      </c>
      <c r="H94" s="481">
        <f>'[12]DIV 009 IS Activity'!P93</f>
        <v>126691</v>
      </c>
      <c r="I94" s="481">
        <f>'[12]DIV 009 IS Activity'!Q93</f>
        <v>196530</v>
      </c>
      <c r="J94" s="339">
        <f>VLOOKUP($B94,'[13]Div 9 forecast'!$D$549:$AF$630, '[13]Div 9 forecast'!L$548,FALSE)</f>
        <v>34864.42</v>
      </c>
      <c r="K94" s="339">
        <f>VLOOKUP($B94,'[13]Div 9 forecast'!$D$549:$AF$630, '[13]Div 9 forecast'!M$548,FALSE)</f>
        <v>30603.5</v>
      </c>
      <c r="L94" s="339">
        <f>VLOOKUP($B94,'[13]Div 9 forecast'!$D$549:$AF$630, '[13]Div 9 forecast'!N$548,FALSE)</f>
        <v>29190.37</v>
      </c>
      <c r="M94" s="339">
        <f>VLOOKUP($B94,'[13]Div 9 forecast'!$D$549:$AF$630, '[13]Div 9 forecast'!O$548,FALSE)</f>
        <v>29221.34</v>
      </c>
      <c r="N94" s="339">
        <f>VLOOKUP($B94,'[13]Div 9 forecast'!$D$549:$AF$630, '[13]Div 9 forecast'!P$548,FALSE)</f>
        <v>29051.22</v>
      </c>
      <c r="O94" s="339">
        <f>VLOOKUP($B94,'[13]Div 9 forecast'!$D$549:$AF$630, '[13]Div 9 forecast'!Q$548,FALSE)</f>
        <v>29806.61</v>
      </c>
      <c r="P94" s="95">
        <f t="shared" si="8"/>
        <v>880036.46</v>
      </c>
      <c r="Q94" s="132"/>
      <c r="R94" s="132"/>
      <c r="S94" s="132"/>
    </row>
    <row r="95" spans="1:21">
      <c r="A95" s="1036">
        <f t="shared" si="10"/>
        <v>84</v>
      </c>
      <c r="B95" s="669">
        <v>9090</v>
      </c>
      <c r="C95" s="183" t="s">
        <v>928</v>
      </c>
      <c r="D95" s="481">
        <f>'[12]DIV 009 IS Activity'!L94</f>
        <v>12568.97</v>
      </c>
      <c r="E95" s="481">
        <f>'[12]DIV 009 IS Activity'!M94</f>
        <v>11826.5</v>
      </c>
      <c r="F95" s="481">
        <f>'[12]DIV 009 IS Activity'!N94</f>
        <v>10158.36</v>
      </c>
      <c r="G95" s="481">
        <f>'[12]DIV 009 IS Activity'!O94</f>
        <v>9275.01</v>
      </c>
      <c r="H95" s="481">
        <f>'[12]DIV 009 IS Activity'!P94</f>
        <v>10183.81</v>
      </c>
      <c r="I95" s="481">
        <f>'[12]DIV 009 IS Activity'!Q94</f>
        <v>29137.96</v>
      </c>
      <c r="J95" s="339">
        <f>VLOOKUP($B95,'[13]Div 9 forecast'!$D$549:$AF$630, '[13]Div 9 forecast'!L$548,FALSE)</f>
        <v>14403.865691489542</v>
      </c>
      <c r="K95" s="339">
        <f>VLOOKUP($B95,'[13]Div 9 forecast'!$D$549:$AF$630, '[13]Div 9 forecast'!M$548,FALSE)</f>
        <v>14434.449146268746</v>
      </c>
      <c r="L95" s="339">
        <f>VLOOKUP($B95,'[13]Div 9 forecast'!$D$549:$AF$630, '[13]Div 9 forecast'!N$548,FALSE)</f>
        <v>14942.425137315977</v>
      </c>
      <c r="M95" s="339">
        <f>VLOOKUP($B95,'[13]Div 9 forecast'!$D$549:$AF$630, '[13]Div 9 forecast'!O$548,FALSE)</f>
        <v>14628.066691352842</v>
      </c>
      <c r="N95" s="339">
        <f>VLOOKUP($B95,'[13]Div 9 forecast'!$D$549:$AF$630, '[13]Div 9 forecast'!P$548,FALSE)</f>
        <v>14320.235778434973</v>
      </c>
      <c r="O95" s="339">
        <f>VLOOKUP($B95,'[13]Div 9 forecast'!$D$549:$AF$630, '[13]Div 9 forecast'!Q$548,FALSE)</f>
        <v>14530.137656253828</v>
      </c>
      <c r="P95" s="95">
        <f t="shared" si="8"/>
        <v>170409.79010111588</v>
      </c>
      <c r="Q95" s="132"/>
      <c r="R95" s="132"/>
      <c r="S95" s="132"/>
    </row>
    <row r="96" spans="1:21" s="639" customFormat="1">
      <c r="A96" s="1036">
        <f t="shared" si="10"/>
        <v>85</v>
      </c>
      <c r="B96" s="669">
        <v>9100</v>
      </c>
      <c r="C96" s="183" t="s">
        <v>929</v>
      </c>
      <c r="D96" s="481">
        <f>'[12]DIV 009 IS Activity'!L95</f>
        <v>0</v>
      </c>
      <c r="E96" s="481">
        <f>'[12]DIV 009 IS Activity'!M95</f>
        <v>0</v>
      </c>
      <c r="F96" s="481">
        <f>'[12]DIV 009 IS Activity'!N95</f>
        <v>0</v>
      </c>
      <c r="G96" s="481">
        <f>'[12]DIV 009 IS Activity'!O95</f>
        <v>0</v>
      </c>
      <c r="H96" s="481">
        <f>'[12]DIV 009 IS Activity'!P95</f>
        <v>0</v>
      </c>
      <c r="I96" s="481">
        <f>'[12]DIV 009 IS Activity'!Q95</f>
        <v>65</v>
      </c>
      <c r="J96" s="339">
        <f>VLOOKUP($B96,'[13]Div 9 forecast'!$D$549:$AF$630, '[13]Div 9 forecast'!L$548,FALSE)</f>
        <v>7.6374878366939694</v>
      </c>
      <c r="K96" s="339">
        <f>VLOOKUP($B96,'[13]Div 9 forecast'!$D$549:$AF$630, '[13]Div 9 forecast'!M$548,FALSE)</f>
        <v>8.5145452150703491</v>
      </c>
      <c r="L96" s="339">
        <f>VLOOKUP($B96,'[13]Div 9 forecast'!$D$549:$AF$630, '[13]Div 9 forecast'!N$548,FALSE)</f>
        <v>9.5648484953482349</v>
      </c>
      <c r="M96" s="339">
        <f>VLOOKUP($B96,'[13]Div 9 forecast'!$D$549:$AF$630, '[13]Div 9 forecast'!O$548,FALSE)</f>
        <v>8.6697446688571151</v>
      </c>
      <c r="N96" s="339">
        <f>VLOOKUP($B96,'[13]Div 9 forecast'!$D$549:$AF$630, '[13]Div 9 forecast'!P$548,FALSE)</f>
        <v>7.6800774542447563</v>
      </c>
      <c r="O96" s="339">
        <f>VLOOKUP($B96,'[13]Div 9 forecast'!$D$549:$AF$630, '[13]Div 9 forecast'!Q$548,FALSE)</f>
        <v>9.1354585274853495</v>
      </c>
      <c r="P96" s="95">
        <f t="shared" si="8"/>
        <v>116.20216219769976</v>
      </c>
      <c r="Q96" s="132"/>
      <c r="R96" s="132"/>
      <c r="S96" s="132"/>
    </row>
    <row r="97" spans="1:19">
      <c r="A97" s="1036">
        <f t="shared" si="10"/>
        <v>86</v>
      </c>
      <c r="B97" s="669">
        <v>9110</v>
      </c>
      <c r="C97" s="183" t="s">
        <v>930</v>
      </c>
      <c r="D97" s="481">
        <f>'[12]DIV 009 IS Activity'!L96</f>
        <v>9930.08</v>
      </c>
      <c r="E97" s="481">
        <f>'[12]DIV 009 IS Activity'!M96</f>
        <v>11189.57</v>
      </c>
      <c r="F97" s="481">
        <f>'[12]DIV 009 IS Activity'!N96</f>
        <v>10027.079999999998</v>
      </c>
      <c r="G97" s="481">
        <f>'[12]DIV 009 IS Activity'!O96</f>
        <v>8589.0400000000009</v>
      </c>
      <c r="H97" s="481">
        <f>'[12]DIV 009 IS Activity'!P96</f>
        <v>8619.07</v>
      </c>
      <c r="I97" s="481">
        <f>'[12]DIV 009 IS Activity'!Q96</f>
        <v>10461.869999999999</v>
      </c>
      <c r="J97" s="339">
        <f>VLOOKUP($B97,'[13]Div 9 forecast'!$D$549:$AF$630, '[13]Div 9 forecast'!L$548,FALSE)</f>
        <v>26172.974644523059</v>
      </c>
      <c r="K97" s="339">
        <f>VLOOKUP($B97,'[13]Div 9 forecast'!$D$549:$AF$630, '[13]Div 9 forecast'!M$548,FALSE)</f>
        <v>25977.006856346139</v>
      </c>
      <c r="L97" s="339">
        <f>VLOOKUP($B97,'[13]Div 9 forecast'!$D$549:$AF$630, '[13]Div 9 forecast'!N$548,FALSE)</f>
        <v>24382.751913819251</v>
      </c>
      <c r="M97" s="339">
        <f>VLOOKUP($B97,'[13]Div 9 forecast'!$D$549:$AF$630, '[13]Div 9 forecast'!O$548,FALSE)</f>
        <v>23786.753756385973</v>
      </c>
      <c r="N97" s="339">
        <f>VLOOKUP($B97,'[13]Div 9 forecast'!$D$549:$AF$630, '[13]Div 9 forecast'!P$548,FALSE)</f>
        <v>27040.13767067618</v>
      </c>
      <c r="O97" s="339">
        <f>VLOOKUP($B97,'[13]Div 9 forecast'!$D$549:$AF$630, '[13]Div 9 forecast'!Q$548,FALSE)</f>
        <v>30859.696030113679</v>
      </c>
      <c r="P97" s="95">
        <f t="shared" si="8"/>
        <v>217036.03087186429</v>
      </c>
      <c r="Q97" s="132"/>
      <c r="R97" s="136"/>
      <c r="S97" s="132"/>
    </row>
    <row r="98" spans="1:19">
      <c r="A98" s="1036">
        <f t="shared" si="10"/>
        <v>87</v>
      </c>
      <c r="B98" s="669">
        <v>9120</v>
      </c>
      <c r="C98" s="183" t="s">
        <v>931</v>
      </c>
      <c r="D98" s="481">
        <f>'[12]DIV 009 IS Activity'!L97</f>
        <v>2996.88</v>
      </c>
      <c r="E98" s="481">
        <f>'[12]DIV 009 IS Activity'!M97</f>
        <v>3627.7</v>
      </c>
      <c r="F98" s="481">
        <f>'[12]DIV 009 IS Activity'!N97</f>
        <v>3216</v>
      </c>
      <c r="G98" s="481">
        <f>'[12]DIV 009 IS Activity'!O97</f>
        <v>13801.66</v>
      </c>
      <c r="H98" s="481">
        <f>'[12]DIV 009 IS Activity'!P97</f>
        <v>8096.1200000000008</v>
      </c>
      <c r="I98" s="481">
        <f>'[12]DIV 009 IS Activity'!Q97</f>
        <v>1756.94</v>
      </c>
      <c r="J98" s="339">
        <f>VLOOKUP($B98,'[13]Div 9 forecast'!$D$549:$AF$630, '[13]Div 9 forecast'!L$548,FALSE)</f>
        <v>3458.5518110491594</v>
      </c>
      <c r="K98" s="339">
        <f>VLOOKUP($B98,'[13]Div 9 forecast'!$D$549:$AF$630, '[13]Div 9 forecast'!M$548,FALSE)</f>
        <v>5102.7482203514292</v>
      </c>
      <c r="L98" s="339">
        <f>VLOOKUP($B98,'[13]Div 9 forecast'!$D$549:$AF$630, '[13]Div 9 forecast'!N$548,FALSE)</f>
        <v>5204.8078731311098</v>
      </c>
      <c r="M98" s="339">
        <f>VLOOKUP($B98,'[13]Div 9 forecast'!$D$549:$AF$630, '[13]Div 9 forecast'!O$548,FALSE)</f>
        <v>3955.5992295734218</v>
      </c>
      <c r="N98" s="339">
        <f>VLOOKUP($B98,'[13]Div 9 forecast'!$D$549:$AF$630, '[13]Div 9 forecast'!P$548,FALSE)</f>
        <v>3387.7251327353074</v>
      </c>
      <c r="O98" s="339">
        <f>VLOOKUP($B98,'[13]Div 9 forecast'!$D$549:$AF$630, '[13]Div 9 forecast'!Q$548,FALSE)</f>
        <v>4350.2422630157207</v>
      </c>
      <c r="P98" s="95">
        <f t="shared" si="8"/>
        <v>58954.974529856161</v>
      </c>
      <c r="Q98" s="132"/>
      <c r="R98" s="136"/>
      <c r="S98" s="132"/>
    </row>
    <row r="99" spans="1:19">
      <c r="A99" s="1036">
        <f t="shared" si="10"/>
        <v>88</v>
      </c>
      <c r="B99" s="669">
        <v>9130</v>
      </c>
      <c r="C99" s="183" t="s">
        <v>932</v>
      </c>
      <c r="D99" s="481">
        <f>'[12]DIV 009 IS Activity'!L98</f>
        <v>1450.65</v>
      </c>
      <c r="E99" s="481">
        <f>'[12]DIV 009 IS Activity'!M98</f>
        <v>1174.49</v>
      </c>
      <c r="F99" s="481">
        <f>'[12]DIV 009 IS Activity'!N98</f>
        <v>5364.41</v>
      </c>
      <c r="G99" s="481">
        <f>'[12]DIV 009 IS Activity'!O98</f>
        <v>1846.5</v>
      </c>
      <c r="H99" s="481">
        <f>'[12]DIV 009 IS Activity'!P98</f>
        <v>15080.77</v>
      </c>
      <c r="I99" s="481">
        <f>'[12]DIV 009 IS Activity'!Q98</f>
        <v>1667</v>
      </c>
      <c r="J99" s="339">
        <f>VLOOKUP($B99,'[13]Div 9 forecast'!$D$549:$AF$630, '[13]Div 9 forecast'!L$548,FALSE)</f>
        <v>3123.5938754286449</v>
      </c>
      <c r="K99" s="339">
        <f>VLOOKUP($B99,'[13]Div 9 forecast'!$D$549:$AF$630, '[13]Div 9 forecast'!M$548,FALSE)</f>
        <v>3482.2944212198681</v>
      </c>
      <c r="L99" s="339">
        <f>VLOOKUP($B99,'[13]Div 9 forecast'!$D$549:$AF$630, '[13]Div 9 forecast'!N$548,FALSE)</f>
        <v>3911.8493958093591</v>
      </c>
      <c r="M99" s="339">
        <f>VLOOKUP($B99,'[13]Div 9 forecast'!$D$549:$AF$630, '[13]Div 9 forecast'!O$548,FALSE)</f>
        <v>3545.7681803516489</v>
      </c>
      <c r="N99" s="339">
        <f>VLOOKUP($B99,'[13]Div 9 forecast'!$D$549:$AF$630, '[13]Div 9 forecast'!P$548,FALSE)</f>
        <v>3141.0122558415519</v>
      </c>
      <c r="O99" s="339">
        <f>VLOOKUP($B99,'[13]Div 9 forecast'!$D$549:$AF$630, '[13]Div 9 forecast'!Q$548,FALSE)</f>
        <v>3736.2366940328557</v>
      </c>
      <c r="P99" s="95">
        <f t="shared" si="8"/>
        <v>47524.574822683928</v>
      </c>
      <c r="Q99" s="132"/>
      <c r="R99" s="132"/>
      <c r="S99" s="132"/>
    </row>
    <row r="100" spans="1:19">
      <c r="A100" s="1036">
        <f t="shared" si="10"/>
        <v>89</v>
      </c>
      <c r="B100" s="669">
        <v>9200</v>
      </c>
      <c r="C100" s="95" t="s">
        <v>181</v>
      </c>
      <c r="D100" s="481">
        <f>'[12]DIV 009 IS Activity'!L99</f>
        <v>18133.16</v>
      </c>
      <c r="E100" s="481">
        <f>'[12]DIV 009 IS Activity'!M99</f>
        <v>11768.68</v>
      </c>
      <c r="F100" s="481">
        <f>'[12]DIV 009 IS Activity'!N99</f>
        <v>14262.060000000001</v>
      </c>
      <c r="G100" s="481">
        <f>'[12]DIV 009 IS Activity'!O99</f>
        <v>13021.87</v>
      </c>
      <c r="H100" s="481">
        <f>'[12]DIV 009 IS Activity'!P99</f>
        <v>12401.79</v>
      </c>
      <c r="I100" s="481">
        <f>'[12]DIV 009 IS Activity'!Q99</f>
        <v>14262.07</v>
      </c>
      <c r="J100" s="339">
        <f>VLOOKUP($B100,'[13]Div 9 forecast'!$D$549:$AF$630, '[13]Div 9 forecast'!L$548,FALSE)</f>
        <v>16470.364339415813</v>
      </c>
      <c r="K100" s="339">
        <f>VLOOKUP($B100,'[13]Div 9 forecast'!$D$549:$AF$630, '[13]Div 9 forecast'!M$548,FALSE)</f>
        <v>16097.283423755478</v>
      </c>
      <c r="L100" s="339">
        <f>VLOOKUP($B100,'[13]Div 9 forecast'!$D$549:$AF$630, '[13]Div 9 forecast'!N$548,FALSE)</f>
        <v>16142.360195508112</v>
      </c>
      <c r="M100" s="339">
        <f>VLOOKUP($B100,'[13]Div 9 forecast'!$D$549:$AF$630, '[13]Div 9 forecast'!O$548,FALSE)</f>
        <v>15958.672980860687</v>
      </c>
      <c r="N100" s="339">
        <f>VLOOKUP($B100,'[13]Div 9 forecast'!$D$549:$AF$630, '[13]Div 9 forecast'!P$548,FALSE)</f>
        <v>16294.303252038251</v>
      </c>
      <c r="O100" s="339">
        <f>VLOOKUP($B100,'[13]Div 9 forecast'!$D$549:$AF$630, '[13]Div 9 forecast'!Q$548,FALSE)</f>
        <v>15461.288341936508</v>
      </c>
      <c r="P100" s="95">
        <f t="shared" ref="P100" si="11">SUM(D100:O100)</f>
        <v>180273.90253351486</v>
      </c>
      <c r="Q100" s="132"/>
      <c r="R100" s="136"/>
      <c r="S100" s="132"/>
    </row>
    <row r="101" spans="1:19">
      <c r="A101" s="1036">
        <f t="shared" si="10"/>
        <v>90</v>
      </c>
      <c r="B101" s="669">
        <v>9210</v>
      </c>
      <c r="C101" s="183" t="s">
        <v>933</v>
      </c>
      <c r="D101" s="481">
        <f>'[12]DIV 009 IS Activity'!L100</f>
        <v>421.74999999999994</v>
      </c>
      <c r="E101" s="481">
        <f>'[12]DIV 009 IS Activity'!M100</f>
        <v>345</v>
      </c>
      <c r="F101" s="481">
        <f>'[12]DIV 009 IS Activity'!N100</f>
        <v>437.7</v>
      </c>
      <c r="G101" s="481">
        <f>'[12]DIV 009 IS Activity'!O100</f>
        <v>2702.1800000000003</v>
      </c>
      <c r="H101" s="481">
        <f>'[12]DIV 009 IS Activity'!P100</f>
        <v>1359.6299999999999</v>
      </c>
      <c r="I101" s="481">
        <f>'[12]DIV 009 IS Activity'!Q100</f>
        <v>475.70000000000005</v>
      </c>
      <c r="J101" s="339">
        <f>VLOOKUP($B101,'[13]Div 9 forecast'!$D$549:$AF$630, '[13]Div 9 forecast'!L$548,FALSE)</f>
        <v>553.17704885727164</v>
      </c>
      <c r="K101" s="339">
        <f>VLOOKUP($B101,'[13]Div 9 forecast'!$D$549:$AF$630, '[13]Div 9 forecast'!M$548,FALSE)</f>
        <v>546.68886997812899</v>
      </c>
      <c r="L101" s="339">
        <f>VLOOKUP($B101,'[13]Div 9 forecast'!$D$549:$AF$630, '[13]Div 9 forecast'!N$548,FALSE)</f>
        <v>524.953862569286</v>
      </c>
      <c r="M101" s="339">
        <f>VLOOKUP($B101,'[13]Div 9 forecast'!$D$549:$AF$630, '[13]Div 9 forecast'!O$548,FALSE)</f>
        <v>614.07167490114693</v>
      </c>
      <c r="N101" s="339">
        <f>VLOOKUP($B101,'[13]Div 9 forecast'!$D$549:$AF$630, '[13]Div 9 forecast'!P$548,FALSE)</f>
        <v>365.05482034625277</v>
      </c>
      <c r="O101" s="339">
        <f>VLOOKUP($B101,'[13]Div 9 forecast'!$D$549:$AF$630, '[13]Div 9 forecast'!Q$548,FALSE)</f>
        <v>127.5635894923505</v>
      </c>
      <c r="P101" s="95">
        <f t="shared" si="8"/>
        <v>8473.4698661444381</v>
      </c>
      <c r="Q101" s="132"/>
      <c r="R101" s="136"/>
      <c r="S101" s="132"/>
    </row>
    <row r="102" spans="1:19">
      <c r="A102" s="1036">
        <f t="shared" si="10"/>
        <v>91</v>
      </c>
      <c r="B102" s="669">
        <v>9220</v>
      </c>
      <c r="C102" s="183" t="s">
        <v>934</v>
      </c>
      <c r="D102" s="481">
        <f>'[12]DIV 009 IS Activity'!L101</f>
        <v>1082814.4000000001</v>
      </c>
      <c r="E102" s="481">
        <f>'[12]DIV 009 IS Activity'!M101</f>
        <v>809555.07</v>
      </c>
      <c r="F102" s="481">
        <f>'[12]DIV 009 IS Activity'!N101</f>
        <v>1033750.9199999999</v>
      </c>
      <c r="G102" s="481">
        <f>'[12]DIV 009 IS Activity'!O101</f>
        <v>1079131.6000000001</v>
      </c>
      <c r="H102" s="481">
        <f>'[12]DIV 009 IS Activity'!P101</f>
        <v>957419.21</v>
      </c>
      <c r="I102" s="481">
        <f>'[12]DIV 009 IS Activity'!Q101</f>
        <v>1240212.52</v>
      </c>
      <c r="J102" s="339">
        <f>-('C.2.2 B 02'!J46+'C.2.2 B 12'!J34+'C.2.2 B 91'!J65)</f>
        <v>1215435.6866229963</v>
      </c>
      <c r="K102" s="339">
        <f>-('C.2.2 B 02'!K46+'C.2.2 B 12'!K34+'C.2.2 B 91'!K65)</f>
        <v>1351086.9870691821</v>
      </c>
      <c r="L102" s="339">
        <f>-('C.2.2 B 02'!L46+'C.2.2 B 12'!L34+'C.2.2 B 91'!L65)</f>
        <v>1188084.6665711834</v>
      </c>
      <c r="M102" s="339">
        <f>-('C.2.2 B 02'!M46+'C.2.2 B 12'!M34+'C.2.2 B 91'!M65)</f>
        <v>1298161.9781283436</v>
      </c>
      <c r="N102" s="339">
        <f>-('C.2.2 B 02'!N46+'C.2.2 B 12'!N34+'C.2.2 B 91'!N65)</f>
        <v>1143476.1993351639</v>
      </c>
      <c r="O102" s="339">
        <f>-('C.2.2 B 02'!O46+'C.2.2 B 12'!O34+'C.2.2 B 91'!O65)</f>
        <v>2779061.2788554388</v>
      </c>
      <c r="P102" s="95">
        <f>SUM(D102:O102)</f>
        <v>15178190.516582308</v>
      </c>
      <c r="Q102" s="477"/>
      <c r="R102" s="652"/>
      <c r="S102" s="183"/>
    </row>
    <row r="103" spans="1:19">
      <c r="A103" s="1036">
        <f t="shared" si="10"/>
        <v>92</v>
      </c>
      <c r="B103" s="669">
        <v>9230</v>
      </c>
      <c r="C103" s="183" t="s">
        <v>935</v>
      </c>
      <c r="D103" s="481">
        <f>'[12]DIV 009 IS Activity'!L102</f>
        <v>7439</v>
      </c>
      <c r="E103" s="481">
        <f>'[12]DIV 009 IS Activity'!M102</f>
        <v>6315</v>
      </c>
      <c r="F103" s="481">
        <f>'[12]DIV 009 IS Activity'!N102</f>
        <v>8992.5</v>
      </c>
      <c r="G103" s="481">
        <f>'[12]DIV 009 IS Activity'!O102</f>
        <v>6567</v>
      </c>
      <c r="H103" s="481">
        <f>'[12]DIV 009 IS Activity'!P102</f>
        <v>9441.9699999999993</v>
      </c>
      <c r="I103" s="481">
        <f>'[12]DIV 009 IS Activity'!Q102</f>
        <v>88516</v>
      </c>
      <c r="J103" s="339">
        <f>VLOOKUP($B103,'[13]Div 9 forecast'!$D$549:$AF$630, '[13]Div 9 forecast'!L$548,FALSE)</f>
        <v>21539.135553652792</v>
      </c>
      <c r="K103" s="339">
        <f>VLOOKUP($B103,'[13]Div 9 forecast'!$D$549:$AF$630, '[13]Div 9 forecast'!M$548,FALSE)</f>
        <v>23186.539917270689</v>
      </c>
      <c r="L103" s="339">
        <f>VLOOKUP($B103,'[13]Div 9 forecast'!$D$549:$AF$630, '[13]Div 9 forecast'!N$548,FALSE)</f>
        <v>25610.667250807288</v>
      </c>
      <c r="M103" s="339">
        <f>VLOOKUP($B103,'[13]Div 9 forecast'!$D$549:$AF$630, '[13]Div 9 forecast'!O$548,FALSE)</f>
        <v>23625.012561579635</v>
      </c>
      <c r="N103" s="339">
        <f>VLOOKUP($B103,'[13]Div 9 forecast'!$D$549:$AF$630, '[13]Div 9 forecast'!P$548,FALSE)</f>
        <v>20962.857221132461</v>
      </c>
      <c r="O103" s="339">
        <f>VLOOKUP($B103,'[13]Div 9 forecast'!$D$549:$AF$630, '[13]Div 9 forecast'!Q$548,FALSE)</f>
        <v>15106.135516612419</v>
      </c>
      <c r="P103" s="95">
        <f t="shared" si="8"/>
        <v>257301.81802105528</v>
      </c>
      <c r="Q103" s="132"/>
      <c r="R103" s="136"/>
      <c r="S103" s="132"/>
    </row>
    <row r="104" spans="1:19">
      <c r="A104" s="1036">
        <f t="shared" si="10"/>
        <v>93</v>
      </c>
      <c r="B104" s="669">
        <v>9240</v>
      </c>
      <c r="C104" s="183" t="s">
        <v>936</v>
      </c>
      <c r="D104" s="481">
        <f>'[12]DIV 009 IS Activity'!L103</f>
        <v>12388.360000000004</v>
      </c>
      <c r="E104" s="481">
        <f>'[12]DIV 009 IS Activity'!M103</f>
        <v>11822.090000000004</v>
      </c>
      <c r="F104" s="481">
        <f>'[12]DIV 009 IS Activity'!N103</f>
        <v>12394.300000000003</v>
      </c>
      <c r="G104" s="481">
        <f>'[12]DIV 009 IS Activity'!O103</f>
        <v>9729.1600000000035</v>
      </c>
      <c r="H104" s="481">
        <f>'[12]DIV 009 IS Activity'!P103</f>
        <v>12497.200000000004</v>
      </c>
      <c r="I104" s="481">
        <f>'[12]DIV 009 IS Activity'!Q103</f>
        <v>12824.989999999998</v>
      </c>
      <c r="J104" s="339">
        <f>VLOOKUP($B104,'[13]Div 9 forecast'!$D$549:$AF$630, '[13]Div 9 forecast'!L$548,FALSE)</f>
        <v>343.99892592498952</v>
      </c>
      <c r="K104" s="339">
        <f>VLOOKUP($B104,'[13]Div 9 forecast'!$D$549:$AF$630, '[13]Div 9 forecast'!M$548,FALSE)</f>
        <v>0</v>
      </c>
      <c r="L104" s="339">
        <f>VLOOKUP($B104,'[13]Div 9 forecast'!$D$549:$AF$630, '[13]Div 9 forecast'!N$548,FALSE)</f>
        <v>0</v>
      </c>
      <c r="M104" s="339">
        <f>VLOOKUP($B104,'[13]Div 9 forecast'!$D$549:$AF$630, '[13]Div 9 forecast'!O$548,FALSE)</f>
        <v>573.33154320831591</v>
      </c>
      <c r="N104" s="339">
        <f>VLOOKUP($B104,'[13]Div 9 forecast'!$D$549:$AF$630, '[13]Div 9 forecast'!P$548,FALSE)</f>
        <v>0</v>
      </c>
      <c r="O104" s="339">
        <f>VLOOKUP($B104,'[13]Div 9 forecast'!$D$549:$AF$630, '[13]Div 9 forecast'!Q$548,FALSE)</f>
        <v>0</v>
      </c>
      <c r="P104" s="95">
        <f t="shared" si="8"/>
        <v>72573.430469133324</v>
      </c>
      <c r="Q104" s="132"/>
      <c r="R104" s="136"/>
      <c r="S104" s="132"/>
    </row>
    <row r="105" spans="1:19">
      <c r="A105" s="1036">
        <f t="shared" si="10"/>
        <v>94</v>
      </c>
      <c r="B105" s="669">
        <v>9250</v>
      </c>
      <c r="C105" s="183" t="s">
        <v>937</v>
      </c>
      <c r="D105" s="481">
        <f>'[12]DIV 009 IS Activity'!L104</f>
        <v>2619.3200000000002</v>
      </c>
      <c r="E105" s="481">
        <f>'[12]DIV 009 IS Activity'!M104</f>
        <v>4798.04</v>
      </c>
      <c r="F105" s="481">
        <f>'[12]DIV 009 IS Activity'!N104</f>
        <v>2613.61</v>
      </c>
      <c r="G105" s="481">
        <f>'[12]DIV 009 IS Activity'!O104</f>
        <v>8073.82</v>
      </c>
      <c r="H105" s="481">
        <f>'[12]DIV 009 IS Activity'!P104</f>
        <v>7894.6</v>
      </c>
      <c r="I105" s="481">
        <f>'[12]DIV 009 IS Activity'!Q104</f>
        <v>15566.539999999999</v>
      </c>
      <c r="J105" s="339">
        <f>VLOOKUP($B105,'[13]Div 9 forecast'!$D$549:$AF$630, '[13]Div 9 forecast'!L$548,FALSE)</f>
        <v>4093.6557435737195</v>
      </c>
      <c r="K105" s="339">
        <f>VLOOKUP($B105,'[13]Div 9 forecast'!$D$549:$AF$630, '[13]Div 9 forecast'!M$548,FALSE)</f>
        <v>4315.5896013951615</v>
      </c>
      <c r="L105" s="339">
        <f>VLOOKUP($B105,'[13]Div 9 forecast'!$D$549:$AF$630, '[13]Div 9 forecast'!N$548,FALSE)</f>
        <v>4762.1204043717316</v>
      </c>
      <c r="M105" s="339">
        <f>VLOOKUP($B105,'[13]Div 9 forecast'!$D$549:$AF$630, '[13]Div 9 forecast'!O$548,FALSE)</f>
        <v>4535.7948540068737</v>
      </c>
      <c r="N105" s="339">
        <f>VLOOKUP($B105,'[13]Div 9 forecast'!$D$549:$AF$630, '[13]Div 9 forecast'!P$548,FALSE)</f>
        <v>3904.8303007151735</v>
      </c>
      <c r="O105" s="339">
        <f>VLOOKUP($B105,'[13]Div 9 forecast'!$D$549:$AF$630, '[13]Div 9 forecast'!Q$548,FALSE)</f>
        <v>2816.123316729997</v>
      </c>
      <c r="P105" s="95">
        <f t="shared" si="8"/>
        <v>65994.044220792654</v>
      </c>
      <c r="Q105" s="132"/>
      <c r="R105" s="136"/>
      <c r="S105" s="132"/>
    </row>
    <row r="106" spans="1:19">
      <c r="A106" s="1036">
        <f t="shared" si="10"/>
        <v>95</v>
      </c>
      <c r="B106" s="669">
        <v>9260</v>
      </c>
      <c r="C106" s="183" t="s">
        <v>938</v>
      </c>
      <c r="D106" s="481">
        <f>'[12]DIV 009 IS Activity'!L105</f>
        <v>132988.85999999999</v>
      </c>
      <c r="E106" s="481">
        <f>'[12]DIV 009 IS Activity'!M105</f>
        <v>135263.23000000007</v>
      </c>
      <c r="F106" s="481">
        <f>'[12]DIV 009 IS Activity'!N105</f>
        <v>145655.39000000001</v>
      </c>
      <c r="G106" s="481">
        <f>'[12]DIV 009 IS Activity'!O105</f>
        <v>124403.68000000002</v>
      </c>
      <c r="H106" s="481">
        <f>'[12]DIV 009 IS Activity'!P105</f>
        <v>127287.87999999999</v>
      </c>
      <c r="I106" s="481">
        <f>'[12]DIV 009 IS Activity'!Q105</f>
        <v>135284.45000000004</v>
      </c>
      <c r="J106" s="339">
        <f>VLOOKUP($B106,'[13]Div 9 forecast'!$D$549:$AF$630, '[13]Div 9 forecast'!L$548,FALSE)</f>
        <v>187964.04093288735</v>
      </c>
      <c r="K106" s="339">
        <f>VLOOKUP($B106,'[13]Div 9 forecast'!$D$549:$AF$630, '[13]Div 9 forecast'!M$548,FALSE)</f>
        <v>184396.20565130378</v>
      </c>
      <c r="L106" s="339">
        <f>VLOOKUP($B106,'[13]Div 9 forecast'!$D$549:$AF$630, '[13]Div 9 forecast'!N$548,FALSE)</f>
        <v>183756.96942879655</v>
      </c>
      <c r="M106" s="339">
        <f>VLOOKUP($B106,'[13]Div 9 forecast'!$D$549:$AF$630, '[13]Div 9 forecast'!O$548,FALSE)</f>
        <v>181403.99101277348</v>
      </c>
      <c r="N106" s="339">
        <f>VLOOKUP($B106,'[13]Div 9 forecast'!$D$549:$AF$630, '[13]Div 9 forecast'!P$548,FALSE)</f>
        <v>187122.07791022767</v>
      </c>
      <c r="O106" s="339">
        <f>VLOOKUP($B106,'[13]Div 9 forecast'!$D$549:$AF$630, '[13]Div 9 forecast'!Q$548,FALSE)</f>
        <v>178892.08083776131</v>
      </c>
      <c r="P106" s="95">
        <f>SUM(D106:O106)</f>
        <v>1904418.8557737505</v>
      </c>
      <c r="Q106" s="132"/>
      <c r="R106" s="136"/>
      <c r="S106" s="132"/>
    </row>
    <row r="107" spans="1:19">
      <c r="A107" s="1036">
        <f t="shared" si="10"/>
        <v>96</v>
      </c>
      <c r="B107" s="669">
        <v>9270</v>
      </c>
      <c r="C107" s="183" t="s">
        <v>939</v>
      </c>
      <c r="D107" s="481">
        <f>'[12]DIV 009 IS Activity'!L106</f>
        <v>291.5</v>
      </c>
      <c r="E107" s="481">
        <f>'[12]DIV 009 IS Activity'!M106</f>
        <v>0</v>
      </c>
      <c r="F107" s="481">
        <f>'[12]DIV 009 IS Activity'!N106</f>
        <v>0</v>
      </c>
      <c r="G107" s="481">
        <f>'[12]DIV 009 IS Activity'!O106</f>
        <v>0</v>
      </c>
      <c r="H107" s="481">
        <f>'[12]DIV 009 IS Activity'!P106</f>
        <v>0</v>
      </c>
      <c r="I107" s="481">
        <f>'[12]DIV 009 IS Activity'!Q106</f>
        <v>0</v>
      </c>
      <c r="J107" s="339">
        <f>VLOOKUP($B107,'[13]Div 9 forecast'!$D$549:$AF$630, '[13]Div 9 forecast'!L$548,FALSE)</f>
        <v>57.901821074445429</v>
      </c>
      <c r="K107" s="339">
        <f>VLOOKUP($B107,'[13]Div 9 forecast'!$D$549:$AF$630, '[13]Div 9 forecast'!M$548,FALSE)</f>
        <v>55.110325522324104</v>
      </c>
      <c r="L107" s="339">
        <f>VLOOKUP($B107,'[13]Div 9 forecast'!$D$549:$AF$630, '[13]Div 9 forecast'!N$548,FALSE)</f>
        <v>66.896640075725244</v>
      </c>
      <c r="M107" s="339">
        <f>VLOOKUP($B107,'[13]Div 9 forecast'!$D$549:$AF$630, '[13]Div 9 forecast'!O$548,FALSE)</f>
        <v>85.010344547268062</v>
      </c>
      <c r="N107" s="339">
        <f>VLOOKUP($B107,'[13]Div 9 forecast'!$D$549:$AF$630, '[13]Div 9 forecast'!P$548,FALSE)</f>
        <v>54.489993177408252</v>
      </c>
      <c r="O107" s="339">
        <f>VLOOKUP($B107,'[13]Div 9 forecast'!$D$549:$AF$630, '[13]Div 9 forecast'!Q$548,FALSE)</f>
        <v>480.23648814005435</v>
      </c>
      <c r="P107" s="95">
        <f t="shared" si="8"/>
        <v>1091.1456125372256</v>
      </c>
      <c r="Q107" s="132"/>
      <c r="R107" s="136"/>
      <c r="S107" s="132"/>
    </row>
    <row r="108" spans="1:19">
      <c r="A108" s="1036">
        <f t="shared" si="10"/>
        <v>97</v>
      </c>
      <c r="B108" s="669">
        <v>9280</v>
      </c>
      <c r="C108" s="183" t="s">
        <v>940</v>
      </c>
      <c r="D108" s="481">
        <f>'[12]DIV 009 IS Activity'!L107</f>
        <v>5273.92</v>
      </c>
      <c r="E108" s="481">
        <f>'[12]DIV 009 IS Activity'!M107</f>
        <v>6367.87</v>
      </c>
      <c r="F108" s="481">
        <f>'[12]DIV 009 IS Activity'!N107</f>
        <v>9450.82</v>
      </c>
      <c r="G108" s="481">
        <f>'[12]DIV 009 IS Activity'!O107</f>
        <v>8257.42</v>
      </c>
      <c r="H108" s="481">
        <f>'[12]DIV 009 IS Activity'!P107</f>
        <v>10743.67</v>
      </c>
      <c r="I108" s="481">
        <f>'[12]DIV 009 IS Activity'!Q107</f>
        <v>11474.25</v>
      </c>
      <c r="J108" s="339">
        <f>VLOOKUP($B108,'[13]Div 9 forecast'!$D$549:$AF$630, '[13]Div 9 forecast'!L$548,FALSE)</f>
        <v>9657.4454873552022</v>
      </c>
      <c r="K108" s="339">
        <f>VLOOKUP($B108,'[13]Div 9 forecast'!$D$549:$AF$630, '[13]Div 9 forecast'!M$548,FALSE)</f>
        <v>9612.3194078757642</v>
      </c>
      <c r="L108" s="339">
        <f>VLOOKUP($B108,'[13]Div 9 forecast'!$D$549:$AF$630, '[13]Div 9 forecast'!N$548,FALSE)</f>
        <v>11271.270854412345</v>
      </c>
      <c r="M108" s="339">
        <f>VLOOKUP($B108,'[13]Div 9 forecast'!$D$549:$AF$630, '[13]Div 9 forecast'!O$548,FALSE)</f>
        <v>12926.732220531212</v>
      </c>
      <c r="N108" s="339">
        <f>VLOOKUP($B108,'[13]Div 9 forecast'!$D$549:$AF$630, '[13]Div 9 forecast'!P$548,FALSE)</f>
        <v>9196.8608409912886</v>
      </c>
      <c r="O108" s="339">
        <f>VLOOKUP($B108,'[13]Div 9 forecast'!$D$549:$AF$630, '[13]Div 9 forecast'!Q$548,FALSE)</f>
        <v>54496.514683375353</v>
      </c>
      <c r="P108" s="95">
        <f t="shared" si="8"/>
        <v>158729.09349454116</v>
      </c>
      <c r="Q108" s="132"/>
      <c r="R108" s="136"/>
      <c r="S108" s="132"/>
    </row>
    <row r="109" spans="1:19">
      <c r="A109" s="1036">
        <f t="shared" si="10"/>
        <v>98</v>
      </c>
      <c r="B109" s="669">
        <v>9302</v>
      </c>
      <c r="C109" s="183" t="s">
        <v>849</v>
      </c>
      <c r="D109" s="481">
        <f>'[12]DIV 009 IS Activity'!L108</f>
        <v>19279.97</v>
      </c>
      <c r="E109" s="481">
        <f>'[12]DIV 009 IS Activity'!M108</f>
        <v>5007.47</v>
      </c>
      <c r="F109" s="481">
        <f>'[12]DIV 009 IS Activity'!N108</f>
        <v>5908.47</v>
      </c>
      <c r="G109" s="481">
        <f>'[12]DIV 009 IS Activity'!O108</f>
        <v>12526.02</v>
      </c>
      <c r="H109" s="481">
        <f>'[12]DIV 009 IS Activity'!P108</f>
        <v>7246.62</v>
      </c>
      <c r="I109" s="481">
        <f>'[12]DIV 009 IS Activity'!Q108</f>
        <v>11246.619999999999</v>
      </c>
      <c r="J109" s="339">
        <f>VLOOKUP($B109,'[13]Div 9 forecast'!$D$549:$AF$630, '[13]Div 9 forecast'!L$548,FALSE)</f>
        <v>1498.4950235676317</v>
      </c>
      <c r="K109" s="339">
        <f>VLOOKUP($B109,'[13]Div 9 forecast'!$D$549:$AF$630, '[13]Div 9 forecast'!M$548,FALSE)</f>
        <v>16294.86956373161</v>
      </c>
      <c r="L109" s="339">
        <f>VLOOKUP($B109,'[13]Div 9 forecast'!$D$549:$AF$630, '[13]Div 9 forecast'!N$548,FALSE)</f>
        <v>12115.206254272283</v>
      </c>
      <c r="M109" s="339">
        <f>VLOOKUP($B109,'[13]Div 9 forecast'!$D$549:$AF$630, '[13]Div 9 forecast'!O$548,FALSE)</f>
        <v>1952.0695506477005</v>
      </c>
      <c r="N109" s="339">
        <f>VLOOKUP($B109,'[13]Div 9 forecast'!$D$549:$AF$630, '[13]Div 9 forecast'!P$548,FALSE)</f>
        <v>471.83068938081772</v>
      </c>
      <c r="O109" s="339">
        <f>VLOOKUP($B109,'[13]Div 9 forecast'!$D$549:$AF$630, '[13]Div 9 forecast'!Q$548,FALSE)</f>
        <v>2261.7843762973466</v>
      </c>
      <c r="P109" s="95">
        <f t="shared" ref="P109:P111" si="12">SUM(D109:O109)</f>
        <v>95809.425457897407</v>
      </c>
      <c r="Q109" s="132"/>
      <c r="R109" s="136"/>
      <c r="S109" s="132"/>
    </row>
    <row r="110" spans="1:19">
      <c r="A110" s="1036">
        <f t="shared" si="10"/>
        <v>99</v>
      </c>
      <c r="B110" s="669">
        <v>9310</v>
      </c>
      <c r="C110" s="95" t="s">
        <v>183</v>
      </c>
      <c r="D110" s="481">
        <f>'[12]DIV 009 IS Activity'!L109</f>
        <v>0</v>
      </c>
      <c r="E110" s="481">
        <f>'[12]DIV 009 IS Activity'!M109</f>
        <v>0</v>
      </c>
      <c r="F110" s="481">
        <f>'[12]DIV 009 IS Activity'!N109</f>
        <v>0</v>
      </c>
      <c r="G110" s="481">
        <f>'[12]DIV 009 IS Activity'!O109</f>
        <v>1020</v>
      </c>
      <c r="H110" s="481">
        <f>'[12]DIV 009 IS Activity'!P109</f>
        <v>0</v>
      </c>
      <c r="I110" s="481">
        <f>'[12]DIV 009 IS Activity'!Q109</f>
        <v>0</v>
      </c>
      <c r="J110" s="339">
        <f>VLOOKUP($B110,'[13]Div 9 forecast'!$D$549:$AF$630, '[13]Div 9 forecast'!L$548,FALSE)</f>
        <v>22.01867417773736</v>
      </c>
      <c r="K110" s="339">
        <f>VLOOKUP($B110,'[13]Div 9 forecast'!$D$549:$AF$630, '[13]Div 9 forecast'!M$548,FALSE)</f>
        <v>272.82042183237593</v>
      </c>
      <c r="L110" s="339">
        <f>VLOOKUP($B110,'[13]Div 9 forecast'!$D$549:$AF$630, '[13]Div 9 forecast'!N$548,FALSE)</f>
        <v>201.33513717314639</v>
      </c>
      <c r="M110" s="339">
        <f>VLOOKUP($B110,'[13]Div 9 forecast'!$D$549:$AF$630, '[13]Div 9 forecast'!O$548,FALSE)</f>
        <v>28.126594069506968</v>
      </c>
      <c r="N110" s="339">
        <f>VLOOKUP($B110,'[13]Div 9 forecast'!$D$549:$AF$630, '[13]Div 9 forecast'!P$548,FALSE)</f>
        <v>4.8260107786821607</v>
      </c>
      <c r="O110" s="339">
        <f>VLOOKUP($B110,'[13]Div 9 forecast'!$D$549:$AF$630, '[13]Div 9 forecast'!Q$548,FALSE)</f>
        <v>10.40608574153341</v>
      </c>
      <c r="P110" s="95">
        <f t="shared" si="12"/>
        <v>1559.5329237729823</v>
      </c>
      <c r="Q110" s="132"/>
      <c r="R110" s="136"/>
      <c r="S110" s="132"/>
    </row>
    <row r="111" spans="1:19">
      <c r="A111" s="1036">
        <f t="shared" si="10"/>
        <v>100</v>
      </c>
      <c r="B111" s="669">
        <v>9320</v>
      </c>
      <c r="C111" s="72" t="s">
        <v>184</v>
      </c>
      <c r="D111" s="481">
        <f>0</f>
        <v>0</v>
      </c>
      <c r="E111" s="481">
        <f>0</f>
        <v>0</v>
      </c>
      <c r="F111" s="481">
        <f>0</f>
        <v>0</v>
      </c>
      <c r="G111" s="481">
        <f>0</f>
        <v>0</v>
      </c>
      <c r="H111" s="481">
        <f>0</f>
        <v>0</v>
      </c>
      <c r="I111" s="481">
        <f>0</f>
        <v>0</v>
      </c>
      <c r="J111" s="339">
        <f>VLOOKUP($B111,'[13]Div 9 forecast'!$D$549:$AF$630, '[13]Div 9 forecast'!L$548,FALSE)</f>
        <v>0</v>
      </c>
      <c r="K111" s="339">
        <f>VLOOKUP($B111,'[13]Div 9 forecast'!$D$549:$AF$630, '[13]Div 9 forecast'!M$548,FALSE)</f>
        <v>0</v>
      </c>
      <c r="L111" s="339">
        <f>VLOOKUP($B111,'[13]Div 9 forecast'!$D$549:$AF$630, '[13]Div 9 forecast'!N$548,FALSE)</f>
        <v>0</v>
      </c>
      <c r="M111" s="339">
        <f>VLOOKUP($B111,'[13]Div 9 forecast'!$D$549:$AF$630, '[13]Div 9 forecast'!O$548,FALSE)</f>
        <v>0</v>
      </c>
      <c r="N111" s="339">
        <f>VLOOKUP($B111,'[13]Div 9 forecast'!$D$549:$AF$630, '[13]Div 9 forecast'!P$548,FALSE)</f>
        <v>0</v>
      </c>
      <c r="O111" s="339">
        <f>VLOOKUP($B111,'[13]Div 9 forecast'!$D$549:$AF$630, '[13]Div 9 forecast'!Q$548,FALSE)</f>
        <v>0</v>
      </c>
      <c r="P111" s="95">
        <f t="shared" si="12"/>
        <v>0</v>
      </c>
      <c r="Q111" s="132"/>
      <c r="R111" s="132"/>
      <c r="S111" s="132"/>
    </row>
    <row r="112" spans="1:19">
      <c r="A112" s="1036">
        <f t="shared" si="10"/>
        <v>101</v>
      </c>
      <c r="B112" s="132"/>
      <c r="C112" s="132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7"/>
      <c r="P112" s="185"/>
      <c r="Q112" s="185"/>
      <c r="R112" s="185"/>
      <c r="S112" s="185"/>
    </row>
    <row r="113" spans="1:19" ht="15.75" thickBot="1">
      <c r="A113" s="91">
        <f t="shared" ref="A113" si="13">A112+1</f>
        <v>102</v>
      </c>
      <c r="B113" s="185"/>
      <c r="C113" s="185" t="s">
        <v>728</v>
      </c>
      <c r="D113" s="1127">
        <f t="shared" ref="D113:O113" si="14">SUM(D14:D112)</f>
        <v>-2300013.1800000025</v>
      </c>
      <c r="E113" s="1127">
        <f t="shared" si="14"/>
        <v>-3618576.5999999982</v>
      </c>
      <c r="F113" s="1127">
        <f t="shared" si="14"/>
        <v>-5464630.0600000005</v>
      </c>
      <c r="G113" s="1127">
        <f t="shared" si="14"/>
        <v>-6293641.299999997</v>
      </c>
      <c r="H113" s="1127">
        <f t="shared" si="14"/>
        <v>-5094056.8699999955</v>
      </c>
      <c r="I113" s="1127">
        <f t="shared" si="14"/>
        <v>-4006709.6599999936</v>
      </c>
      <c r="J113" s="1127">
        <f t="shared" si="14"/>
        <v>-3318725.678610588</v>
      </c>
      <c r="K113" s="1127">
        <f t="shared" si="14"/>
        <v>-1822924.6686409446</v>
      </c>
      <c r="L113" s="1127">
        <f t="shared" si="14"/>
        <v>-1201823.586377101</v>
      </c>
      <c r="M113" s="1127">
        <f t="shared" si="14"/>
        <v>-1258860.9522207</v>
      </c>
      <c r="N113" s="1127">
        <f t="shared" si="14"/>
        <v>-1394602.0622004729</v>
      </c>
      <c r="O113" s="1127">
        <f t="shared" si="14"/>
        <v>110164.84239754835</v>
      </c>
      <c r="P113" s="1127">
        <f>SUM(P12:P112)</f>
        <v>-29161761.807838328</v>
      </c>
      <c r="Q113" s="187"/>
      <c r="R113" s="183"/>
      <c r="S113" s="185"/>
    </row>
    <row r="114" spans="1:19" ht="15.75" thickTop="1">
      <c r="A114" s="185"/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</row>
    <row r="115" spans="1:19">
      <c r="A115" s="185"/>
      <c r="B115" s="185"/>
      <c r="C115" s="185" t="s">
        <v>196</v>
      </c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R115" s="185"/>
      <c r="S115" s="185"/>
    </row>
    <row r="116" spans="1:19">
      <c r="A116" s="185"/>
      <c r="B116" s="185"/>
      <c r="C116" s="186" t="s">
        <v>1195</v>
      </c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477"/>
      <c r="P116" s="185"/>
      <c r="Q116" s="185"/>
      <c r="R116" s="185"/>
      <c r="S116" s="185"/>
    </row>
    <row r="117" spans="1:19">
      <c r="A117" s="185"/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P117" s="185"/>
      <c r="Q117" s="188"/>
      <c r="R117" s="185"/>
      <c r="S117" s="185"/>
    </row>
    <row r="118" spans="1:19">
      <c r="A118" s="185"/>
      <c r="B118" s="185"/>
      <c r="C118" s="185"/>
      <c r="D118" s="185"/>
      <c r="E118" s="185"/>
      <c r="F118" s="185"/>
      <c r="G118" s="185"/>
      <c r="H118" s="185"/>
      <c r="I118" s="185"/>
      <c r="J118" s="188"/>
      <c r="K118" s="188"/>
      <c r="L118" s="185"/>
      <c r="M118" s="185"/>
      <c r="N118" s="185"/>
      <c r="P118" s="72"/>
      <c r="Q118" s="72"/>
      <c r="R118" s="185"/>
      <c r="S118" s="185"/>
    </row>
    <row r="119" spans="1:19">
      <c r="A119" s="185"/>
      <c r="B119" s="185" t="s">
        <v>942</v>
      </c>
      <c r="C119" s="186"/>
      <c r="D119" s="185"/>
      <c r="E119" s="185"/>
      <c r="F119" s="188"/>
      <c r="G119" s="185"/>
      <c r="H119" s="185"/>
      <c r="I119" s="185"/>
      <c r="J119" s="188"/>
      <c r="K119" s="188"/>
      <c r="L119" s="185"/>
      <c r="M119" s="185"/>
      <c r="N119" s="185"/>
      <c r="P119" s="84">
        <f>SUM(P30:P111)</f>
        <v>101595525.13166906</v>
      </c>
      <c r="R119" s="185"/>
      <c r="S119" s="185"/>
    </row>
    <row r="120" spans="1:19">
      <c r="A120" s="185"/>
      <c r="B120" s="188" t="s">
        <v>1580</v>
      </c>
      <c r="C120" s="188"/>
      <c r="D120" s="189"/>
      <c r="E120" s="189"/>
      <c r="F120" s="189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8"/>
      <c r="R120" s="185"/>
      <c r="S120" s="185"/>
    </row>
    <row r="121" spans="1:19">
      <c r="A121" s="185"/>
      <c r="B121" s="1" t="s">
        <v>1571</v>
      </c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8"/>
      <c r="P121" s="185"/>
      <c r="Q121" s="188"/>
      <c r="R121" s="185"/>
      <c r="S121" s="185"/>
    </row>
    <row r="122" spans="1:19">
      <c r="A122" s="185"/>
      <c r="B122" s="185" t="s">
        <v>1577</v>
      </c>
      <c r="C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t="s">
        <v>1531</v>
      </c>
      <c r="P122" s="84">
        <f>SUM(P47:P111)+P30+P31-P102</f>
        <v>16133468.920000004</v>
      </c>
      <c r="Q122" s="185"/>
      <c r="R122" s="185"/>
      <c r="S122" s="185"/>
    </row>
    <row r="123" spans="1:19">
      <c r="A123" s="185"/>
      <c r="B123" s="188" t="s">
        <v>1591</v>
      </c>
      <c r="C123" s="188"/>
      <c r="D123" s="84">
        <f t="shared" ref="D123:O123" si="15">SUM(D47:D111)+D30+D31-D102</f>
        <v>1237497.3299999994</v>
      </c>
      <c r="E123" s="84">
        <f t="shared" si="15"/>
        <v>1226116.2200000002</v>
      </c>
      <c r="F123" s="84">
        <f t="shared" si="15"/>
        <v>1250262.6999999993</v>
      </c>
      <c r="G123" s="84">
        <f t="shared" si="15"/>
        <v>1222005.3000000003</v>
      </c>
      <c r="H123" s="84">
        <f t="shared" si="15"/>
        <v>1287606.92</v>
      </c>
      <c r="I123" s="84">
        <f t="shared" si="15"/>
        <v>1521532.8600000008</v>
      </c>
      <c r="J123" s="84">
        <f t="shared" si="15"/>
        <v>1382342.3300000005</v>
      </c>
      <c r="K123" s="84">
        <f t="shared" si="15"/>
        <v>1407956.8699999996</v>
      </c>
      <c r="L123" s="84">
        <f t="shared" si="15"/>
        <v>1444772.03</v>
      </c>
      <c r="M123" s="84">
        <f t="shared" si="15"/>
        <v>1410393.8799999997</v>
      </c>
      <c r="N123" s="84">
        <f t="shared" si="15"/>
        <v>1368759.4900000007</v>
      </c>
      <c r="O123" s="84">
        <f t="shared" si="15"/>
        <v>1374222.9900000002</v>
      </c>
      <c r="P123" s="188"/>
      <c r="Q123" s="185"/>
      <c r="R123" s="185"/>
      <c r="S123" s="185"/>
    </row>
    <row r="124" spans="1:19">
      <c r="A124" s="185"/>
      <c r="B124" s="185"/>
      <c r="C124" s="185"/>
      <c r="D124" s="95">
        <f>'[13]Div 9 forecast'!F537</f>
        <v>1237497.3299999998</v>
      </c>
      <c r="E124" s="95">
        <f>'[13]Div 9 forecast'!G537</f>
        <v>1226116.2200000002</v>
      </c>
      <c r="F124" s="95">
        <f>'[13]Div 9 forecast'!H537</f>
        <v>1250262.6999999997</v>
      </c>
      <c r="G124" s="95">
        <f>'[13]Div 9 forecast'!I537</f>
        <v>1222005.3000000003</v>
      </c>
      <c r="H124" s="95">
        <f>'[13]Div 9 forecast'!J537</f>
        <v>1287606.92</v>
      </c>
      <c r="I124" s="95">
        <f>'[13]Div 9 forecast'!K537</f>
        <v>1521532.85</v>
      </c>
      <c r="J124" s="95">
        <f>'[13]Div 9 forecast'!L537</f>
        <v>1382342.3299999998</v>
      </c>
      <c r="K124" s="95">
        <f>'[13]Div 9 forecast'!M537</f>
        <v>1407956.8699999999</v>
      </c>
      <c r="L124" s="95">
        <f>'[13]Div 9 forecast'!N537</f>
        <v>1444772.0300000003</v>
      </c>
      <c r="M124" s="95">
        <f>'[13]Div 9 forecast'!O537</f>
        <v>1410393.8800000001</v>
      </c>
      <c r="N124" s="95">
        <f>'[13]Div 9 forecast'!P537</f>
        <v>1368759.49</v>
      </c>
      <c r="O124" s="95">
        <f>'[13]Div 9 forecast'!Q537</f>
        <v>1374222.9900000005</v>
      </c>
      <c r="P124" s="188"/>
      <c r="Q124" s="185"/>
      <c r="R124" s="185"/>
      <c r="S124" s="185"/>
    </row>
    <row r="125" spans="1:19">
      <c r="A125" s="185"/>
      <c r="B125" s="185"/>
      <c r="C125" s="477"/>
      <c r="D125" s="95">
        <f>D123-D124</f>
        <v>0</v>
      </c>
      <c r="E125" s="95">
        <f t="shared" ref="E125:O125" si="16">E123-E124</f>
        <v>0</v>
      </c>
      <c r="F125" s="95">
        <f t="shared" si="16"/>
        <v>0</v>
      </c>
      <c r="G125" s="95">
        <f t="shared" si="16"/>
        <v>0</v>
      </c>
      <c r="H125" s="95">
        <f t="shared" si="16"/>
        <v>0</v>
      </c>
      <c r="I125" s="95">
        <f t="shared" si="16"/>
        <v>1.0000000707805157E-2</v>
      </c>
      <c r="J125" s="95">
        <f t="shared" si="16"/>
        <v>0</v>
      </c>
      <c r="K125" s="95">
        <f t="shared" si="16"/>
        <v>0</v>
      </c>
      <c r="L125" s="95">
        <f t="shared" si="16"/>
        <v>0</v>
      </c>
      <c r="M125" s="95">
        <f t="shared" si="16"/>
        <v>0</v>
      </c>
      <c r="N125" s="95">
        <f t="shared" si="16"/>
        <v>0</v>
      </c>
      <c r="O125" s="95">
        <f t="shared" si="16"/>
        <v>0</v>
      </c>
      <c r="P125" s="188"/>
      <c r="Q125" s="185"/>
      <c r="R125" s="185"/>
      <c r="S125" s="185"/>
    </row>
    <row r="126" spans="1:19">
      <c r="A126" s="185"/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6"/>
      <c r="O126" s="150"/>
      <c r="P126" s="188"/>
      <c r="Q126" s="185"/>
      <c r="R126" s="185"/>
      <c r="S126" s="185"/>
    </row>
    <row r="127" spans="1:19">
      <c r="A127" s="185"/>
      <c r="B127" s="185"/>
      <c r="C127" s="477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391"/>
      <c r="P127" s="185"/>
      <c r="Q127" s="185"/>
      <c r="R127" s="185"/>
      <c r="S127" s="185"/>
    </row>
    <row r="128" spans="1:19">
      <c r="A128" s="185"/>
      <c r="B128" s="185"/>
      <c r="C128" s="84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50"/>
      <c r="P128" s="185"/>
      <c r="Q128" s="185"/>
      <c r="R128" s="185"/>
      <c r="S128" s="185"/>
    </row>
    <row r="129" spans="1:19">
      <c r="A129" s="185"/>
      <c r="B129" s="185"/>
      <c r="C129" s="84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50"/>
      <c r="P129" s="188"/>
      <c r="Q129" s="185"/>
      <c r="R129" s="185"/>
      <c r="S129" s="185"/>
    </row>
    <row r="130" spans="1:19">
      <c r="A130" s="185"/>
      <c r="B130" s="185"/>
      <c r="C130" s="84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8"/>
      <c r="P130" s="185"/>
      <c r="Q130" s="185"/>
      <c r="R130" s="185"/>
      <c r="S130" s="185"/>
    </row>
    <row r="131" spans="1:19">
      <c r="A131" s="185"/>
      <c r="B131" s="185"/>
      <c r="C131" s="84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8"/>
      <c r="P131" s="185"/>
      <c r="Q131" s="185"/>
      <c r="R131" s="185"/>
      <c r="S131" s="185"/>
    </row>
    <row r="132" spans="1:19">
      <c r="P132" s="185"/>
    </row>
    <row r="133" spans="1:19">
      <c r="P133" s="185"/>
    </row>
    <row r="134" spans="1:19">
      <c r="P134" s="185"/>
    </row>
    <row r="135" spans="1:19">
      <c r="P135" s="185"/>
    </row>
    <row r="136" spans="1:19">
      <c r="E136" s="639"/>
      <c r="F136" s="639"/>
      <c r="G136" s="639"/>
      <c r="H136" s="639"/>
      <c r="I136" s="639"/>
      <c r="J136" s="639"/>
      <c r="K136" s="639"/>
      <c r="L136" s="639"/>
      <c r="M136" s="639"/>
      <c r="N136" s="639"/>
      <c r="O136" s="639"/>
    </row>
    <row r="137" spans="1:19">
      <c r="D137" s="580"/>
      <c r="E137" s="580"/>
      <c r="F137" s="580"/>
      <c r="G137" s="580"/>
      <c r="H137" s="580"/>
      <c r="I137" s="580"/>
      <c r="J137" s="580"/>
      <c r="K137" s="580"/>
      <c r="L137" s="580"/>
      <c r="M137" s="580"/>
      <c r="N137" s="580"/>
      <c r="O137" s="580"/>
      <c r="P137" s="580"/>
    </row>
    <row r="138" spans="1:19">
      <c r="J138" s="72"/>
      <c r="K138" s="72"/>
      <c r="L138" s="72"/>
      <c r="M138" s="72"/>
      <c r="N138" s="72"/>
      <c r="O138" s="72"/>
    </row>
    <row r="139" spans="1:19">
      <c r="D139" s="581"/>
    </row>
    <row r="141" spans="1:19">
      <c r="J141" s="71"/>
    </row>
    <row r="142" spans="1:19">
      <c r="E142" s="639"/>
      <c r="F142" s="639"/>
      <c r="G142" s="639"/>
      <c r="H142" s="639"/>
      <c r="I142" s="639"/>
      <c r="J142" s="639"/>
    </row>
    <row r="143" spans="1:19">
      <c r="C143" s="477"/>
    </row>
  </sheetData>
  <mergeCells count="4">
    <mergeCell ref="A1:P1"/>
    <mergeCell ref="A2:P2"/>
    <mergeCell ref="A3:P3"/>
    <mergeCell ref="A4:P4"/>
  </mergeCells>
  <phoneticPr fontId="21" type="noConversion"/>
  <printOptions horizontalCentered="1"/>
  <pageMargins left="0.5" right="0.5" top="0.75" bottom="0.75" header="0.5" footer="0.25"/>
  <pageSetup scale="48" fitToHeight="2" orientation="landscape" verticalDpi="300" r:id="rId1"/>
  <headerFooter alignWithMargins="0">
    <oddFooter>&amp;RSchedule &amp;A
Page &amp;P of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128"/>
  <dimension ref="A1:R67"/>
  <sheetViews>
    <sheetView view="pageBreakPreview" topLeftCell="A6" zoomScale="80" zoomScaleNormal="100" zoomScaleSheetLayoutView="80" workbookViewId="0">
      <selection sqref="A1:P1"/>
    </sheetView>
  </sheetViews>
  <sheetFormatPr defaultColWidth="7.109375" defaultRowHeight="15"/>
  <cols>
    <col min="1" max="1" width="4.6640625" style="72" customWidth="1"/>
    <col min="2" max="2" width="6.6640625" style="72" customWidth="1"/>
    <col min="3" max="3" width="38.88671875" style="72" customWidth="1"/>
    <col min="4" max="5" width="13.109375" style="72" bestFit="1" customWidth="1"/>
    <col min="6" max="6" width="11.44140625" style="72" customWidth="1"/>
    <col min="7" max="8" width="13.109375" style="72" bestFit="1" customWidth="1"/>
    <col min="9" max="9" width="11.5546875" style="72" bestFit="1" customWidth="1"/>
    <col min="10" max="10" width="11.6640625" style="72" customWidth="1"/>
    <col min="11" max="14" width="13.109375" style="72" bestFit="1" customWidth="1"/>
    <col min="15" max="15" width="12.44140625" style="72" customWidth="1"/>
    <col min="16" max="16" width="14.109375" style="72" bestFit="1" customWidth="1"/>
    <col min="17" max="17" width="9.109375" style="72" customWidth="1"/>
    <col min="18" max="18" width="12.5546875" style="72" customWidth="1"/>
    <col min="19" max="22" width="7.109375" style="72"/>
    <col min="23" max="23" width="11.33203125" style="72" customWidth="1"/>
    <col min="24" max="24" width="12.5546875" style="72" customWidth="1"/>
    <col min="25" max="16384" width="7.109375" style="72"/>
  </cols>
  <sheetData>
    <row r="1" spans="1:18">
      <c r="A1" s="1270" t="str">
        <f>'Table of Contents'!A1:C1</f>
        <v>Atmos Energy Corporation, Kentucky/Mid-States Division</v>
      </c>
      <c r="B1" s="1270"/>
      <c r="C1" s="1270"/>
      <c r="D1" s="1270"/>
      <c r="E1" s="1270"/>
      <c r="F1" s="1270"/>
      <c r="G1" s="1270"/>
      <c r="H1" s="1270"/>
      <c r="I1" s="1270"/>
      <c r="J1" s="1270"/>
      <c r="K1" s="1270"/>
      <c r="L1" s="1270"/>
      <c r="M1" s="1270"/>
      <c r="N1" s="1270"/>
      <c r="O1" s="1270"/>
      <c r="P1" s="1270"/>
      <c r="Q1" s="73"/>
    </row>
    <row r="2" spans="1:18">
      <c r="A2" s="1270" t="str">
        <f>'Table of Contents'!A2:C2</f>
        <v>Kentucky Jurisdiction Case No. 2021-00214</v>
      </c>
      <c r="B2" s="1270"/>
      <c r="C2" s="1270"/>
      <c r="D2" s="1270"/>
      <c r="E2" s="1270"/>
      <c r="F2" s="1270"/>
      <c r="G2" s="1270"/>
      <c r="H2" s="1270"/>
      <c r="I2" s="1270"/>
      <c r="J2" s="1270"/>
      <c r="K2" s="1270"/>
      <c r="L2" s="1270"/>
      <c r="M2" s="1270"/>
      <c r="N2" s="1270"/>
      <c r="O2" s="1270"/>
      <c r="P2" s="1270"/>
      <c r="Q2" s="73"/>
    </row>
    <row r="3" spans="1:18" ht="15.75">
      <c r="A3" s="1271" t="s">
        <v>185</v>
      </c>
      <c r="B3" s="1271"/>
      <c r="C3" s="1271"/>
      <c r="D3" s="1271"/>
      <c r="E3" s="1271"/>
      <c r="F3" s="1271"/>
      <c r="G3" s="1271"/>
      <c r="H3" s="1271"/>
      <c r="I3" s="1271"/>
      <c r="J3" s="1271"/>
      <c r="K3" s="1271"/>
      <c r="L3" s="1271"/>
      <c r="M3" s="1271"/>
      <c r="N3" s="1271"/>
      <c r="O3" s="1271"/>
      <c r="P3" s="1271"/>
      <c r="Q3" s="73"/>
    </row>
    <row r="4" spans="1:18">
      <c r="A4" s="1270" t="str">
        <f>'Table of Contents'!A3:C3</f>
        <v>Base Period: Twelve Months Ended September 30, 2021</v>
      </c>
      <c r="B4" s="1270"/>
      <c r="C4" s="1270"/>
      <c r="D4" s="1270"/>
      <c r="E4" s="1270"/>
      <c r="F4" s="1270"/>
      <c r="G4" s="1270"/>
      <c r="H4" s="1270"/>
      <c r="I4" s="1270"/>
      <c r="J4" s="1270"/>
      <c r="K4" s="1270"/>
      <c r="L4" s="1270"/>
      <c r="M4" s="1270"/>
      <c r="N4" s="1270"/>
      <c r="O4" s="1270"/>
      <c r="P4" s="1270"/>
      <c r="Q4" s="172"/>
    </row>
    <row r="5" spans="1:18">
      <c r="A5" s="73"/>
      <c r="B5" s="133"/>
      <c r="C5" s="133"/>
      <c r="D5" s="133"/>
      <c r="E5" s="133"/>
      <c r="F5" s="133"/>
      <c r="G5" s="700"/>
      <c r="H5" s="544"/>
      <c r="I5" s="175"/>
      <c r="J5" s="175"/>
      <c r="K5" s="175"/>
      <c r="L5" s="175"/>
      <c r="M5" s="175"/>
      <c r="N5" s="175"/>
      <c r="O5" s="175"/>
      <c r="P5" s="172"/>
      <c r="Q5" s="172"/>
    </row>
    <row r="6" spans="1:18" ht="15.75">
      <c r="A6" s="472" t="str">
        <f>'C.2.2 B 09'!A6</f>
        <v>Data:___X____Base Period________Forecasted Period</v>
      </c>
      <c r="B6" s="172"/>
      <c r="C6" s="205"/>
      <c r="D6" s="172"/>
      <c r="E6" s="172"/>
      <c r="F6" s="172"/>
      <c r="G6" s="172"/>
      <c r="H6" s="701"/>
      <c r="I6" s="172"/>
      <c r="K6" s="702"/>
      <c r="L6" s="172"/>
      <c r="M6" s="172"/>
      <c r="N6" s="175"/>
      <c r="O6" s="175"/>
      <c r="P6" s="425" t="s">
        <v>1373</v>
      </c>
      <c r="Q6" s="172"/>
    </row>
    <row r="7" spans="1:18">
      <c r="A7" s="472" t="str">
        <f>'C.2.2 B 09'!A7</f>
        <v>Type of Filing:___X____Original________Updated ________Revised</v>
      </c>
      <c r="B7" s="172"/>
      <c r="C7" s="205"/>
      <c r="D7" s="172"/>
      <c r="E7" s="544"/>
      <c r="F7" s="172"/>
      <c r="G7" s="172"/>
      <c r="H7" s="172"/>
      <c r="I7" s="172"/>
      <c r="J7"/>
      <c r="K7"/>
      <c r="L7"/>
      <c r="M7"/>
      <c r="N7"/>
      <c r="O7"/>
      <c r="P7" s="426" t="s">
        <v>36</v>
      </c>
      <c r="Q7" s="172"/>
    </row>
    <row r="8" spans="1:18">
      <c r="A8" s="472" t="str">
        <f>'C.2.2 B 09'!A8</f>
        <v>Workpaper Reference No(s).____________________</v>
      </c>
      <c r="B8" s="209"/>
      <c r="C8" s="703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9"/>
      <c r="P8" s="1126" t="str">
        <f>'C.1'!J9</f>
        <v>Witness: Christian, Densman</v>
      </c>
      <c r="Q8" s="172"/>
    </row>
    <row r="9" spans="1:18">
      <c r="A9" s="693" t="s">
        <v>92</v>
      </c>
      <c r="B9" s="694" t="s">
        <v>99</v>
      </c>
      <c r="C9" s="695"/>
      <c r="D9" s="1128" t="str">
        <f>'C.2.2 B 09'!D9</f>
        <v>actual</v>
      </c>
      <c r="E9" s="1128" t="str">
        <f>'C.2.2 B 09'!F9</f>
        <v>actual</v>
      </c>
      <c r="F9" s="1128" t="str">
        <f>'C.2.2 B 09'!F9</f>
        <v>actual</v>
      </c>
      <c r="G9" s="1128" t="str">
        <f>'C.2.2 B 09'!G9</f>
        <v>actual</v>
      </c>
      <c r="H9" s="1128" t="str">
        <f>'C.2.2 B 09'!H9</f>
        <v>actual</v>
      </c>
      <c r="I9" s="1128" t="str">
        <f>'C.2.2 B 09'!I9</f>
        <v>actual</v>
      </c>
      <c r="J9" s="1128" t="str">
        <f>'C.2.2 B 09'!J9</f>
        <v>Budgeted</v>
      </c>
      <c r="K9" s="1128" t="str">
        <f>'C.2.2 B 09'!K9</f>
        <v>Budgeted</v>
      </c>
      <c r="L9" s="1128" t="str">
        <f>'C.2.2 B 09'!L9</f>
        <v>Budgeted</v>
      </c>
      <c r="M9" s="1128" t="str">
        <f>'C.2.2 B 09'!M9</f>
        <v>Budgeted</v>
      </c>
      <c r="N9" s="1128" t="str">
        <f>'C.2.2 B 09'!N9</f>
        <v>Budgeted</v>
      </c>
      <c r="O9" s="1128" t="str">
        <f>'C.2.2 B 09'!O9</f>
        <v>Budgeted</v>
      </c>
      <c r="P9" s="704"/>
      <c r="Q9" s="183"/>
    </row>
    <row r="10" spans="1:18">
      <c r="A10" s="696" t="s">
        <v>98</v>
      </c>
      <c r="B10" s="697" t="s">
        <v>98</v>
      </c>
      <c r="C10" s="698" t="s">
        <v>941</v>
      </c>
      <c r="D10" s="1129">
        <f>'C.2.2 B 09'!D10</f>
        <v>44105</v>
      </c>
      <c r="E10" s="1129">
        <f>'C.2.2 B 09'!F10</f>
        <v>44166</v>
      </c>
      <c r="F10" s="1129">
        <f>'C.2.2 B 09'!F10</f>
        <v>44166</v>
      </c>
      <c r="G10" s="1129">
        <f>'C.2.2 B 09'!G10</f>
        <v>44197</v>
      </c>
      <c r="H10" s="1129">
        <f>'C.2.2 B 09'!H10</f>
        <v>44228</v>
      </c>
      <c r="I10" s="1129">
        <f>'C.2.2 B 09'!I10</f>
        <v>44256</v>
      </c>
      <c r="J10" s="1129">
        <f>'C.2.2 B 09'!J10</f>
        <v>44287</v>
      </c>
      <c r="K10" s="1129">
        <f>'C.2.2 B 09'!K10</f>
        <v>44317</v>
      </c>
      <c r="L10" s="1129">
        <f>'C.2.2 B 09'!L10</f>
        <v>44348</v>
      </c>
      <c r="M10" s="1129">
        <f>'C.2.2 B 09'!M10</f>
        <v>44378</v>
      </c>
      <c r="N10" s="1129">
        <f>'C.2.2 B 09'!N10</f>
        <v>44409</v>
      </c>
      <c r="O10" s="1129">
        <f>'C.2.2 B 09'!O10</f>
        <v>44440</v>
      </c>
      <c r="P10" s="1129" t="str">
        <f>'C.2.2 B 09'!P10</f>
        <v>Total</v>
      </c>
      <c r="Q10" s="183"/>
    </row>
    <row r="11" spans="1:18">
      <c r="A11" s="172"/>
      <c r="B11" s="172"/>
      <c r="C11" s="172"/>
      <c r="D11" s="182" t="s">
        <v>145</v>
      </c>
      <c r="E11" s="182" t="s">
        <v>145</v>
      </c>
      <c r="F11" s="182" t="s">
        <v>145</v>
      </c>
      <c r="G11" s="182" t="s">
        <v>145</v>
      </c>
      <c r="H11" s="182" t="s">
        <v>145</v>
      </c>
      <c r="I11" s="182" t="s">
        <v>145</v>
      </c>
      <c r="J11" s="182" t="s">
        <v>145</v>
      </c>
      <c r="K11" s="182" t="s">
        <v>145</v>
      </c>
      <c r="L11" s="182" t="s">
        <v>145</v>
      </c>
      <c r="M11" s="182" t="s">
        <v>145</v>
      </c>
      <c r="N11" s="182" t="s">
        <v>145</v>
      </c>
      <c r="O11" s="182" t="s">
        <v>145</v>
      </c>
      <c r="P11" s="182" t="s">
        <v>145</v>
      </c>
      <c r="Q11" s="183"/>
    </row>
    <row r="12" spans="1:18">
      <c r="A12" s="172"/>
      <c r="B12" s="669" t="s">
        <v>727</v>
      </c>
      <c r="C12" s="95" t="s">
        <v>719</v>
      </c>
      <c r="D12" s="481">
        <f>'[15]DIV 002 IS Activity'!L8+'[15]DIV 002 IS Activity'!L9</f>
        <v>93619.030000000028</v>
      </c>
      <c r="E12" s="481">
        <f>'[15]DIV 002 IS Activity'!M8+'[15]DIV 002 IS Activity'!M9</f>
        <v>523047.33000000007</v>
      </c>
      <c r="F12" s="481">
        <f>'[15]DIV 002 IS Activity'!N8+'[15]DIV 002 IS Activity'!N9</f>
        <v>4612374</v>
      </c>
      <c r="G12" s="481">
        <f>'[15]DIV 002 IS Activity'!O8+'[15]DIV 002 IS Activity'!O9</f>
        <v>-4454688.8100000005</v>
      </c>
      <c r="H12" s="481">
        <f>'[15]DIV 002 IS Activity'!P8+'[15]DIV 002 IS Activity'!P9</f>
        <v>-3622273.06</v>
      </c>
      <c r="I12" s="481">
        <f>'[15]DIV 002 IS Activity'!Q8+'[15]DIV 002 IS Activity'!Q9</f>
        <v>4713612</v>
      </c>
      <c r="J12" s="940"/>
      <c r="K12" s="940"/>
      <c r="L12" s="940"/>
      <c r="M12" s="940"/>
      <c r="N12" s="940"/>
      <c r="O12" s="940"/>
      <c r="P12" s="95">
        <f t="shared" ref="P12:P13" si="0">SUM(D12:O12)</f>
        <v>1865690.4899999998</v>
      </c>
      <c r="Q12" s="183"/>
      <c r="R12" s="557"/>
    </row>
    <row r="13" spans="1:18">
      <c r="A13" s="172"/>
      <c r="B13" s="172"/>
      <c r="C13" s="17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95">
        <f t="shared" si="0"/>
        <v>0</v>
      </c>
      <c r="Q13" s="183"/>
    </row>
    <row r="14" spans="1:18">
      <c r="A14" s="389">
        <v>1</v>
      </c>
      <c r="B14" s="669">
        <v>4030</v>
      </c>
      <c r="C14" s="172" t="s">
        <v>90</v>
      </c>
      <c r="D14" s="481">
        <f>'[15]DIV 002 IS Activity'!L6</f>
        <v>-2.4010660126805305E-10</v>
      </c>
      <c r="E14" s="481">
        <f>'[15]DIV 002 IS Activity'!M6</f>
        <v>1.7280399333685637E-11</v>
      </c>
      <c r="F14" s="481">
        <f>'[15]DIV 002 IS Activity'!N6</f>
        <v>-2.7284841053187847E-12</v>
      </c>
      <c r="G14" s="481">
        <f>'[15]DIV 002 IS Activity'!O6</f>
        <v>-7.4578565545380116E-11</v>
      </c>
      <c r="H14" s="481">
        <f>'[15]DIV 002 IS Activity'!P6</f>
        <v>-2.8376234695315361E-10</v>
      </c>
      <c r="I14" s="481">
        <f>'[15]DIV 002 IS Activity'!Q6</f>
        <v>-1.2823875294998288E-10</v>
      </c>
      <c r="J14" s="481">
        <f>0</f>
        <v>0</v>
      </c>
      <c r="K14" s="481">
        <f>0</f>
        <v>0</v>
      </c>
      <c r="L14" s="481">
        <f>0</f>
        <v>0</v>
      </c>
      <c r="M14" s="481">
        <f>0</f>
        <v>0</v>
      </c>
      <c r="N14" s="481">
        <f>0</f>
        <v>0</v>
      </c>
      <c r="O14" s="481">
        <f>0</f>
        <v>0</v>
      </c>
      <c r="P14" s="95">
        <f>SUM(D14:O14)</f>
        <v>-7.1213435148820281E-10</v>
      </c>
      <c r="Q14" s="544"/>
      <c r="R14" s="557"/>
    </row>
    <row r="15" spans="1:18">
      <c r="A15" s="1036">
        <f>A14+1</f>
        <v>2</v>
      </c>
      <c r="B15" s="314">
        <v>4081</v>
      </c>
      <c r="C15" s="183" t="s">
        <v>854</v>
      </c>
      <c r="D15" s="481">
        <f>'[15]DIV 002 IS Activity'!L7</f>
        <v>2.8194335754960775E-11</v>
      </c>
      <c r="E15" s="481">
        <f>'[15]DIV 002 IS Activity'!M7</f>
        <v>-1.9999999940182533E-2</v>
      </c>
      <c r="F15" s="481">
        <f>'[15]DIV 002 IS Activity'!N7</f>
        <v>-2.7478108677314594E-10</v>
      </c>
      <c r="G15" s="481">
        <f>'[15]DIV 002 IS Activity'!O7</f>
        <v>9.9999999138162821E-3</v>
      </c>
      <c r="H15" s="481">
        <f>'[15]DIV 002 IS Activity'!P7</f>
        <v>-1.0000000012723831E-2</v>
      </c>
      <c r="I15" s="481">
        <f>'[15]DIV 002 IS Activity'!Q7</f>
        <v>1.9999999866740836E-2</v>
      </c>
      <c r="J15" s="481">
        <f>0</f>
        <v>0</v>
      </c>
      <c r="K15" s="481">
        <f>0</f>
        <v>0</v>
      </c>
      <c r="L15" s="481">
        <f>0</f>
        <v>0</v>
      </c>
      <c r="M15" s="481">
        <f>0</f>
        <v>0</v>
      </c>
      <c r="N15" s="481">
        <f>0</f>
        <v>0</v>
      </c>
      <c r="O15" s="481">
        <f>0</f>
        <v>0</v>
      </c>
      <c r="P15" s="95">
        <f>SUM(D15:O15)</f>
        <v>-4.1893599700415507E-10</v>
      </c>
      <c r="Q15" s="544"/>
    </row>
    <row r="16" spans="1:18">
      <c r="A16" s="1036">
        <f t="shared" ref="A16:A46" si="1">A15+1</f>
        <v>3</v>
      </c>
      <c r="B16" s="314">
        <v>8210</v>
      </c>
      <c r="C16" s="95" t="s">
        <v>881</v>
      </c>
      <c r="D16" s="481">
        <f>0</f>
        <v>0</v>
      </c>
      <c r="E16" s="481">
        <f>0</f>
        <v>0</v>
      </c>
      <c r="F16" s="481">
        <f>0</f>
        <v>0</v>
      </c>
      <c r="G16" s="481">
        <f>0</f>
        <v>0</v>
      </c>
      <c r="H16" s="481">
        <f>0</f>
        <v>0</v>
      </c>
      <c r="I16" s="481">
        <f>0</f>
        <v>0</v>
      </c>
      <c r="J16" s="481">
        <f>VLOOKUP($B16, '[13]Div 2 forecast'!$D$299:$AF$375,'[13]Div 2 forecast'!L$298,FALSE)</f>
        <v>0</v>
      </c>
      <c r="K16" s="481">
        <f>VLOOKUP($B16, '[13]Div 2 forecast'!$D$299:$AF$375,'[13]Div 2 forecast'!M$298,FALSE)</f>
        <v>0</v>
      </c>
      <c r="L16" s="481">
        <f>VLOOKUP($B16, '[13]Div 2 forecast'!$D$299:$AF$375,'[13]Div 2 forecast'!N$298,FALSE)</f>
        <v>0</v>
      </c>
      <c r="M16" s="481">
        <f>VLOOKUP($B16, '[13]Div 2 forecast'!$D$299:$AF$375,'[13]Div 2 forecast'!O$298,FALSE)</f>
        <v>0</v>
      </c>
      <c r="N16" s="481">
        <f>VLOOKUP($B16, '[13]Div 2 forecast'!$D$299:$AF$375,'[13]Div 2 forecast'!P$298,FALSE)</f>
        <v>0</v>
      </c>
      <c r="O16" s="481">
        <f>VLOOKUP($B16, '[13]Div 2 forecast'!$D$299:$AF$375,'[13]Div 2 forecast'!Q$298,FALSE)</f>
        <v>0</v>
      </c>
      <c r="P16" s="95">
        <f>SUM(D16:O16)</f>
        <v>0</v>
      </c>
      <c r="Q16" s="544"/>
    </row>
    <row r="17" spans="1:17">
      <c r="A17" s="1036">
        <f>A16+1</f>
        <v>4</v>
      </c>
      <c r="B17" s="314">
        <v>8700</v>
      </c>
      <c r="C17" s="183" t="s">
        <v>903</v>
      </c>
      <c r="D17" s="481">
        <f>'[15]DIV 002 IS Activity'!L27</f>
        <v>191.5</v>
      </c>
      <c r="E17" s="481">
        <f>'[15]DIV 002 IS Activity'!M27</f>
        <v>176.5</v>
      </c>
      <c r="F17" s="481">
        <f>'[15]DIV 002 IS Activity'!N27</f>
        <v>1620.99</v>
      </c>
      <c r="G17" s="481">
        <f>'[15]DIV 002 IS Activity'!O27</f>
        <v>6.5500000000000114</v>
      </c>
      <c r="H17" s="481">
        <f>'[15]DIV 002 IS Activity'!P27</f>
        <v>176.5</v>
      </c>
      <c r="I17" s="481">
        <f>'[15]DIV 002 IS Activity'!Q27</f>
        <v>176.5</v>
      </c>
      <c r="J17" s="481">
        <f>VLOOKUP($B17, '[13]Div 2 forecast'!$D$299:$AF$375,'[13]Div 2 forecast'!L$298,FALSE)</f>
        <v>645.70289822601535</v>
      </c>
      <c r="K17" s="481">
        <f>VLOOKUP($B17, '[13]Div 2 forecast'!$D$299:$AF$375,'[13]Div 2 forecast'!M$298,FALSE)</f>
        <v>634.72054793521102</v>
      </c>
      <c r="L17" s="481">
        <f>VLOOKUP($B17, '[13]Div 2 forecast'!$D$299:$AF$375,'[13]Div 2 forecast'!N$298,FALSE)</f>
        <v>654.64110325387651</v>
      </c>
      <c r="M17" s="481">
        <f>VLOOKUP($B17, '[13]Div 2 forecast'!$D$299:$AF$375,'[13]Div 2 forecast'!O$298,FALSE)</f>
        <v>651.08520259986403</v>
      </c>
      <c r="N17" s="481">
        <f>VLOOKUP($B17, '[13]Div 2 forecast'!$D$299:$AF$375,'[13]Div 2 forecast'!P$298,FALSE)</f>
        <v>644.73325711178404</v>
      </c>
      <c r="O17" s="481">
        <f>VLOOKUP($B17, '[13]Div 2 forecast'!$D$299:$AF$375,'[13]Div 2 forecast'!Q$298,FALSE)</f>
        <v>667.8530688797689</v>
      </c>
      <c r="P17" s="95">
        <f t="shared" ref="P17:P41" si="2">SUM(D17:O17)</f>
        <v>6247.27607800652</v>
      </c>
      <c r="Q17" s="183"/>
    </row>
    <row r="18" spans="1:17">
      <c r="A18" s="1036">
        <f t="shared" si="1"/>
        <v>5</v>
      </c>
      <c r="B18" s="314">
        <v>8560</v>
      </c>
      <c r="C18" s="95" t="s">
        <v>1536</v>
      </c>
      <c r="D18" s="481">
        <f>'[15]DIV 002 IS Activity'!L26</f>
        <v>0</v>
      </c>
      <c r="E18" s="481">
        <f>'[15]DIV 002 IS Activity'!M26</f>
        <v>0</v>
      </c>
      <c r="F18" s="481">
        <f>'[15]DIV 002 IS Activity'!N26</f>
        <v>0</v>
      </c>
      <c r="G18" s="481">
        <f>'[15]DIV 002 IS Activity'!O26</f>
        <v>0</v>
      </c>
      <c r="H18" s="481">
        <f>'[15]DIV 002 IS Activity'!P26</f>
        <v>0</v>
      </c>
      <c r="I18" s="481">
        <f>'[15]DIV 002 IS Activity'!Q26</f>
        <v>0</v>
      </c>
      <c r="J18" s="481">
        <f>VLOOKUP($B18, '[13]Div 2 forecast'!$D$299:$AF$375,'[13]Div 2 forecast'!L$298,FALSE)</f>
        <v>0</v>
      </c>
      <c r="K18" s="481">
        <f>VLOOKUP($B18, '[13]Div 2 forecast'!$D$299:$AF$375,'[13]Div 2 forecast'!M$298,FALSE)</f>
        <v>0</v>
      </c>
      <c r="L18" s="481">
        <f>VLOOKUP($B18, '[13]Div 2 forecast'!$D$299:$AF$375,'[13]Div 2 forecast'!N$298,FALSE)</f>
        <v>0</v>
      </c>
      <c r="M18" s="481">
        <f>VLOOKUP($B18, '[13]Div 2 forecast'!$D$299:$AF$375,'[13]Div 2 forecast'!O$298,FALSE)</f>
        <v>0</v>
      </c>
      <c r="N18" s="481">
        <f>VLOOKUP($B18, '[13]Div 2 forecast'!$D$299:$AF$375,'[13]Div 2 forecast'!P$298,FALSE)</f>
        <v>0</v>
      </c>
      <c r="O18" s="481">
        <f>VLOOKUP($B18, '[13]Div 2 forecast'!$D$299:$AF$375,'[13]Div 2 forecast'!Q$298,FALSE)</f>
        <v>0</v>
      </c>
      <c r="P18" s="95">
        <f t="shared" si="2"/>
        <v>0</v>
      </c>
      <c r="Q18" s="183"/>
    </row>
    <row r="19" spans="1:17">
      <c r="A19" s="1036">
        <f t="shared" si="1"/>
        <v>6</v>
      </c>
      <c r="B19" s="314">
        <v>8740</v>
      </c>
      <c r="C19" s="183" t="s">
        <v>905</v>
      </c>
      <c r="D19" s="481">
        <f>'[15]DIV 002 IS Activity'!L28</f>
        <v>5862.9700000000012</v>
      </c>
      <c r="E19" s="481">
        <f>'[15]DIV 002 IS Activity'!M28</f>
        <v>10458.82</v>
      </c>
      <c r="F19" s="481">
        <f>'[15]DIV 002 IS Activity'!N28</f>
        <v>-5224.83</v>
      </c>
      <c r="G19" s="481">
        <f>'[15]DIV 002 IS Activity'!O28</f>
        <v>7918.87</v>
      </c>
      <c r="H19" s="481">
        <f>'[15]DIV 002 IS Activity'!P28</f>
        <v>4937.92</v>
      </c>
      <c r="I19" s="481">
        <f>'[15]DIV 002 IS Activity'!Q28</f>
        <v>-33591.440000000002</v>
      </c>
      <c r="J19" s="481">
        <f>VLOOKUP($B19, '[13]Div 2 forecast'!$D$299:$AF$375,'[13]Div 2 forecast'!L$298,FALSE)</f>
        <v>68496.723513510748</v>
      </c>
      <c r="K19" s="481">
        <f>VLOOKUP($B19, '[13]Div 2 forecast'!$D$299:$AF$375,'[13]Div 2 forecast'!M$298,FALSE)</f>
        <v>68738.418682313728</v>
      </c>
      <c r="L19" s="481">
        <f>VLOOKUP($B19, '[13]Div 2 forecast'!$D$299:$AF$375,'[13]Div 2 forecast'!N$298,FALSE)</f>
        <v>69346.016145623871</v>
      </c>
      <c r="M19" s="481">
        <f>VLOOKUP($B19, '[13]Div 2 forecast'!$D$299:$AF$375,'[13]Div 2 forecast'!O$298,FALSE)</f>
        <v>68603.694266142556</v>
      </c>
      <c r="N19" s="481">
        <f>VLOOKUP($B19, '[13]Div 2 forecast'!$D$299:$AF$375,'[13]Div 2 forecast'!P$298,FALSE)</f>
        <v>68463.082012093015</v>
      </c>
      <c r="O19" s="481">
        <f>VLOOKUP($B19, '[13]Div 2 forecast'!$D$299:$AF$375,'[13]Div 2 forecast'!Q$298,FALSE)</f>
        <v>69328.478311868617</v>
      </c>
      <c r="P19" s="95">
        <f t="shared" si="2"/>
        <v>403338.72293155256</v>
      </c>
      <c r="Q19" s="183"/>
    </row>
    <row r="20" spans="1:17">
      <c r="A20" s="1036">
        <f t="shared" si="1"/>
        <v>7</v>
      </c>
      <c r="B20" s="314">
        <v>8780</v>
      </c>
      <c r="C20" s="183" t="s">
        <v>909</v>
      </c>
      <c r="D20" s="481">
        <f>0</f>
        <v>0</v>
      </c>
      <c r="E20" s="481">
        <f>0</f>
        <v>0</v>
      </c>
      <c r="F20" s="481">
        <f>0</f>
        <v>0</v>
      </c>
      <c r="G20" s="481">
        <f>0</f>
        <v>0</v>
      </c>
      <c r="H20" s="481">
        <f>0</f>
        <v>0</v>
      </c>
      <c r="I20" s="481">
        <f>0</f>
        <v>0</v>
      </c>
      <c r="J20" s="481">
        <f>VLOOKUP($B20, '[13]Div 2 forecast'!$D$299:$AF$375,'[13]Div 2 forecast'!L$298,FALSE)</f>
        <v>0</v>
      </c>
      <c r="K20" s="481">
        <f>VLOOKUP($B20, '[13]Div 2 forecast'!$D$299:$AF$375,'[13]Div 2 forecast'!M$298,FALSE)</f>
        <v>0</v>
      </c>
      <c r="L20" s="481">
        <f>VLOOKUP($B20, '[13]Div 2 forecast'!$D$299:$AF$375,'[13]Div 2 forecast'!N$298,FALSE)</f>
        <v>0</v>
      </c>
      <c r="M20" s="481">
        <f>VLOOKUP($B20, '[13]Div 2 forecast'!$D$299:$AF$375,'[13]Div 2 forecast'!O$298,FALSE)</f>
        <v>0</v>
      </c>
      <c r="N20" s="481">
        <f>VLOOKUP($B20, '[13]Div 2 forecast'!$D$299:$AF$375,'[13]Div 2 forecast'!P$298,FALSE)</f>
        <v>0</v>
      </c>
      <c r="O20" s="481">
        <f>VLOOKUP($B20, '[13]Div 2 forecast'!$D$299:$AF$375,'[13]Div 2 forecast'!Q$298,FALSE)</f>
        <v>0</v>
      </c>
      <c r="P20" s="95">
        <f t="shared" si="2"/>
        <v>0</v>
      </c>
      <c r="Q20" s="183"/>
    </row>
    <row r="21" spans="1:17">
      <c r="A21" s="1036">
        <f t="shared" si="1"/>
        <v>8</v>
      </c>
      <c r="B21" s="314">
        <v>8800</v>
      </c>
      <c r="C21" s="183" t="s">
        <v>911</v>
      </c>
      <c r="D21" s="481">
        <f>'[15]DIV 002 IS Activity'!L29</f>
        <v>995</v>
      </c>
      <c r="E21" s="481">
        <f>'[15]DIV 002 IS Activity'!M29</f>
        <v>29.34</v>
      </c>
      <c r="F21" s="481">
        <f>'[15]DIV 002 IS Activity'!N29</f>
        <v>0</v>
      </c>
      <c r="G21" s="481">
        <f>'[15]DIV 002 IS Activity'!O29</f>
        <v>0</v>
      </c>
      <c r="H21" s="481">
        <f>'[15]DIV 002 IS Activity'!P29</f>
        <v>0</v>
      </c>
      <c r="I21" s="481">
        <f>'[15]DIV 002 IS Activity'!Q29</f>
        <v>9883.1</v>
      </c>
      <c r="J21" s="481">
        <f>VLOOKUP($B21, '[13]Div 2 forecast'!$D$299:$AF$375,'[13]Div 2 forecast'!L$298,FALSE)</f>
        <v>2270.1507539182526</v>
      </c>
      <c r="K21" s="481">
        <f>VLOOKUP($B21, '[13]Div 2 forecast'!$D$299:$AF$375,'[13]Div 2 forecast'!M$298,FALSE)</f>
        <v>2258.4849773053293</v>
      </c>
      <c r="L21" s="481">
        <f>VLOOKUP($B21, '[13]Div 2 forecast'!$D$299:$AF$375,'[13]Div 2 forecast'!N$298,FALSE)</f>
        <v>2339.3280175560758</v>
      </c>
      <c r="M21" s="481">
        <f>VLOOKUP($B21, '[13]Div 2 forecast'!$D$299:$AF$375,'[13]Div 2 forecast'!O$298,FALSE)</f>
        <v>2324.7005232851293</v>
      </c>
      <c r="N21" s="481">
        <f>VLOOKUP($B21, '[13]Div 2 forecast'!$D$299:$AF$375,'[13]Div 2 forecast'!P$298,FALSE)</f>
        <v>2266.2034626409609</v>
      </c>
      <c r="O21" s="481">
        <f>VLOOKUP($B21, '[13]Div 2 forecast'!$D$299:$AF$375,'[13]Div 2 forecast'!Q$298,FALSE)</f>
        <v>20173.946705467268</v>
      </c>
      <c r="P21" s="95">
        <f t="shared" si="2"/>
        <v>42540.254440173019</v>
      </c>
      <c r="Q21" s="183"/>
    </row>
    <row r="22" spans="1:17">
      <c r="A22" s="1036">
        <f t="shared" si="1"/>
        <v>9</v>
      </c>
      <c r="B22" s="314">
        <v>8810</v>
      </c>
      <c r="C22" s="183" t="s">
        <v>912</v>
      </c>
      <c r="D22" s="481">
        <f>'[15]DIV 002 IS Activity'!L30</f>
        <v>838.42000000000007</v>
      </c>
      <c r="E22" s="481">
        <f>'[15]DIV 002 IS Activity'!M30</f>
        <v>1681.66</v>
      </c>
      <c r="F22" s="481">
        <f>'[15]DIV 002 IS Activity'!N30</f>
        <v>201.1400000000001</v>
      </c>
      <c r="G22" s="481">
        <f>'[15]DIV 002 IS Activity'!O30</f>
        <v>-16315.23</v>
      </c>
      <c r="H22" s="481">
        <f>'[15]DIV 002 IS Activity'!P30</f>
        <v>-592.26</v>
      </c>
      <c r="I22" s="481">
        <f>'[15]DIV 002 IS Activity'!Q30</f>
        <v>-362.24</v>
      </c>
      <c r="J22" s="481">
        <f>VLOOKUP($B22, '[13]Div 2 forecast'!$D$299:$AF$375,'[13]Div 2 forecast'!L$298,FALSE)</f>
        <v>-3040.132100437555</v>
      </c>
      <c r="K22" s="481">
        <f>VLOOKUP($B22, '[13]Div 2 forecast'!$D$299:$AF$375,'[13]Div 2 forecast'!M$298,FALSE)</f>
        <v>-3040.132100437555</v>
      </c>
      <c r="L22" s="481">
        <f>VLOOKUP($B22, '[13]Div 2 forecast'!$D$299:$AF$375,'[13]Div 2 forecast'!N$298,FALSE)</f>
        <v>-3045.7770193076108</v>
      </c>
      <c r="M22" s="481">
        <f>VLOOKUP($B22, '[13]Div 2 forecast'!$D$299:$AF$375,'[13]Div 2 forecast'!O$298,FALSE)</f>
        <v>-3040.132100437555</v>
      </c>
      <c r="N22" s="481">
        <f>VLOOKUP($B22, '[13]Div 2 forecast'!$D$299:$AF$375,'[13]Div 2 forecast'!P$298,FALSE)</f>
        <v>-3040.132100437555</v>
      </c>
      <c r="O22" s="481">
        <f>VLOOKUP($B22, '[13]Div 2 forecast'!$D$299:$AF$375,'[13]Div 2 forecast'!Q$298,FALSE)</f>
        <v>-3043.1187272246243</v>
      </c>
      <c r="P22" s="95">
        <f t="shared" si="2"/>
        <v>-32797.934148282453</v>
      </c>
      <c r="Q22" s="183"/>
    </row>
    <row r="23" spans="1:17">
      <c r="A23" s="1036">
        <f t="shared" si="1"/>
        <v>10</v>
      </c>
      <c r="B23" s="314">
        <v>8850</v>
      </c>
      <c r="C23" s="183" t="s">
        <v>913</v>
      </c>
      <c r="D23" s="481">
        <f>0</f>
        <v>0</v>
      </c>
      <c r="E23" s="481">
        <f>0</f>
        <v>0</v>
      </c>
      <c r="F23" s="481">
        <f>0</f>
        <v>0</v>
      </c>
      <c r="G23" s="481">
        <f>0</f>
        <v>0</v>
      </c>
      <c r="H23" s="481">
        <f>0</f>
        <v>0</v>
      </c>
      <c r="I23" s="481">
        <f>0</f>
        <v>0</v>
      </c>
      <c r="J23" s="481">
        <f>VLOOKUP($B23, '[13]Div 2 forecast'!$D$299:$AF$375,'[13]Div 2 forecast'!L$298,FALSE)</f>
        <v>0</v>
      </c>
      <c r="K23" s="481">
        <f>VLOOKUP($B23, '[13]Div 2 forecast'!$D$299:$AF$375,'[13]Div 2 forecast'!M$298,FALSE)</f>
        <v>0</v>
      </c>
      <c r="L23" s="481">
        <f>VLOOKUP($B23, '[13]Div 2 forecast'!$D$299:$AF$375,'[13]Div 2 forecast'!N$298,FALSE)</f>
        <v>0</v>
      </c>
      <c r="M23" s="481">
        <f>VLOOKUP($B23, '[13]Div 2 forecast'!$D$299:$AF$375,'[13]Div 2 forecast'!O$298,FALSE)</f>
        <v>0</v>
      </c>
      <c r="N23" s="481">
        <f>VLOOKUP($B23, '[13]Div 2 forecast'!$D$299:$AF$375,'[13]Div 2 forecast'!P$298,FALSE)</f>
        <v>0</v>
      </c>
      <c r="O23" s="481">
        <f>VLOOKUP($B23, '[13]Div 2 forecast'!$D$299:$AF$375,'[13]Div 2 forecast'!Q$298,FALSE)</f>
        <v>0</v>
      </c>
      <c r="P23" s="95">
        <f t="shared" si="2"/>
        <v>0</v>
      </c>
      <c r="Q23" s="183"/>
    </row>
    <row r="24" spans="1:17">
      <c r="A24" s="1036">
        <f t="shared" si="1"/>
        <v>11</v>
      </c>
      <c r="B24" s="314">
        <v>8900</v>
      </c>
      <c r="C24" s="72" t="s">
        <v>917</v>
      </c>
      <c r="D24" s="481">
        <f>0</f>
        <v>0</v>
      </c>
      <c r="E24" s="481">
        <f>0</f>
        <v>0</v>
      </c>
      <c r="F24" s="481">
        <f>0</f>
        <v>0</v>
      </c>
      <c r="G24" s="481">
        <f>0</f>
        <v>0</v>
      </c>
      <c r="H24" s="481">
        <f>0</f>
        <v>0</v>
      </c>
      <c r="I24" s="481">
        <f>0</f>
        <v>0</v>
      </c>
      <c r="J24" s="481">
        <f>VLOOKUP($B24, '[13]Div 2 forecast'!$D$299:$AF$375,'[13]Div 2 forecast'!L$298,FALSE)</f>
        <v>0</v>
      </c>
      <c r="K24" s="481">
        <f>VLOOKUP($B24, '[13]Div 2 forecast'!$D$299:$AF$375,'[13]Div 2 forecast'!M$298,FALSE)</f>
        <v>0</v>
      </c>
      <c r="L24" s="481">
        <f>VLOOKUP($B24, '[13]Div 2 forecast'!$D$299:$AF$375,'[13]Div 2 forecast'!N$298,FALSE)</f>
        <v>0</v>
      </c>
      <c r="M24" s="481">
        <f>VLOOKUP($B24, '[13]Div 2 forecast'!$D$299:$AF$375,'[13]Div 2 forecast'!O$298,FALSE)</f>
        <v>0</v>
      </c>
      <c r="N24" s="481">
        <f>VLOOKUP($B24, '[13]Div 2 forecast'!$D$299:$AF$375,'[13]Div 2 forecast'!P$298,FALSE)</f>
        <v>0</v>
      </c>
      <c r="O24" s="481">
        <f>VLOOKUP($B24, '[13]Div 2 forecast'!$D$299:$AF$375,'[13]Div 2 forecast'!Q$298,FALSE)</f>
        <v>0</v>
      </c>
      <c r="P24" s="95">
        <f t="shared" si="2"/>
        <v>0</v>
      </c>
      <c r="Q24" s="183"/>
    </row>
    <row r="25" spans="1:17">
      <c r="A25" s="1036">
        <f t="shared" si="1"/>
        <v>12</v>
      </c>
      <c r="B25" s="314">
        <v>9010</v>
      </c>
      <c r="C25" s="183" t="s">
        <v>180</v>
      </c>
      <c r="D25" s="481">
        <f>'[15]DIV 002 IS Activity'!L31</f>
        <v>0</v>
      </c>
      <c r="E25" s="481">
        <f>'[15]DIV 002 IS Activity'!M31</f>
        <v>0</v>
      </c>
      <c r="F25" s="481">
        <f>'[15]DIV 002 IS Activity'!N31</f>
        <v>0</v>
      </c>
      <c r="G25" s="481">
        <f>'[15]DIV 002 IS Activity'!O31</f>
        <v>0</v>
      </c>
      <c r="H25" s="481">
        <f>'[15]DIV 002 IS Activity'!P31</f>
        <v>0</v>
      </c>
      <c r="I25" s="481">
        <f>'[15]DIV 002 IS Activity'!Q31</f>
        <v>0</v>
      </c>
      <c r="J25" s="481">
        <f>VLOOKUP($B25, '[13]Div 2 forecast'!$D$299:$AF$375,'[13]Div 2 forecast'!L$298,FALSE)</f>
        <v>0</v>
      </c>
      <c r="K25" s="481">
        <f>VLOOKUP($B25, '[13]Div 2 forecast'!$D$299:$AF$375,'[13]Div 2 forecast'!M$298,FALSE)</f>
        <v>0</v>
      </c>
      <c r="L25" s="481">
        <f>VLOOKUP($B25, '[13]Div 2 forecast'!$D$299:$AF$375,'[13]Div 2 forecast'!N$298,FALSE)</f>
        <v>0</v>
      </c>
      <c r="M25" s="481">
        <f>VLOOKUP($B25, '[13]Div 2 forecast'!$D$299:$AF$375,'[13]Div 2 forecast'!O$298,FALSE)</f>
        <v>0</v>
      </c>
      <c r="N25" s="481">
        <f>VLOOKUP($B25, '[13]Div 2 forecast'!$D$299:$AF$375,'[13]Div 2 forecast'!P$298,FALSE)</f>
        <v>0</v>
      </c>
      <c r="O25" s="481">
        <f>VLOOKUP($B25, '[13]Div 2 forecast'!$D$299:$AF$375,'[13]Div 2 forecast'!Q$298,FALSE)</f>
        <v>0</v>
      </c>
      <c r="P25" s="95">
        <f t="shared" si="2"/>
        <v>0</v>
      </c>
      <c r="Q25" s="183"/>
    </row>
    <row r="26" spans="1:17">
      <c r="A26" s="1036">
        <f t="shared" si="1"/>
        <v>13</v>
      </c>
      <c r="B26" s="314">
        <v>9030</v>
      </c>
      <c r="C26" s="183" t="s">
        <v>926</v>
      </c>
      <c r="D26" s="481">
        <f>'[15]DIV 002 IS Activity'!L32</f>
        <v>9950.67</v>
      </c>
      <c r="E26" s="481">
        <f>'[15]DIV 002 IS Activity'!M32</f>
        <v>9680.4399999999987</v>
      </c>
      <c r="F26" s="481">
        <f>'[15]DIV 002 IS Activity'!N32</f>
        <v>10052.82</v>
      </c>
      <c r="G26" s="481">
        <f>'[15]DIV 002 IS Activity'!O32</f>
        <v>9579.11</v>
      </c>
      <c r="H26" s="481">
        <f>'[15]DIV 002 IS Activity'!P32</f>
        <v>7383.68</v>
      </c>
      <c r="I26" s="481">
        <f>'[15]DIV 002 IS Activity'!Q32</f>
        <v>6556.66</v>
      </c>
      <c r="J26" s="481">
        <f>VLOOKUP($B26, '[13]Div 2 forecast'!$D$299:$AF$375,'[13]Div 2 forecast'!L$298,FALSE)</f>
        <v>9015.2315691721578</v>
      </c>
      <c r="K26" s="481">
        <f>VLOOKUP($B26, '[13]Div 2 forecast'!$D$299:$AF$375,'[13]Div 2 forecast'!M$298,FALSE)</f>
        <v>8625.5142377056509</v>
      </c>
      <c r="L26" s="481">
        <f>VLOOKUP($B26, '[13]Div 2 forecast'!$D$299:$AF$375,'[13]Div 2 forecast'!N$298,FALSE)</f>
        <v>9463.6760423713749</v>
      </c>
      <c r="M26" s="481">
        <f>VLOOKUP($B26, '[13]Div 2 forecast'!$D$299:$AF$375,'[13]Div 2 forecast'!O$298,FALSE)</f>
        <v>9054.87896335398</v>
      </c>
      <c r="N26" s="481">
        <f>VLOOKUP($B26, '[13]Div 2 forecast'!$D$299:$AF$375,'[13]Div 2 forecast'!P$298,FALSE)</f>
        <v>9050.1052363575272</v>
      </c>
      <c r="O26" s="481">
        <f>VLOOKUP($B26, '[13]Div 2 forecast'!$D$299:$AF$375,'[13]Div 2 forecast'!Q$298,FALSE)</f>
        <v>9177.708866226676</v>
      </c>
      <c r="P26" s="95">
        <f t="shared" si="2"/>
        <v>107590.49491518737</v>
      </c>
      <c r="Q26" s="183"/>
    </row>
    <row r="27" spans="1:17">
      <c r="A27" s="1036">
        <f t="shared" si="1"/>
        <v>14</v>
      </c>
      <c r="B27" s="314">
        <v>9040</v>
      </c>
      <c r="C27" s="183" t="s">
        <v>927</v>
      </c>
      <c r="D27" s="481">
        <f>0</f>
        <v>0</v>
      </c>
      <c r="E27" s="481">
        <f>0</f>
        <v>0</v>
      </c>
      <c r="F27" s="481">
        <f>0</f>
        <v>0</v>
      </c>
      <c r="G27" s="481">
        <f>0</f>
        <v>0</v>
      </c>
      <c r="H27" s="481">
        <f>0</f>
        <v>0</v>
      </c>
      <c r="I27" s="481">
        <f>0</f>
        <v>0</v>
      </c>
      <c r="J27" s="481">
        <f>'[13]Div 2 forecast'!L277</f>
        <v>0</v>
      </c>
      <c r="K27" s="481">
        <f>'[13]Div 2 forecast'!M277</f>
        <v>0</v>
      </c>
      <c r="L27" s="481">
        <f>'[13]Div 2 forecast'!N277</f>
        <v>0</v>
      </c>
      <c r="M27" s="481">
        <f>'[13]Div 2 forecast'!O277</f>
        <v>0</v>
      </c>
      <c r="N27" s="481">
        <f>'[13]Div 2 forecast'!P277</f>
        <v>0</v>
      </c>
      <c r="O27" s="481">
        <f>'[13]Div 2 forecast'!Q277</f>
        <v>20493544</v>
      </c>
      <c r="P27" s="95">
        <f t="shared" si="2"/>
        <v>20493544</v>
      </c>
      <c r="Q27" s="183"/>
    </row>
    <row r="28" spans="1:17">
      <c r="A28" s="1036">
        <f t="shared" si="1"/>
        <v>15</v>
      </c>
      <c r="B28" s="314">
        <v>9100</v>
      </c>
      <c r="C28" s="183" t="s">
        <v>929</v>
      </c>
      <c r="D28" s="481">
        <f>'[15]DIV 002 IS Activity'!L33</f>
        <v>0</v>
      </c>
      <c r="E28" s="481">
        <f>'[15]DIV 002 IS Activity'!M33</f>
        <v>0</v>
      </c>
      <c r="F28" s="481">
        <f>'[15]DIV 002 IS Activity'!N33</f>
        <v>0</v>
      </c>
      <c r="G28" s="481">
        <f>'[15]DIV 002 IS Activity'!O33</f>
        <v>0</v>
      </c>
      <c r="H28" s="481">
        <f>'[15]DIV 002 IS Activity'!P33</f>
        <v>0</v>
      </c>
      <c r="I28" s="481">
        <f>'[15]DIV 002 IS Activity'!Q33</f>
        <v>0</v>
      </c>
      <c r="J28" s="481">
        <f>VLOOKUP($B28, '[13]Div 2 forecast'!$D$299:$AF$375,'[13]Div 2 forecast'!L$298,FALSE)</f>
        <v>0</v>
      </c>
      <c r="K28" s="481">
        <f>VLOOKUP($B28, '[13]Div 2 forecast'!$D$299:$AF$375,'[13]Div 2 forecast'!M$298,FALSE)</f>
        <v>0</v>
      </c>
      <c r="L28" s="481">
        <f>VLOOKUP($B28, '[13]Div 2 forecast'!$D$299:$AF$375,'[13]Div 2 forecast'!N$298,FALSE)</f>
        <v>0</v>
      </c>
      <c r="M28" s="481">
        <f>VLOOKUP($B28, '[13]Div 2 forecast'!$D$299:$AF$375,'[13]Div 2 forecast'!O$298,FALSE)</f>
        <v>0</v>
      </c>
      <c r="N28" s="481">
        <f>VLOOKUP($B28, '[13]Div 2 forecast'!$D$299:$AF$375,'[13]Div 2 forecast'!P$298,FALSE)</f>
        <v>0</v>
      </c>
      <c r="O28" s="481">
        <f>VLOOKUP($B28, '[13]Div 2 forecast'!$D$299:$AF$375,'[13]Div 2 forecast'!Q$298,FALSE)</f>
        <v>0</v>
      </c>
      <c r="P28" s="95">
        <f t="shared" si="2"/>
        <v>0</v>
      </c>
      <c r="Q28" s="183"/>
    </row>
    <row r="29" spans="1:17">
      <c r="A29" s="1036">
        <f t="shared" si="1"/>
        <v>16</v>
      </c>
      <c r="B29" s="314">
        <v>9120</v>
      </c>
      <c r="C29" s="95" t="s">
        <v>931</v>
      </c>
      <c r="D29" s="481">
        <f>'[15]DIV 002 IS Activity'!L34</f>
        <v>16725.25</v>
      </c>
      <c r="E29" s="481">
        <f>'[15]DIV 002 IS Activity'!M34</f>
        <v>13023.16</v>
      </c>
      <c r="F29" s="481">
        <f>'[15]DIV 002 IS Activity'!N34</f>
        <v>20634.500000000004</v>
      </c>
      <c r="G29" s="481">
        <f>'[15]DIV 002 IS Activity'!O34</f>
        <v>10106.09</v>
      </c>
      <c r="H29" s="481">
        <f>'[15]DIV 002 IS Activity'!P34</f>
        <v>10279.459999999999</v>
      </c>
      <c r="I29" s="481">
        <f>'[15]DIV 002 IS Activity'!Q34</f>
        <v>9867.66</v>
      </c>
      <c r="J29" s="481">
        <f>VLOOKUP($B29, '[13]Div 2 forecast'!$D$299:$AF$375,'[13]Div 2 forecast'!L$298,FALSE)</f>
        <v>15148.158187377789</v>
      </c>
      <c r="K29" s="481">
        <f>VLOOKUP($B29, '[13]Div 2 forecast'!$D$299:$AF$375,'[13]Div 2 forecast'!M$298,FALSE)</f>
        <v>16138.248265882978</v>
      </c>
      <c r="L29" s="481">
        <f>VLOOKUP($B29, '[13]Div 2 forecast'!$D$299:$AF$375,'[13]Div 2 forecast'!N$298,FALSE)</f>
        <v>15141.919408882181</v>
      </c>
      <c r="M29" s="481">
        <f>VLOOKUP($B29, '[13]Div 2 forecast'!$D$299:$AF$375,'[13]Div 2 forecast'!O$298,FALSE)</f>
        <v>17524.905820454333</v>
      </c>
      <c r="N29" s="481">
        <f>VLOOKUP($B29, '[13]Div 2 forecast'!$D$299:$AF$375,'[13]Div 2 forecast'!P$298,FALSE)</f>
        <v>16532.988900916334</v>
      </c>
      <c r="O29" s="481">
        <f>VLOOKUP($B29, '[13]Div 2 forecast'!$D$299:$AF$375,'[13]Div 2 forecast'!Q$298,FALSE)</f>
        <v>17511.066391107463</v>
      </c>
      <c r="P29" s="95">
        <f t="shared" si="2"/>
        <v>178633.40697462106</v>
      </c>
      <c r="Q29" s="183"/>
    </row>
    <row r="30" spans="1:17">
      <c r="A30" s="1036">
        <f t="shared" si="1"/>
        <v>17</v>
      </c>
      <c r="B30" s="314">
        <v>9160</v>
      </c>
      <c r="C30" s="72" t="s">
        <v>1525</v>
      </c>
      <c r="D30" s="481">
        <f>0</f>
        <v>0</v>
      </c>
      <c r="E30" s="481">
        <f>0</f>
        <v>0</v>
      </c>
      <c r="F30" s="481">
        <f>0</f>
        <v>0</v>
      </c>
      <c r="G30" s="481">
        <f>0</f>
        <v>0</v>
      </c>
      <c r="H30" s="481">
        <f>0</f>
        <v>0</v>
      </c>
      <c r="I30" s="481">
        <f>0</f>
        <v>0</v>
      </c>
      <c r="J30" s="481">
        <f>VLOOKUP($B30, '[13]Div 2 forecast'!$D$299:$AF$375,'[13]Div 2 forecast'!L$298,FALSE)</f>
        <v>0</v>
      </c>
      <c r="K30" s="481">
        <f>VLOOKUP($B30, '[13]Div 2 forecast'!$D$299:$AF$375,'[13]Div 2 forecast'!M$298,FALSE)</f>
        <v>0</v>
      </c>
      <c r="L30" s="481">
        <f>VLOOKUP($B30, '[13]Div 2 forecast'!$D$299:$AF$375,'[13]Div 2 forecast'!N$298,FALSE)</f>
        <v>0</v>
      </c>
      <c r="M30" s="481">
        <f>VLOOKUP($B30, '[13]Div 2 forecast'!$D$299:$AF$375,'[13]Div 2 forecast'!O$298,FALSE)</f>
        <v>0</v>
      </c>
      <c r="N30" s="481">
        <f>VLOOKUP($B30, '[13]Div 2 forecast'!$D$299:$AF$375,'[13]Div 2 forecast'!P$298,FALSE)</f>
        <v>0</v>
      </c>
      <c r="O30" s="481">
        <f>VLOOKUP($B30, '[13]Div 2 forecast'!$D$299:$AF$375,'[13]Div 2 forecast'!Q$298,FALSE)</f>
        <v>0</v>
      </c>
      <c r="P30" s="95">
        <f t="shared" si="2"/>
        <v>0</v>
      </c>
      <c r="Q30" s="183"/>
    </row>
    <row r="31" spans="1:17">
      <c r="A31" s="1036">
        <f t="shared" si="1"/>
        <v>18</v>
      </c>
      <c r="B31" s="314">
        <v>9200</v>
      </c>
      <c r="C31" s="183" t="s">
        <v>181</v>
      </c>
      <c r="D31" s="481">
        <f>'[15]DIV 002 IS Activity'!L35</f>
        <v>-674500.99999999825</v>
      </c>
      <c r="E31" s="481">
        <f>'[15]DIV 002 IS Activity'!M35</f>
        <v>-3232736.22</v>
      </c>
      <c r="F31" s="481">
        <f>'[15]DIV 002 IS Activity'!N35</f>
        <v>-1373917.7499999995</v>
      </c>
      <c r="G31" s="481">
        <f>'[15]DIV 002 IS Activity'!O35</f>
        <v>-2933233.92</v>
      </c>
      <c r="H31" s="481">
        <f>'[15]DIV 002 IS Activity'!P35</f>
        <v>-3189449.8599999994</v>
      </c>
      <c r="I31" s="481">
        <f>'[15]DIV 002 IS Activity'!Q35</f>
        <v>-2224757.7499999986</v>
      </c>
      <c r="J31" s="481">
        <f>VLOOKUP($B31, '[13]Div 2 forecast'!$D$299:$AF$375,'[13]Div 2 forecast'!L$298,FALSE)</f>
        <v>-3538153.0737666846</v>
      </c>
      <c r="K31" s="481">
        <f>VLOOKUP($B31, '[13]Div 2 forecast'!$D$299:$AF$375,'[13]Div 2 forecast'!M$298,FALSE)</f>
        <v>-4918214.2557761436</v>
      </c>
      <c r="L31" s="481">
        <f>VLOOKUP($B31, '[13]Div 2 forecast'!$D$299:$AF$375,'[13]Div 2 forecast'!N$298,FALSE)</f>
        <v>-3555013.7601088076</v>
      </c>
      <c r="M31" s="481">
        <f>VLOOKUP($B31, '[13]Div 2 forecast'!$D$299:$AF$375,'[13]Div 2 forecast'!O$298,FALSE)</f>
        <v>-3954091.1833593673</v>
      </c>
      <c r="N31" s="481">
        <f>VLOOKUP($B31, '[13]Div 2 forecast'!$D$299:$AF$375,'[13]Div 2 forecast'!P$298,FALSE)</f>
        <v>-3024910.541044883</v>
      </c>
      <c r="O31" s="481">
        <f>VLOOKUP($B31, '[13]Div 2 forecast'!$D$299:$AF$375,'[13]Div 2 forecast'!Q$298,FALSE)</f>
        <v>-3131627.9860983384</v>
      </c>
      <c r="P31" s="95">
        <f t="shared" si="2"/>
        <v>-35750607.300154217</v>
      </c>
      <c r="Q31" s="183"/>
    </row>
    <row r="32" spans="1:17">
      <c r="A32" s="1036">
        <f t="shared" si="1"/>
        <v>19</v>
      </c>
      <c r="B32" s="314">
        <v>9210</v>
      </c>
      <c r="C32" s="183" t="s">
        <v>933</v>
      </c>
      <c r="D32" s="481">
        <f>'[15]DIV 002 IS Activity'!L36</f>
        <v>2659290.8800000004</v>
      </c>
      <c r="E32" s="481">
        <f>'[15]DIV 002 IS Activity'!M36</f>
        <v>2536561.1399999987</v>
      </c>
      <c r="F32" s="481">
        <f>'[15]DIV 002 IS Activity'!N36</f>
        <v>2622285.38</v>
      </c>
      <c r="G32" s="481">
        <f>'[15]DIV 002 IS Activity'!O36</f>
        <v>2388729.63</v>
      </c>
      <c r="H32" s="481">
        <f>'[15]DIV 002 IS Activity'!P36</f>
        <v>2559956.0300000003</v>
      </c>
      <c r="I32" s="481">
        <f>'[15]DIV 002 IS Activity'!Q36</f>
        <v>2631300.81</v>
      </c>
      <c r="J32" s="481">
        <f>VLOOKUP($B32, '[13]Div 2 forecast'!$D$299:$AF$375,'[13]Div 2 forecast'!L$298,FALSE)</f>
        <v>3592791.722185717</v>
      </c>
      <c r="K32" s="481">
        <f>VLOOKUP($B32, '[13]Div 2 forecast'!$D$299:$AF$375,'[13]Div 2 forecast'!M$298,FALSE)</f>
        <v>3360712.1266616024</v>
      </c>
      <c r="L32" s="481">
        <f>VLOOKUP($B32, '[13]Div 2 forecast'!$D$299:$AF$375,'[13]Div 2 forecast'!N$298,FALSE)</f>
        <v>3416733.722998878</v>
      </c>
      <c r="M32" s="481">
        <f>VLOOKUP($B32, '[13]Div 2 forecast'!$D$299:$AF$375,'[13]Div 2 forecast'!O$298,FALSE)</f>
        <v>3385039.199422481</v>
      </c>
      <c r="N32" s="481">
        <f>VLOOKUP($B32, '[13]Div 2 forecast'!$D$299:$AF$375,'[13]Div 2 forecast'!P$298,FALSE)</f>
        <v>3321938.7189634759</v>
      </c>
      <c r="O32" s="481">
        <f>VLOOKUP($B32, '[13]Div 2 forecast'!$D$299:$AF$375,'[13]Div 2 forecast'!Q$298,FALSE)</f>
        <v>5023503.1415613638</v>
      </c>
      <c r="P32" s="95">
        <f t="shared" si="2"/>
        <v>37498842.501793526</v>
      </c>
      <c r="Q32" s="183"/>
    </row>
    <row r="33" spans="1:18">
      <c r="A33" s="1036">
        <f t="shared" si="1"/>
        <v>20</v>
      </c>
      <c r="B33" s="314">
        <v>9220</v>
      </c>
      <c r="C33" s="183" t="s">
        <v>934</v>
      </c>
      <c r="D33" s="481">
        <f>'[15]DIV 002 IS Activity'!L37</f>
        <v>-9953031.4299999997</v>
      </c>
      <c r="E33" s="481">
        <f>'[15]DIV 002 IS Activity'!M37</f>
        <v>-6233532.1899999985</v>
      </c>
      <c r="F33" s="481">
        <f>'[15]DIV 002 IS Activity'!N37</f>
        <v>-8710901.9600000028</v>
      </c>
      <c r="G33" s="481">
        <f>'[15]DIV 002 IS Activity'!O37</f>
        <v>-8416254.8599999975</v>
      </c>
      <c r="H33" s="481">
        <f>'[15]DIV 002 IS Activity'!P37</f>
        <v>-7515000.8000000017</v>
      </c>
      <c r="I33" s="481">
        <f>'[15]DIV 002 IS Activity'!Q37</f>
        <v>-11872058.930000002</v>
      </c>
      <c r="J33" s="1130">
        <f t="shared" ref="J33:O33" si="3">-(SUM(J14:J32,J34:J41))</f>
        <v>-9040891.8499999959</v>
      </c>
      <c r="K33" s="1130">
        <f t="shared" si="3"/>
        <v>-11991043.059999995</v>
      </c>
      <c r="L33" s="1130">
        <f t="shared" si="3"/>
        <v>-9647400.9099999946</v>
      </c>
      <c r="M33" s="1130">
        <f t="shared" si="3"/>
        <v>-10511624.709999995</v>
      </c>
      <c r="N33" s="1130">
        <f t="shared" si="3"/>
        <v>-8669383.709999999</v>
      </c>
      <c r="O33" s="1130">
        <f t="shared" si="3"/>
        <v>-41786801.18999999</v>
      </c>
      <c r="P33" s="95">
        <f t="shared" si="2"/>
        <v>-144347925.59999996</v>
      </c>
      <c r="Q33" s="544"/>
    </row>
    <row r="34" spans="1:18">
      <c r="A34" s="1036">
        <f t="shared" si="1"/>
        <v>21</v>
      </c>
      <c r="B34" s="314">
        <v>9230</v>
      </c>
      <c r="C34" s="183" t="s">
        <v>935</v>
      </c>
      <c r="D34" s="481">
        <f>'[15]DIV 002 IS Activity'!L38</f>
        <v>894023.3600000001</v>
      </c>
      <c r="E34" s="481">
        <f>'[15]DIV 002 IS Activity'!M38</f>
        <v>854946.47000000009</v>
      </c>
      <c r="F34" s="481">
        <f>'[15]DIV 002 IS Activity'!N38</f>
        <v>826624.74</v>
      </c>
      <c r="G34" s="481">
        <f>'[15]DIV 002 IS Activity'!O38</f>
        <v>847252.16</v>
      </c>
      <c r="H34" s="481">
        <f>'[15]DIV 002 IS Activity'!P38</f>
        <v>1176194.7700000003</v>
      </c>
      <c r="I34" s="481">
        <f>'[15]DIV 002 IS Activity'!Q38</f>
        <v>1062100.5799999998</v>
      </c>
      <c r="J34" s="481">
        <f>VLOOKUP($B34, '[13]Div 2 forecast'!$D$299:$AF$375,'[13]Div 2 forecast'!L$298,FALSE)</f>
        <v>1213250.0711173653</v>
      </c>
      <c r="K34" s="481">
        <f>VLOOKUP($B34, '[13]Div 2 forecast'!$D$299:$AF$375,'[13]Div 2 forecast'!M$298,FALSE)</f>
        <v>1261432.0947888519</v>
      </c>
      <c r="L34" s="481">
        <f>VLOOKUP($B34, '[13]Div 2 forecast'!$D$299:$AF$375,'[13]Div 2 forecast'!N$298,FALSE)</f>
        <v>1261812.8011866785</v>
      </c>
      <c r="M34" s="481">
        <f>VLOOKUP($B34, '[13]Div 2 forecast'!$D$299:$AF$375,'[13]Div 2 forecast'!O$298,FALSE)</f>
        <v>1270294.8221298491</v>
      </c>
      <c r="N34" s="481">
        <f>VLOOKUP($B34, '[13]Div 2 forecast'!$D$299:$AF$375,'[13]Div 2 forecast'!P$298,FALSE)</f>
        <v>1210032.3585461036</v>
      </c>
      <c r="O34" s="481">
        <f>VLOOKUP($B34, '[13]Div 2 forecast'!$D$299:$AF$375,'[13]Div 2 forecast'!Q$298,FALSE)</f>
        <v>11005989.81530362</v>
      </c>
      <c r="P34" s="95">
        <f t="shared" si="2"/>
        <v>22883954.04307247</v>
      </c>
      <c r="Q34" s="183"/>
    </row>
    <row r="35" spans="1:18">
      <c r="A35" s="1036">
        <f t="shared" si="1"/>
        <v>22</v>
      </c>
      <c r="B35" s="314">
        <v>9240</v>
      </c>
      <c r="C35" s="183" t="s">
        <v>936</v>
      </c>
      <c r="D35" s="481">
        <f>'[15]DIV 002 IS Activity'!L39</f>
        <v>9023.86</v>
      </c>
      <c r="E35" s="481">
        <f>'[15]DIV 002 IS Activity'!M39</f>
        <v>9023.86</v>
      </c>
      <c r="F35" s="481">
        <f>'[15]DIV 002 IS Activity'!N39</f>
        <v>9032.4599999999991</v>
      </c>
      <c r="G35" s="481">
        <f>'[15]DIV 002 IS Activity'!O39</f>
        <v>9023.86</v>
      </c>
      <c r="H35" s="481">
        <f>'[15]DIV 002 IS Activity'!P39</f>
        <v>9023.86</v>
      </c>
      <c r="I35" s="481">
        <f>'[15]DIV 002 IS Activity'!Q39</f>
        <v>9717.19</v>
      </c>
      <c r="J35" s="481">
        <f>VLOOKUP($B35, '[13]Div 2 forecast'!$D$299:$AF$375,'[13]Div 2 forecast'!L$298,FALSE)</f>
        <v>10825.165236247549</v>
      </c>
      <c r="K35" s="481">
        <f>VLOOKUP($B35, '[13]Div 2 forecast'!$D$299:$AF$375,'[13]Div 2 forecast'!M$298,FALSE)</f>
        <v>10825.165236247549</v>
      </c>
      <c r="L35" s="481">
        <f>VLOOKUP($B35, '[13]Div 2 forecast'!$D$299:$AF$375,'[13]Div 2 forecast'!N$298,FALSE)</f>
        <v>10825.165236247549</v>
      </c>
      <c r="M35" s="481">
        <f>VLOOKUP($B35, '[13]Div 2 forecast'!$D$299:$AF$375,'[13]Div 2 forecast'!O$298,FALSE)</f>
        <v>10825.165236247549</v>
      </c>
      <c r="N35" s="481">
        <f>VLOOKUP($B35, '[13]Div 2 forecast'!$D$299:$AF$375,'[13]Div 2 forecast'!P$298,FALSE)</f>
        <v>10900.039603801652</v>
      </c>
      <c r="O35" s="481">
        <f>VLOOKUP($B35, '[13]Div 2 forecast'!$D$299:$AF$375,'[13]Div 2 forecast'!Q$298,FALSE)</f>
        <v>10825.165236247549</v>
      </c>
      <c r="P35" s="95">
        <f t="shared" si="2"/>
        <v>119870.95578503938</v>
      </c>
      <c r="Q35" s="183"/>
    </row>
    <row r="36" spans="1:18">
      <c r="A36" s="1036">
        <f t="shared" si="1"/>
        <v>23</v>
      </c>
      <c r="B36" s="314">
        <v>9250</v>
      </c>
      <c r="C36" s="183" t="s">
        <v>937</v>
      </c>
      <c r="D36" s="481">
        <f>'[15]DIV 002 IS Activity'!L40</f>
        <v>2756598.2199999997</v>
      </c>
      <c r="E36" s="481">
        <f>'[15]DIV 002 IS Activity'!M40</f>
        <v>2294190.9099999997</v>
      </c>
      <c r="F36" s="481">
        <f>'[15]DIV 002 IS Activity'!N40</f>
        <v>2747643.0100000002</v>
      </c>
      <c r="G36" s="481">
        <f>'[15]DIV 002 IS Activity'!O40</f>
        <v>2770998.27</v>
      </c>
      <c r="H36" s="481">
        <f>'[15]DIV 002 IS Activity'!P40</f>
        <v>2766989.4800000004</v>
      </c>
      <c r="I36" s="481">
        <f>'[15]DIV 002 IS Activity'!Q40</f>
        <v>103137.16000000015</v>
      </c>
      <c r="J36" s="481">
        <f>VLOOKUP($B36, '[13]Div 2 forecast'!$D$299:$AF$375,'[13]Div 2 forecast'!L$298,FALSE)</f>
        <v>2653093.1582426662</v>
      </c>
      <c r="K36" s="481">
        <f>VLOOKUP($B36, '[13]Div 2 forecast'!$D$299:$AF$375,'[13]Div 2 forecast'!M$298,FALSE)</f>
        <v>2652772.1697166492</v>
      </c>
      <c r="L36" s="481">
        <f>VLOOKUP($B36, '[13]Div 2 forecast'!$D$299:$AF$375,'[13]Div 2 forecast'!N$298,FALSE)</f>
        <v>2653102.7415367938</v>
      </c>
      <c r="M36" s="481">
        <f>VLOOKUP($B36, '[13]Div 2 forecast'!$D$299:$AF$375,'[13]Div 2 forecast'!O$298,FALSE)</f>
        <v>2653118.9418594711</v>
      </c>
      <c r="N36" s="481">
        <f>VLOOKUP($B36, '[13]Div 2 forecast'!$D$299:$AF$375,'[13]Div 2 forecast'!P$298,FALSE)</f>
        <v>2671418.137758621</v>
      </c>
      <c r="O36" s="481">
        <f>VLOOKUP($B36, '[13]Div 2 forecast'!$D$299:$AF$375,'[13]Div 2 forecast'!Q$298,FALSE)</f>
        <v>2653118.8990754327</v>
      </c>
      <c r="P36" s="95">
        <f t="shared" si="2"/>
        <v>29376181.098189633</v>
      </c>
      <c r="Q36" s="183"/>
    </row>
    <row r="37" spans="1:18">
      <c r="A37" s="1036">
        <f t="shared" si="1"/>
        <v>24</v>
      </c>
      <c r="B37" s="314">
        <v>9260</v>
      </c>
      <c r="C37" s="183" t="s">
        <v>938</v>
      </c>
      <c r="D37" s="481">
        <f>'[15]DIV 002 IS Activity'!L41</f>
        <v>2672275.7399999998</v>
      </c>
      <c r="E37" s="481">
        <f>'[15]DIV 002 IS Activity'!M41</f>
        <v>2744975.4899999993</v>
      </c>
      <c r="F37" s="481">
        <f>'[15]DIV 002 IS Activity'!N41</f>
        <v>2887846.8699999996</v>
      </c>
      <c r="G37" s="481">
        <f>'[15]DIV 002 IS Activity'!O41</f>
        <v>4090987.3899999997</v>
      </c>
      <c r="H37" s="481">
        <f>'[15]DIV 002 IS Activity'!P41</f>
        <v>3279883.51</v>
      </c>
      <c r="I37" s="481">
        <f>'[15]DIV 002 IS Activity'!Q41</f>
        <v>5373014.1700000009</v>
      </c>
      <c r="J37" s="481">
        <f>VLOOKUP($B37, '[13]Div 2 forecast'!$D$299:$AF$375,'[13]Div 2 forecast'!L$298,FALSE)</f>
        <v>4302453.8671469083</v>
      </c>
      <c r="K37" s="481">
        <f>VLOOKUP($B37, '[13]Div 2 forecast'!$D$299:$AF$375,'[13]Div 2 forecast'!M$298,FALSE)</f>
        <v>8814611.0692081619</v>
      </c>
      <c r="L37" s="481">
        <f>VLOOKUP($B37, '[13]Div 2 forecast'!$D$299:$AF$375,'[13]Div 2 forecast'!N$298,FALSE)</f>
        <v>4472114.3906851467</v>
      </c>
      <c r="M37" s="481">
        <f>VLOOKUP($B37, '[13]Div 2 forecast'!$D$299:$AF$375,'[13]Div 2 forecast'!O$298,FALSE)</f>
        <v>6334503.9637681404</v>
      </c>
      <c r="N37" s="481">
        <f>VLOOKUP($B37, '[13]Div 2 forecast'!$D$299:$AF$375,'[13]Div 2 forecast'!P$298,FALSE)</f>
        <v>3670463.7083556219</v>
      </c>
      <c r="O37" s="481">
        <f>VLOOKUP($B37, '[13]Div 2 forecast'!$D$299:$AF$375,'[13]Div 2 forecast'!Q$298,FALSE)</f>
        <v>3761062.1296100719</v>
      </c>
      <c r="P37" s="95">
        <f t="shared" si="2"/>
        <v>52404192.298774049</v>
      </c>
      <c r="Q37" s="183"/>
    </row>
    <row r="38" spans="1:18">
      <c r="A38" s="1036">
        <f t="shared" si="1"/>
        <v>25</v>
      </c>
      <c r="B38" s="314">
        <v>9301</v>
      </c>
      <c r="C38" s="183" t="s">
        <v>182</v>
      </c>
      <c r="D38" s="481">
        <f>0</f>
        <v>0</v>
      </c>
      <c r="E38" s="481">
        <f>0</f>
        <v>0</v>
      </c>
      <c r="F38" s="481">
        <f>0</f>
        <v>0</v>
      </c>
      <c r="G38" s="481">
        <f>0</f>
        <v>0</v>
      </c>
      <c r="H38" s="481">
        <f>0</f>
        <v>0</v>
      </c>
      <c r="I38" s="481">
        <f>0</f>
        <v>0</v>
      </c>
      <c r="J38" s="481">
        <f>VLOOKUP($B38, '[13]Div 2 forecast'!$D$299:$AF$375,'[13]Div 2 forecast'!L$298,FALSE)</f>
        <v>0</v>
      </c>
      <c r="K38" s="481">
        <f>VLOOKUP($B38, '[13]Div 2 forecast'!$D$299:$AF$375,'[13]Div 2 forecast'!M$298,FALSE)</f>
        <v>0</v>
      </c>
      <c r="L38" s="481">
        <f>VLOOKUP($B38, '[13]Div 2 forecast'!$D$299:$AF$375,'[13]Div 2 forecast'!N$298,FALSE)</f>
        <v>0</v>
      </c>
      <c r="M38" s="481">
        <f>VLOOKUP($B38, '[13]Div 2 forecast'!$D$299:$AF$375,'[13]Div 2 forecast'!O$298,FALSE)</f>
        <v>0</v>
      </c>
      <c r="N38" s="481">
        <f>VLOOKUP($B38, '[13]Div 2 forecast'!$D$299:$AF$375,'[13]Div 2 forecast'!P$298,FALSE)</f>
        <v>0</v>
      </c>
      <c r="O38" s="481">
        <f>VLOOKUP($B38, '[13]Div 2 forecast'!$D$299:$AF$375,'[13]Div 2 forecast'!Q$298,FALSE)</f>
        <v>0</v>
      </c>
      <c r="P38" s="95">
        <f t="shared" si="2"/>
        <v>0</v>
      </c>
      <c r="Q38" s="183"/>
    </row>
    <row r="39" spans="1:18">
      <c r="A39" s="1036">
        <f t="shared" si="1"/>
        <v>26</v>
      </c>
      <c r="B39" s="314">
        <v>9302</v>
      </c>
      <c r="C39" s="183" t="s">
        <v>849</v>
      </c>
      <c r="D39" s="481">
        <f>'[15]DIV 002 IS Activity'!L42</f>
        <v>549726.27</v>
      </c>
      <c r="E39" s="481">
        <f>'[15]DIV 002 IS Activity'!M42</f>
        <v>112310.48000000001</v>
      </c>
      <c r="F39" s="481">
        <f>'[15]DIV 002 IS Activity'!N42</f>
        <v>547447.46000000008</v>
      </c>
      <c r="G39" s="481">
        <f>'[15]DIV 002 IS Activity'!O42</f>
        <v>687802.95</v>
      </c>
      <c r="H39" s="481">
        <f>'[15]DIV 002 IS Activity'!P42</f>
        <v>523819.50000000006</v>
      </c>
      <c r="I39" s="481">
        <f>'[15]DIV 002 IS Activity'!Q42</f>
        <v>2145254.2600000002</v>
      </c>
      <c r="J39" s="481">
        <f>VLOOKUP($B39, '[13]Div 2 forecast'!$D$299:$AF$375,'[13]Div 2 forecast'!L$298,FALSE)</f>
        <v>214879.02444943885</v>
      </c>
      <c r="K39" s="481">
        <f>VLOOKUP($B39, '[13]Div 2 forecast'!$D$299:$AF$375,'[13]Div 2 forecast'!M$298,FALSE)</f>
        <v>217213.60353239247</v>
      </c>
      <c r="L39" s="481">
        <f>VLOOKUP($B39, '[13]Div 2 forecast'!$D$299:$AF$375,'[13]Div 2 forecast'!N$298,FALSE)</f>
        <v>794456.33155038464</v>
      </c>
      <c r="M39" s="481">
        <f>VLOOKUP($B39, '[13]Div 2 forecast'!$D$299:$AF$375,'[13]Div 2 forecast'!O$298,FALSE)</f>
        <v>217756.78776682273</v>
      </c>
      <c r="N39" s="481">
        <f>VLOOKUP($B39, '[13]Div 2 forecast'!$D$299:$AF$375,'[13]Div 2 forecast'!P$298,FALSE)</f>
        <v>217254.0450031863</v>
      </c>
      <c r="O39" s="481">
        <f>VLOOKUP($B39, '[13]Div 2 forecast'!$D$299:$AF$375,'[13]Div 2 forecast'!Q$298,FALSE)</f>
        <v>1283872.2026455146</v>
      </c>
      <c r="P39" s="95">
        <f t="shared" si="2"/>
        <v>7511792.9149477389</v>
      </c>
      <c r="Q39" s="183"/>
    </row>
    <row r="40" spans="1:18">
      <c r="A40" s="1036">
        <f t="shared" si="1"/>
        <v>27</v>
      </c>
      <c r="B40" s="314">
        <v>9310</v>
      </c>
      <c r="C40" s="183" t="s">
        <v>183</v>
      </c>
      <c r="D40" s="481">
        <f>'[15]DIV 002 IS Activity'!L43</f>
        <v>419451.93000000005</v>
      </c>
      <c r="E40" s="481">
        <f>'[15]DIV 002 IS Activity'!M43</f>
        <v>405841.35</v>
      </c>
      <c r="F40" s="481">
        <f>'[15]DIV 002 IS Activity'!N43</f>
        <v>414345.16999999987</v>
      </c>
      <c r="G40" s="481">
        <f>'[15]DIV 002 IS Activity'!O43</f>
        <v>406290.9499999999</v>
      </c>
      <c r="H40" s="481">
        <f>'[15]DIV 002 IS Activity'!P43</f>
        <v>433844.62</v>
      </c>
      <c r="I40" s="481">
        <f>'[15]DIV 002 IS Activity'!Q43</f>
        <v>371906.23999999993</v>
      </c>
      <c r="J40" s="481">
        <f>VLOOKUP($B40, '[13]Div 2 forecast'!$D$299:$AF$375,'[13]Div 2 forecast'!L$298,FALSE)</f>
        <v>471795.44015733991</v>
      </c>
      <c r="K40" s="481">
        <f>VLOOKUP($B40, '[13]Div 2 forecast'!$D$299:$AF$375,'[13]Div 2 forecast'!M$298,FALSE)</f>
        <v>471807.23736069928</v>
      </c>
      <c r="L40" s="481">
        <f>VLOOKUP($B40, '[13]Div 2 forecast'!$D$299:$AF$375,'[13]Div 2 forecast'!N$298,FALSE)</f>
        <v>472408.38179578341</v>
      </c>
      <c r="M40" s="481">
        <f>VLOOKUP($B40, '[13]Div 2 forecast'!$D$299:$AF$375,'[13]Div 2 forecast'!O$298,FALSE)</f>
        <v>471925.0775955026</v>
      </c>
      <c r="N40" s="481">
        <f>VLOOKUP($B40, '[13]Div 2 forecast'!$D$299:$AF$375,'[13]Div 2 forecast'!P$298,FALSE)</f>
        <v>471802.07539647486</v>
      </c>
      <c r="O40" s="481">
        <f>VLOOKUP($B40, '[13]Div 2 forecast'!$D$299:$AF$375,'[13]Div 2 forecast'!Q$298,FALSE)</f>
        <v>509032.43427796412</v>
      </c>
      <c r="P40" s="95">
        <f t="shared" si="2"/>
        <v>5320450.9065837627</v>
      </c>
      <c r="Q40" s="183"/>
    </row>
    <row r="41" spans="1:18">
      <c r="A41" s="1036">
        <f t="shared" si="1"/>
        <v>28</v>
      </c>
      <c r="B41" s="314">
        <v>9320</v>
      </c>
      <c r="C41" s="183" t="s">
        <v>184</v>
      </c>
      <c r="D41" s="481">
        <f>'[15]DIV 002 IS Activity'!L44</f>
        <v>21992.44</v>
      </c>
      <c r="E41" s="481">
        <f>'[15]DIV 002 IS Activity'!M44</f>
        <v>25758.79</v>
      </c>
      <c r="F41" s="481">
        <f>'[15]DIV 002 IS Activity'!N44</f>
        <v>38480.229999999996</v>
      </c>
      <c r="G41" s="481">
        <f>'[15]DIV 002 IS Activity'!O44</f>
        <v>23613.9</v>
      </c>
      <c r="H41" s="481">
        <f>'[15]DIV 002 IS Activity'!P44</f>
        <v>2923.3599999999988</v>
      </c>
      <c r="I41" s="481">
        <f>'[15]DIV 002 IS Activity'!Q44</f>
        <v>16721.189999999999</v>
      </c>
      <c r="J41" s="481">
        <f>VLOOKUP($B41, '[13]Div 2 forecast'!$D$299:$AF$375,'[13]Div 2 forecast'!L$298,FALSE)</f>
        <v>27420.640409229214</v>
      </c>
      <c r="K41" s="481">
        <f>VLOOKUP($B41, '[13]Div 2 forecast'!$D$299:$AF$375,'[13]Div 2 forecast'!M$298,FALSE)</f>
        <v>26528.594660828538</v>
      </c>
      <c r="L41" s="481">
        <f>VLOOKUP($B41, '[13]Div 2 forecast'!$D$299:$AF$375,'[13]Div 2 forecast'!N$298,FALSE)</f>
        <v>27061.331420510418</v>
      </c>
      <c r="M41" s="481">
        <f>VLOOKUP($B41, '[13]Div 2 forecast'!$D$299:$AF$375,'[13]Div 2 forecast'!O$298,FALSE)</f>
        <v>27132.802905450317</v>
      </c>
      <c r="N41" s="481">
        <f>VLOOKUP($B41, '[13]Div 2 forecast'!$D$299:$AF$375,'[13]Div 2 forecast'!P$298,FALSE)</f>
        <v>26568.186648914623</v>
      </c>
      <c r="O41" s="481">
        <f>VLOOKUP($B41, '[13]Div 2 forecast'!$D$299:$AF$375,'[13]Div 2 forecast'!Q$298,FALSE)</f>
        <v>63665.453771795539</v>
      </c>
      <c r="P41" s="95">
        <f t="shared" si="2"/>
        <v>327866.91981672868</v>
      </c>
      <c r="Q41" s="183"/>
    </row>
    <row r="42" spans="1:18" ht="15.75" thickBot="1">
      <c r="A42" s="1036">
        <f t="shared" si="1"/>
        <v>29</v>
      </c>
      <c r="B42" s="188" t="s">
        <v>728</v>
      </c>
      <c r="C42" s="705"/>
      <c r="D42" s="1131">
        <f t="shared" ref="D42:P42" si="4">SUM(D14:D41)</f>
        <v>-610585.91999999818</v>
      </c>
      <c r="E42" s="1131">
        <f t="shared" si="4"/>
        <v>-447610.02000000112</v>
      </c>
      <c r="F42" s="1131">
        <f t="shared" si="4"/>
        <v>36170.22999999726</v>
      </c>
      <c r="G42" s="1131">
        <f t="shared" si="4"/>
        <v>-113494.26999999766</v>
      </c>
      <c r="H42" s="1131">
        <f t="shared" si="4"/>
        <v>70369.759999999384</v>
      </c>
      <c r="I42" s="1131">
        <f t="shared" si="4"/>
        <v>-2391134.8199999989</v>
      </c>
      <c r="J42" s="1131">
        <f t="shared" si="4"/>
        <v>-5.0931703299283981E-11</v>
      </c>
      <c r="K42" s="1131">
        <f t="shared" si="4"/>
        <v>-1.0986695997416973E-9</v>
      </c>
      <c r="L42" s="1131">
        <f t="shared" si="4"/>
        <v>9.2404661700129509E-10</v>
      </c>
      <c r="M42" s="1131">
        <f t="shared" si="4"/>
        <v>1.255102688446641E-9</v>
      </c>
      <c r="N42" s="1131">
        <f t="shared" si="4"/>
        <v>-6.0754246078431606E-10</v>
      </c>
      <c r="O42" s="1131">
        <f t="shared" si="4"/>
        <v>4.8748916015028954E-9</v>
      </c>
      <c r="P42" s="1131">
        <f t="shared" si="4"/>
        <v>-3456285.0399999684</v>
      </c>
      <c r="Q42" s="188"/>
    </row>
    <row r="43" spans="1:18" ht="15.75" thickTop="1">
      <c r="A43" s="1036">
        <f t="shared" si="1"/>
        <v>30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</row>
    <row r="44" spans="1:18">
      <c r="A44" s="1036">
        <f t="shared" si="1"/>
        <v>31</v>
      </c>
      <c r="B44" s="1132">
        <f>B33</f>
        <v>9220</v>
      </c>
      <c r="C44" s="1132" t="str">
        <f>C33</f>
        <v>A&amp;G-Administrative expense transferred-Credit</v>
      </c>
      <c r="D44" s="574">
        <f>D33</f>
        <v>-9953031.4299999997</v>
      </c>
      <c r="E44" s="574">
        <f t="shared" ref="E44:I44" si="5">E33</f>
        <v>-6233532.1899999985</v>
      </c>
      <c r="F44" s="574">
        <f t="shared" si="5"/>
        <v>-8710901.9600000028</v>
      </c>
      <c r="G44" s="574">
        <f t="shared" si="5"/>
        <v>-8416254.8599999975</v>
      </c>
      <c r="H44" s="574">
        <f t="shared" si="5"/>
        <v>-7515000.8000000017</v>
      </c>
      <c r="I44" s="574">
        <f t="shared" si="5"/>
        <v>-11872058.930000002</v>
      </c>
      <c r="J44" s="574">
        <f t="shared" ref="J44:K44" si="6">-(J42-J33)</f>
        <v>-9040891.8499999959</v>
      </c>
      <c r="K44" s="574">
        <f t="shared" si="6"/>
        <v>-11991043.059999993</v>
      </c>
      <c r="L44" s="574">
        <f>L33</f>
        <v>-9647400.9099999946</v>
      </c>
      <c r="M44" s="574">
        <f>M33</f>
        <v>-10511624.709999995</v>
      </c>
      <c r="N44" s="574">
        <f>N33</f>
        <v>-8669383.709999999</v>
      </c>
      <c r="O44" s="574">
        <f>O33</f>
        <v>-41786801.18999999</v>
      </c>
      <c r="P44" s="95">
        <f t="shared" ref="P44" si="7">SUM(D44:O44)</f>
        <v>-144347925.59999996</v>
      </c>
      <c r="Q44" s="188"/>
    </row>
    <row r="45" spans="1:18">
      <c r="A45" s="1036">
        <f t="shared" si="1"/>
        <v>32</v>
      </c>
      <c r="B45" s="188"/>
      <c r="C45" s="315" t="s">
        <v>194</v>
      </c>
      <c r="D45" s="1133">
        <f>D46/D44</f>
        <v>5.0470760946848534E-2</v>
      </c>
      <c r="E45" s="1133">
        <f t="shared" ref="E45:I45" si="8">E46/E44</f>
        <v>5.0781419001543662E-2</v>
      </c>
      <c r="F45" s="1133">
        <f t="shared" si="8"/>
        <v>5.0721162059778238E-2</v>
      </c>
      <c r="G45" s="1133">
        <f t="shared" si="8"/>
        <v>5.068944169307156E-2</v>
      </c>
      <c r="H45" s="1133">
        <f t="shared" si="8"/>
        <v>5.0649035193715469E-2</v>
      </c>
      <c r="I45" s="1133">
        <f t="shared" si="8"/>
        <v>5.0352896117236506E-2</v>
      </c>
      <c r="J45" s="1133">
        <f>Allocation!$I$14</f>
        <v>4.9714119999999994E-2</v>
      </c>
      <c r="K45" s="1133">
        <f>Allocation!$I$14</f>
        <v>4.9714119999999994E-2</v>
      </c>
      <c r="L45" s="1133">
        <f>Allocation!$I$14</f>
        <v>4.9714119999999994E-2</v>
      </c>
      <c r="M45" s="1133">
        <f>Allocation!$I$14</f>
        <v>4.9714119999999994E-2</v>
      </c>
      <c r="N45" s="1133">
        <f>Allocation!$I$14</f>
        <v>4.9714119999999994E-2</v>
      </c>
      <c r="O45" s="1133">
        <f>Allocation!$I$14</f>
        <v>4.9714119999999994E-2</v>
      </c>
      <c r="P45" s="1133">
        <f t="shared" ref="P45" si="9">P46/P44</f>
        <v>5.0031230137501E-2</v>
      </c>
      <c r="Q45" s="188"/>
      <c r="R45" s="557"/>
    </row>
    <row r="46" spans="1:18">
      <c r="A46" s="1036">
        <f t="shared" si="1"/>
        <v>33</v>
      </c>
      <c r="B46" s="188"/>
      <c r="C46" s="188" t="s">
        <v>209</v>
      </c>
      <c r="D46" s="95">
        <f>-'[16]WP C 2.2'!H5</f>
        <v>-502337.07</v>
      </c>
      <c r="E46" s="95">
        <f>-'[16]WP C 2.2'!I5</f>
        <v>-316547.61</v>
      </c>
      <c r="F46" s="95">
        <f>-'[16]WP C 2.2'!J5</f>
        <v>-441827.07</v>
      </c>
      <c r="G46" s="95">
        <f>-'[16]WP C 2.2'!K5</f>
        <v>-426615.26</v>
      </c>
      <c r="H46" s="95">
        <f>-'[16]WP C 2.2'!L5</f>
        <v>-380627.54</v>
      </c>
      <c r="I46" s="95">
        <f>-'[16]WP C 2.2'!M5</f>
        <v>-597792.55000000005</v>
      </c>
      <c r="J46" s="95">
        <f t="shared" ref="J46:O46" si="10">J44*J45</f>
        <v>-449459.98233792174</v>
      </c>
      <c r="K46" s="95">
        <f t="shared" si="10"/>
        <v>-596124.15361000679</v>
      </c>
      <c r="L46" s="95">
        <f t="shared" si="10"/>
        <v>-479612.04652784887</v>
      </c>
      <c r="M46" s="95">
        <f t="shared" si="10"/>
        <v>-522576.1722279049</v>
      </c>
      <c r="N46" s="95">
        <f t="shared" si="10"/>
        <v>-430990.78208498511</v>
      </c>
      <c r="O46" s="95">
        <f t="shared" si="10"/>
        <v>-2077394.0487758021</v>
      </c>
      <c r="P46" s="95">
        <f>SUM(D46:O46)</f>
        <v>-7221904.2855644701</v>
      </c>
      <c r="Q46" s="188"/>
      <c r="R46" s="557"/>
    </row>
    <row r="47" spans="1:18">
      <c r="A47" s="188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91"/>
      <c r="P47" s="191"/>
      <c r="Q47" s="188"/>
    </row>
    <row r="48" spans="1:18">
      <c r="A48" s="188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91"/>
      <c r="P48" s="191"/>
      <c r="Q48" s="188"/>
    </row>
    <row r="49" spans="1:17">
      <c r="A49" s="188"/>
      <c r="B49" s="188" t="s">
        <v>557</v>
      </c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91"/>
      <c r="P49" s="191"/>
      <c r="Q49" s="188"/>
    </row>
    <row r="50" spans="1:17">
      <c r="A50" s="188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544"/>
      <c r="Q50" s="188"/>
    </row>
    <row r="51" spans="1:17">
      <c r="A51" s="188"/>
      <c r="B51" s="188" t="s">
        <v>942</v>
      </c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91"/>
      <c r="Q51" s="188"/>
    </row>
    <row r="52" spans="1:17">
      <c r="A52" s="188"/>
      <c r="B52" s="188" t="s">
        <v>1581</v>
      </c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91"/>
      <c r="Q52" s="188"/>
    </row>
    <row r="53" spans="1:17">
      <c r="A53" s="188"/>
      <c r="B53" s="1" t="s">
        <v>1571</v>
      </c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91"/>
      <c r="Q53" s="617"/>
    </row>
    <row r="54" spans="1:17">
      <c r="A54" s="188"/>
      <c r="B54" s="72" t="s">
        <v>1582</v>
      </c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511"/>
      <c r="P54" s="191"/>
      <c r="Q54" s="706"/>
    </row>
    <row r="55" spans="1:17">
      <c r="A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511"/>
      <c r="P55" s="191"/>
      <c r="Q55" s="706"/>
    </row>
    <row r="56" spans="1:17">
      <c r="A56" s="188"/>
      <c r="B56" s="188"/>
      <c r="C56" s="188"/>
      <c r="D56" s="707"/>
      <c r="E56" s="707"/>
      <c r="F56" s="707"/>
      <c r="G56" s="707"/>
      <c r="H56" s="707"/>
      <c r="I56" s="707"/>
      <c r="J56" s="707"/>
      <c r="K56" s="708"/>
      <c r="L56" s="708"/>
      <c r="M56" s="708"/>
      <c r="N56" s="708"/>
      <c r="O56" s="150"/>
      <c r="P56" s="191"/>
      <c r="Q56" s="706"/>
    </row>
    <row r="57" spans="1:17">
      <c r="A57" s="188"/>
      <c r="B57" s="544"/>
      <c r="C57" s="544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91"/>
      <c r="P57" s="191"/>
      <c r="Q57" s="706"/>
    </row>
    <row r="58" spans="1:17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706"/>
    </row>
    <row r="59" spans="1:17">
      <c r="A59" s="188"/>
      <c r="B59" s="188"/>
      <c r="C59" s="188"/>
      <c r="D59" s="95">
        <f>'[13]Div 2 forecast'!F231</f>
        <v>0</v>
      </c>
      <c r="E59" s="95">
        <f>'[13]Div 2 forecast'!G231</f>
        <v>0</v>
      </c>
      <c r="F59" s="95">
        <f>'[13]Div 2 forecast'!H231</f>
        <v>0</v>
      </c>
      <c r="G59" s="95">
        <f>'[13]Div 2 forecast'!I231</f>
        <v>0</v>
      </c>
      <c r="H59" s="95">
        <f>'[13]Div 2 forecast'!J231</f>
        <v>0</v>
      </c>
      <c r="I59" s="95">
        <f>'[13]Div 2 forecast'!K231</f>
        <v>0</v>
      </c>
      <c r="J59" s="95">
        <f>'[13]Div 2 forecast'!L231</f>
        <v>0</v>
      </c>
      <c r="K59" s="95">
        <f>'[13]Div 2 forecast'!M231</f>
        <v>0</v>
      </c>
      <c r="L59" s="95">
        <f>'[13]Div 2 forecast'!N231</f>
        <v>0</v>
      </c>
      <c r="M59" s="95">
        <f>'[13]Div 2 forecast'!O231</f>
        <v>0</v>
      </c>
      <c r="N59" s="95">
        <f>'[13]Div 2 forecast'!P231</f>
        <v>0</v>
      </c>
      <c r="O59" s="95">
        <f>'[13]Div 2 forecast'!Q231</f>
        <v>0</v>
      </c>
      <c r="P59" s="188"/>
      <c r="Q59" s="188"/>
    </row>
    <row r="60" spans="1:17">
      <c r="A60" s="188"/>
      <c r="B60" s="188"/>
      <c r="C60" s="188"/>
      <c r="D60" s="95">
        <f t="shared" ref="D60:O60" si="11">-D44</f>
        <v>9953031.4299999997</v>
      </c>
      <c r="E60" s="95">
        <f t="shared" si="11"/>
        <v>6233532.1899999985</v>
      </c>
      <c r="F60" s="95">
        <f t="shared" si="11"/>
        <v>8710901.9600000028</v>
      </c>
      <c r="G60" s="95">
        <f t="shared" si="11"/>
        <v>8416254.8599999975</v>
      </c>
      <c r="H60" s="95">
        <f t="shared" si="11"/>
        <v>7515000.8000000017</v>
      </c>
      <c r="I60" s="95">
        <f t="shared" si="11"/>
        <v>11872058.930000002</v>
      </c>
      <c r="J60" s="95">
        <f t="shared" si="11"/>
        <v>9040891.8499999959</v>
      </c>
      <c r="K60" s="95">
        <f t="shared" si="11"/>
        <v>11991043.059999993</v>
      </c>
      <c r="L60" s="95">
        <f t="shared" si="11"/>
        <v>9647400.9099999946</v>
      </c>
      <c r="M60" s="95">
        <f t="shared" si="11"/>
        <v>10511624.709999995</v>
      </c>
      <c r="N60" s="95">
        <f t="shared" si="11"/>
        <v>8669383.709999999</v>
      </c>
      <c r="O60" s="95">
        <f t="shared" si="11"/>
        <v>41786801.18999999</v>
      </c>
      <c r="P60" s="188"/>
      <c r="Q60" s="188"/>
    </row>
    <row r="61" spans="1:17">
      <c r="A61" s="188"/>
      <c r="B61" s="188"/>
      <c r="C61" s="544"/>
      <c r="D61" s="95">
        <f>D59-D60</f>
        <v>-9953031.4299999997</v>
      </c>
      <c r="E61" s="95">
        <f t="shared" ref="E61:O61" si="12">E59-E60</f>
        <v>-6233532.1899999985</v>
      </c>
      <c r="F61" s="95">
        <f t="shared" si="12"/>
        <v>-8710901.9600000028</v>
      </c>
      <c r="G61" s="95">
        <f t="shared" si="12"/>
        <v>-8416254.8599999975</v>
      </c>
      <c r="H61" s="95">
        <f t="shared" si="12"/>
        <v>-7515000.8000000017</v>
      </c>
      <c r="I61" s="95">
        <f t="shared" si="12"/>
        <v>-11872058.930000002</v>
      </c>
      <c r="J61" s="95">
        <f t="shared" si="12"/>
        <v>-9040891.8499999959</v>
      </c>
      <c r="K61" s="95">
        <f t="shared" si="12"/>
        <v>-11991043.059999993</v>
      </c>
      <c r="L61" s="95">
        <f t="shared" si="12"/>
        <v>-9647400.9099999946</v>
      </c>
      <c r="M61" s="95">
        <f t="shared" si="12"/>
        <v>-10511624.709999995</v>
      </c>
      <c r="N61" s="95">
        <f t="shared" si="12"/>
        <v>-8669383.709999999</v>
      </c>
      <c r="O61" s="95">
        <f t="shared" si="12"/>
        <v>-41786801.18999999</v>
      </c>
      <c r="P61" s="188"/>
      <c r="Q61" s="188"/>
    </row>
    <row r="62" spans="1:17">
      <c r="A62" s="188"/>
      <c r="B62" s="188"/>
      <c r="C62" s="544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1:17">
      <c r="O63" s="331"/>
    </row>
    <row r="64" spans="1:17">
      <c r="O64" s="150" t="s">
        <v>1533</v>
      </c>
      <c r="P64" s="95">
        <f>SUM(P17:P41)-P33+SUM('C.2.2 B 12'!P14:P28)-'C.2.2 B 12'!P22</f>
        <v>190992733.86000001</v>
      </c>
    </row>
    <row r="65" spans="3:15">
      <c r="O65" s="150" t="s">
        <v>1534</v>
      </c>
    </row>
    <row r="67" spans="3:15">
      <c r="C67" s="544"/>
    </row>
  </sheetData>
  <mergeCells count="4">
    <mergeCell ref="A1:P1"/>
    <mergeCell ref="A2:P2"/>
    <mergeCell ref="A3:P3"/>
    <mergeCell ref="A4:P4"/>
  </mergeCells>
  <phoneticPr fontId="21" type="noConversion"/>
  <printOptions horizontalCentered="1"/>
  <pageMargins left="0.5" right="0.5" top="0.75" bottom="0.65" header="0.5" footer="0.25"/>
  <pageSetup scale="49" fitToHeight="2" orientation="landscape" verticalDpi="300" r:id="rId1"/>
  <headerFooter alignWithMargins="0">
    <oddFooter>&amp;RSchedule &amp;A
Page &amp;P of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131"/>
  <dimension ref="A1:Q52"/>
  <sheetViews>
    <sheetView view="pageBreakPreview" zoomScale="80" zoomScaleNormal="100" zoomScaleSheetLayoutView="80" workbookViewId="0">
      <selection sqref="A1:P1"/>
    </sheetView>
  </sheetViews>
  <sheetFormatPr defaultColWidth="7.109375" defaultRowHeight="15"/>
  <cols>
    <col min="1" max="1" width="4.6640625" style="72" customWidth="1"/>
    <col min="2" max="2" width="7.21875" style="72" customWidth="1"/>
    <col min="3" max="3" width="54.21875" style="72" customWidth="1"/>
    <col min="4" max="4" width="13.109375" style="72" bestFit="1" customWidth="1"/>
    <col min="5" max="6" width="11.109375" style="72" customWidth="1"/>
    <col min="7" max="8" width="13.109375" style="72" bestFit="1" customWidth="1"/>
    <col min="9" max="9" width="11.109375" style="72" customWidth="1"/>
    <col min="10" max="10" width="10.88671875" style="72" customWidth="1"/>
    <col min="11" max="14" width="13.109375" style="72" bestFit="1" customWidth="1"/>
    <col min="15" max="15" width="12.44140625" style="72" customWidth="1"/>
    <col min="16" max="16" width="12.44140625" style="72" bestFit="1" customWidth="1"/>
    <col min="17" max="17" width="12.44140625" style="72" customWidth="1"/>
    <col min="18" max="18" width="12.5546875" style="72" customWidth="1"/>
    <col min="19" max="19" width="11.33203125" style="72" bestFit="1" customWidth="1"/>
    <col min="20" max="16384" width="7.109375" style="72"/>
  </cols>
  <sheetData>
    <row r="1" spans="1:17">
      <c r="A1" s="1270" t="str">
        <f>'Table of Contents'!A1:C1</f>
        <v>Atmos Energy Corporation, Kentucky/Mid-States Division</v>
      </c>
      <c r="B1" s="1270"/>
      <c r="C1" s="1270"/>
      <c r="D1" s="1270"/>
      <c r="E1" s="1270"/>
      <c r="F1" s="1270"/>
      <c r="G1" s="1270"/>
      <c r="H1" s="1270"/>
      <c r="I1" s="1270"/>
      <c r="J1" s="1270"/>
      <c r="K1" s="1270"/>
      <c r="L1" s="1270"/>
      <c r="M1" s="1270"/>
      <c r="N1" s="1270"/>
      <c r="O1" s="1270"/>
      <c r="P1" s="1270"/>
      <c r="Q1" s="73"/>
    </row>
    <row r="2" spans="1:17">
      <c r="A2" s="1270" t="str">
        <f>'Table of Contents'!A2:C2</f>
        <v>Kentucky Jurisdiction Case No. 2021-00214</v>
      </c>
      <c r="B2" s="1270"/>
      <c r="C2" s="1270"/>
      <c r="D2" s="1270"/>
      <c r="E2" s="1270"/>
      <c r="F2" s="1270"/>
      <c r="G2" s="1270"/>
      <c r="H2" s="1270"/>
      <c r="I2" s="1270"/>
      <c r="J2" s="1270"/>
      <c r="K2" s="1270"/>
      <c r="L2" s="1270"/>
      <c r="M2" s="1270"/>
      <c r="N2" s="1270"/>
      <c r="O2" s="1270"/>
      <c r="P2" s="1270"/>
      <c r="Q2" s="73"/>
    </row>
    <row r="3" spans="1:17" ht="15.75">
      <c r="A3" s="1271" t="s">
        <v>186</v>
      </c>
      <c r="B3" s="1271"/>
      <c r="C3" s="1271"/>
      <c r="D3" s="1271"/>
      <c r="E3" s="1271"/>
      <c r="F3" s="1271"/>
      <c r="G3" s="1271"/>
      <c r="H3" s="1271"/>
      <c r="I3" s="1271"/>
      <c r="J3" s="1271"/>
      <c r="K3" s="1271"/>
      <c r="L3" s="1271"/>
      <c r="M3" s="1271"/>
      <c r="N3" s="1271"/>
      <c r="O3" s="1271"/>
      <c r="P3" s="1271"/>
      <c r="Q3" s="73"/>
    </row>
    <row r="4" spans="1:17">
      <c r="A4" s="1270" t="str">
        <f>'Table of Contents'!A3:C3</f>
        <v>Base Period: Twelve Months Ended September 30, 2021</v>
      </c>
      <c r="B4" s="1270"/>
      <c r="C4" s="1270"/>
      <c r="D4" s="1270"/>
      <c r="E4" s="1270"/>
      <c r="F4" s="1270"/>
      <c r="G4" s="1270"/>
      <c r="H4" s="1270"/>
      <c r="I4" s="1270"/>
      <c r="J4" s="1270"/>
      <c r="K4" s="1270"/>
      <c r="L4" s="1270"/>
      <c r="M4" s="1270"/>
      <c r="N4" s="1270"/>
      <c r="O4" s="1270"/>
      <c r="P4" s="1270"/>
      <c r="Q4" s="172"/>
    </row>
    <row r="5" spans="1:17">
      <c r="A5" s="73"/>
      <c r="B5" s="133"/>
      <c r="C5" s="133"/>
      <c r="D5" s="133"/>
      <c r="E5" s="133"/>
      <c r="F5" s="133"/>
      <c r="G5" s="700"/>
      <c r="H5" s="175"/>
      <c r="I5" s="175"/>
      <c r="J5" s="175"/>
      <c r="K5" s="175"/>
      <c r="L5" s="175"/>
      <c r="M5" s="175"/>
      <c r="N5" s="175"/>
      <c r="O5" s="175"/>
      <c r="P5" s="172"/>
      <c r="Q5" s="172"/>
    </row>
    <row r="6" spans="1:17" ht="15.75">
      <c r="A6" s="472" t="str">
        <f>'C.2.2 B 09'!A6</f>
        <v>Data:___X____Base Period________Forecasted Period</v>
      </c>
      <c r="B6" s="172"/>
      <c r="C6" s="205"/>
      <c r="D6" s="701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425" t="s">
        <v>1373</v>
      </c>
      <c r="Q6" s="172"/>
    </row>
    <row r="7" spans="1:17">
      <c r="A7" s="472" t="str">
        <f>'C.2.2 B 09'!A7</f>
        <v>Type of Filing:___X____Original________Updated ________Revised</v>
      </c>
      <c r="B7" s="172"/>
      <c r="C7" s="205"/>
      <c r="D7" s="172"/>
      <c r="E7" s="172"/>
      <c r="F7" s="172"/>
      <c r="G7" s="172"/>
      <c r="H7" s="172"/>
      <c r="I7" s="172"/>
      <c r="J7"/>
      <c r="K7"/>
      <c r="L7"/>
      <c r="M7"/>
      <c r="N7"/>
      <c r="O7"/>
      <c r="P7" s="426" t="s">
        <v>36</v>
      </c>
      <c r="Q7" s="172"/>
    </row>
    <row r="8" spans="1:17">
      <c r="A8" s="1061" t="str">
        <f>'C.2.2 B 09'!A8</f>
        <v>Workpaper Reference No(s).____________________</v>
      </c>
      <c r="B8" s="209"/>
      <c r="C8" s="703"/>
      <c r="D8" s="208"/>
      <c r="E8" s="208"/>
      <c r="F8" s="208"/>
      <c r="G8" s="208"/>
      <c r="H8" s="208"/>
      <c r="I8" s="208"/>
      <c r="J8" s="208"/>
      <c r="K8" s="208"/>
      <c r="L8" s="208"/>
      <c r="M8" s="209"/>
      <c r="N8" s="209"/>
      <c r="O8" s="209"/>
      <c r="P8" s="1126" t="str">
        <f>'C.1'!J9</f>
        <v>Witness: Christian, Densman</v>
      </c>
      <c r="Q8" s="172"/>
    </row>
    <row r="9" spans="1:17">
      <c r="A9" s="693" t="s">
        <v>92</v>
      </c>
      <c r="B9" s="694" t="s">
        <v>99</v>
      </c>
      <c r="C9" s="695"/>
      <c r="D9" s="1128" t="str">
        <f>'C.2.2 B 09'!D9</f>
        <v>actual</v>
      </c>
      <c r="E9" s="1128" t="str">
        <f>'C.2.2 B 09'!F9</f>
        <v>actual</v>
      </c>
      <c r="F9" s="1128" t="str">
        <f>'C.2.2 B 09'!F9</f>
        <v>actual</v>
      </c>
      <c r="G9" s="1128" t="str">
        <f>'C.2.2 B 09'!G9</f>
        <v>actual</v>
      </c>
      <c r="H9" s="1128" t="str">
        <f>'C.2.2 B 09'!H9</f>
        <v>actual</v>
      </c>
      <c r="I9" s="1128" t="str">
        <f>'C.2.2 B 09'!I9</f>
        <v>actual</v>
      </c>
      <c r="J9" s="1128" t="str">
        <f>'C.2.2 B 09'!J9</f>
        <v>Budgeted</v>
      </c>
      <c r="K9" s="1128" t="str">
        <f>'C.2.2 B 09'!K9</f>
        <v>Budgeted</v>
      </c>
      <c r="L9" s="1128" t="str">
        <f>'C.2.2 B 09'!L9</f>
        <v>Budgeted</v>
      </c>
      <c r="M9" s="1128" t="str">
        <f>'C.2.2 B 09'!M9</f>
        <v>Budgeted</v>
      </c>
      <c r="N9" s="1128" t="str">
        <f>'C.2.2 B 09'!N9</f>
        <v>Budgeted</v>
      </c>
      <c r="O9" s="1128" t="str">
        <f>'C.2.2 B 09'!O9</f>
        <v>Budgeted</v>
      </c>
      <c r="P9" s="704"/>
      <c r="Q9" s="389"/>
    </row>
    <row r="10" spans="1:17">
      <c r="A10" s="696" t="s">
        <v>98</v>
      </c>
      <c r="B10" s="697" t="s">
        <v>98</v>
      </c>
      <c r="C10" s="698" t="s">
        <v>941</v>
      </c>
      <c r="D10" s="1129">
        <f>'C.2.2 B 09'!D10</f>
        <v>44105</v>
      </c>
      <c r="E10" s="1129">
        <f>'C.2.2 B 09'!F10</f>
        <v>44166</v>
      </c>
      <c r="F10" s="1129">
        <f>'C.2.2 B 09'!F10</f>
        <v>44166</v>
      </c>
      <c r="G10" s="1129">
        <f>'C.2.2 B 09'!G10</f>
        <v>44197</v>
      </c>
      <c r="H10" s="1129">
        <f>'C.2.2 B 09'!H10</f>
        <v>44228</v>
      </c>
      <c r="I10" s="1129">
        <f>'C.2.2 B 09'!I10</f>
        <v>44256</v>
      </c>
      <c r="J10" s="1129">
        <f>'C.2.2 B 09'!J10</f>
        <v>44287</v>
      </c>
      <c r="K10" s="1129">
        <f>'C.2.2 B 09'!K10</f>
        <v>44317</v>
      </c>
      <c r="L10" s="1129">
        <f>'C.2.2 B 09'!L10</f>
        <v>44348</v>
      </c>
      <c r="M10" s="1129">
        <f>'C.2.2 B 09'!M10</f>
        <v>44378</v>
      </c>
      <c r="N10" s="1129">
        <f>'C.2.2 B 09'!N10</f>
        <v>44409</v>
      </c>
      <c r="O10" s="1129">
        <f>'C.2.2 B 09'!O10</f>
        <v>44440</v>
      </c>
      <c r="P10" s="1129" t="str">
        <f>'C.2.2 B 09'!P10</f>
        <v>Total</v>
      </c>
      <c r="Q10" s="709"/>
    </row>
    <row r="11" spans="1:17">
      <c r="A11" s="172"/>
      <c r="B11" s="172"/>
      <c r="C11" s="172"/>
      <c r="D11" s="182" t="s">
        <v>145</v>
      </c>
      <c r="E11" s="182" t="s">
        <v>145</v>
      </c>
      <c r="F11" s="182" t="s">
        <v>145</v>
      </c>
      <c r="G11" s="182" t="s">
        <v>145</v>
      </c>
      <c r="H11" s="182" t="s">
        <v>145</v>
      </c>
      <c r="I11" s="182" t="s">
        <v>145</v>
      </c>
      <c r="J11" s="182" t="s">
        <v>145</v>
      </c>
      <c r="K11" s="182" t="s">
        <v>145</v>
      </c>
      <c r="L11" s="182" t="s">
        <v>145</v>
      </c>
      <c r="M11" s="182" t="s">
        <v>145</v>
      </c>
      <c r="N11" s="182" t="s">
        <v>145</v>
      </c>
      <c r="O11" s="182" t="s">
        <v>145</v>
      </c>
      <c r="P11" s="182" t="s">
        <v>145</v>
      </c>
      <c r="Q11" s="182"/>
    </row>
    <row r="12" spans="1:17">
      <c r="A12" s="389">
        <v>1</v>
      </c>
      <c r="B12" s="669">
        <v>4030</v>
      </c>
      <c r="C12" s="172" t="s">
        <v>90</v>
      </c>
      <c r="D12" s="481">
        <f>'[15]DIV 012 IS Activity'!L6</f>
        <v>0</v>
      </c>
      <c r="E12" s="481">
        <f>'[15]DIV 012 IS Activity'!M6</f>
        <v>0</v>
      </c>
      <c r="F12" s="481">
        <f>'[15]DIV 012 IS Activity'!N6</f>
        <v>1.1641532182693481E-10</v>
      </c>
      <c r="G12" s="481">
        <f>'[15]DIV 012 IS Activity'!O6</f>
        <v>1.1641532182693481E-10</v>
      </c>
      <c r="H12" s="481">
        <f>'[15]DIV 012 IS Activity'!P6</f>
        <v>1.1641532182693481E-10</v>
      </c>
      <c r="I12" s="481">
        <f>'[15]DIV 012 IS Activity'!Q6</f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95">
        <f t="shared" ref="P12:P25" si="0">SUM(D12:O12)</f>
        <v>3.4924596548080444E-10</v>
      </c>
      <c r="Q12" s="544"/>
    </row>
    <row r="13" spans="1:17">
      <c r="A13" s="1036">
        <f>A12+1</f>
        <v>2</v>
      </c>
      <c r="B13" s="314">
        <v>4081</v>
      </c>
      <c r="C13" s="183" t="s">
        <v>854</v>
      </c>
      <c r="D13" s="481">
        <f>'[15]DIV 012 IS Activity'!L7</f>
        <v>-2.9103830456733704E-11</v>
      </c>
      <c r="E13" s="481">
        <f>'[15]DIV 012 IS Activity'!M7</f>
        <v>5.8207660913467407E-11</v>
      </c>
      <c r="F13" s="481">
        <f>'[15]DIV 012 IS Activity'!N7</f>
        <v>2.9103830456733704E-11</v>
      </c>
      <c r="G13" s="481">
        <f>'[15]DIV 012 IS Activity'!O7</f>
        <v>0</v>
      </c>
      <c r="H13" s="481">
        <f>'[15]DIV 012 IS Activity'!P7</f>
        <v>-1.0000000009313226E-2</v>
      </c>
      <c r="I13" s="481">
        <f>'[15]DIV 012 IS Activity'!Q7</f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95">
        <f t="shared" si="0"/>
        <v>-9.9999999511055648E-3</v>
      </c>
      <c r="Q13" s="183"/>
    </row>
    <row r="14" spans="1:17">
      <c r="A14" s="1036">
        <f t="shared" ref="A14:A35" si="1">A13+1</f>
        <v>3</v>
      </c>
      <c r="B14" s="314">
        <v>8700</v>
      </c>
      <c r="C14" s="183" t="s">
        <v>903</v>
      </c>
      <c r="D14" s="481">
        <f>'[15]DIV 012 IS Activity'!L12</f>
        <v>0</v>
      </c>
      <c r="E14" s="481">
        <f>'[15]DIV 012 IS Activity'!M12</f>
        <v>3775.77</v>
      </c>
      <c r="F14" s="481">
        <f>'[15]DIV 012 IS Activity'!N12</f>
        <v>0</v>
      </c>
      <c r="G14" s="481">
        <f>'[15]DIV 012 IS Activity'!O12</f>
        <v>0</v>
      </c>
      <c r="H14" s="481">
        <f>'[15]DIV 012 IS Activity'!P12</f>
        <v>172.49</v>
      </c>
      <c r="I14" s="481">
        <f>'[15]DIV 012 IS Activity'!Q12</f>
        <v>0</v>
      </c>
      <c r="J14" s="88">
        <f>VLOOKUP($B14,'[13]Div 12 forecast'!$D$171:$AF$247,'[13]Div 12 forecast'!L$170,FALSE)</f>
        <v>117.40310176145465</v>
      </c>
      <c r="K14" s="88">
        <f>VLOOKUP($B14,'[13]Div 12 forecast'!$D$171:$AF$247,'[13]Div 12 forecast'!M$170,FALSE)</f>
        <v>114.61865088192474</v>
      </c>
      <c r="L14" s="88">
        <f>VLOOKUP($B14,'[13]Div 12 forecast'!$D$171:$AF$247,'[13]Div 12 forecast'!N$170,FALSE)</f>
        <v>113.32674397121139</v>
      </c>
      <c r="M14" s="88">
        <f>VLOOKUP($B14,'[13]Div 12 forecast'!$D$171:$AF$247,'[13]Div 12 forecast'!O$170,FALSE)</f>
        <v>117.83373739835912</v>
      </c>
      <c r="N14" s="88">
        <f>VLOOKUP($B14,'[13]Div 12 forecast'!$D$171:$AF$247,'[13]Div 12 forecast'!P$170,FALSE)</f>
        <v>111.17356578668912</v>
      </c>
      <c r="O14" s="88">
        <f>VLOOKUP($B14,'[13]Div 12 forecast'!$D$171:$AF$247,'[13]Div 12 forecast'!Q$170,FALSE)</f>
        <v>109.98714487224683</v>
      </c>
      <c r="P14" s="95">
        <f t="shared" si="0"/>
        <v>4632.6029446718876</v>
      </c>
      <c r="Q14" s="183"/>
    </row>
    <row r="15" spans="1:17">
      <c r="A15" s="1036">
        <f t="shared" si="1"/>
        <v>4</v>
      </c>
      <c r="B15" s="314">
        <v>8740</v>
      </c>
      <c r="C15" s="183" t="s">
        <v>905</v>
      </c>
      <c r="D15" s="481">
        <f>'[15]DIV 012 IS Activity'!L13</f>
        <v>11348.06</v>
      </c>
      <c r="E15" s="481">
        <f>'[15]DIV 012 IS Activity'!M13</f>
        <v>9512.83</v>
      </c>
      <c r="F15" s="481">
        <f>'[15]DIV 012 IS Activity'!N13</f>
        <v>6381.18</v>
      </c>
      <c r="G15" s="481">
        <f>'[15]DIV 012 IS Activity'!O13</f>
        <v>12271.98</v>
      </c>
      <c r="H15" s="481">
        <f>'[15]DIV 012 IS Activity'!P13</f>
        <v>6747.79</v>
      </c>
      <c r="I15" s="481">
        <f>'[15]DIV 012 IS Activity'!Q13</f>
        <v>4409.18</v>
      </c>
      <c r="J15" s="88">
        <f>VLOOKUP($B15,'[13]Div 12 forecast'!$D$171:$AF$247,'[13]Div 12 forecast'!L$170,FALSE)</f>
        <v>9707.2708369586526</v>
      </c>
      <c r="K15" s="88">
        <f>VLOOKUP($B15,'[13]Div 12 forecast'!$D$171:$AF$247,'[13]Div 12 forecast'!M$170,FALSE)</f>
        <v>9342.9694172340769</v>
      </c>
      <c r="L15" s="88">
        <f>VLOOKUP($B15,'[13]Div 12 forecast'!$D$171:$AF$247,'[13]Div 12 forecast'!N$170,FALSE)</f>
        <v>9707.2708369586526</v>
      </c>
      <c r="M15" s="88">
        <f>VLOOKUP($B15,'[13]Div 12 forecast'!$D$171:$AF$247,'[13]Div 12 forecast'!O$170,FALSE)</f>
        <v>9421.5011100409793</v>
      </c>
      <c r="N15" s="88">
        <f>VLOOKUP($B15,'[13]Div 12 forecast'!$D$171:$AF$247,'[13]Div 12 forecast'!P$170,FALSE)</f>
        <v>9421.5011100409793</v>
      </c>
      <c r="O15" s="88">
        <f>VLOOKUP($B15,'[13]Div 12 forecast'!$D$171:$AF$247,'[13]Div 12 forecast'!Q$170,FALSE)</f>
        <v>9421.4931942195435</v>
      </c>
      <c r="P15" s="95">
        <f t="shared" si="0"/>
        <v>107693.02650545287</v>
      </c>
      <c r="Q15" s="183"/>
    </row>
    <row r="16" spans="1:17">
      <c r="A16" s="1036">
        <f t="shared" si="1"/>
        <v>5</v>
      </c>
      <c r="B16" s="314">
        <v>8800</v>
      </c>
      <c r="C16" s="183" t="s">
        <v>911</v>
      </c>
      <c r="D16" s="481">
        <f>0</f>
        <v>0</v>
      </c>
      <c r="E16" s="481">
        <f>0</f>
        <v>0</v>
      </c>
      <c r="F16" s="481">
        <f>0</f>
        <v>0</v>
      </c>
      <c r="G16" s="481">
        <f>0</f>
        <v>0</v>
      </c>
      <c r="H16" s="481">
        <f>0</f>
        <v>0</v>
      </c>
      <c r="I16" s="481">
        <f>0</f>
        <v>0</v>
      </c>
      <c r="J16" s="88">
        <f>VLOOKUP($B16,'[13]Div 12 forecast'!$D$171:$AF$247,'[13]Div 12 forecast'!L$170,FALSE)</f>
        <v>0</v>
      </c>
      <c r="K16" s="88">
        <f>VLOOKUP($B16,'[13]Div 12 forecast'!$D$171:$AF$247,'[13]Div 12 forecast'!M$170,FALSE)</f>
        <v>0</v>
      </c>
      <c r="L16" s="88">
        <f>VLOOKUP($B16,'[13]Div 12 forecast'!$D$171:$AF$247,'[13]Div 12 forecast'!N$170,FALSE)</f>
        <v>0</v>
      </c>
      <c r="M16" s="88">
        <f>VLOOKUP($B16,'[13]Div 12 forecast'!$D$171:$AF$247,'[13]Div 12 forecast'!O$170,FALSE)</f>
        <v>0</v>
      </c>
      <c r="N16" s="88">
        <f>VLOOKUP($B16,'[13]Div 12 forecast'!$D$171:$AF$247,'[13]Div 12 forecast'!P$170,FALSE)</f>
        <v>0</v>
      </c>
      <c r="O16" s="88">
        <f>VLOOKUP($B16,'[13]Div 12 forecast'!$D$171:$AF$247,'[13]Div 12 forecast'!Q$170,FALSE)</f>
        <v>0</v>
      </c>
      <c r="P16" s="95">
        <f t="shared" si="0"/>
        <v>0</v>
      </c>
      <c r="Q16" s="183"/>
    </row>
    <row r="17" spans="1:17">
      <c r="A17" s="1036">
        <f>A16+1</f>
        <v>6</v>
      </c>
      <c r="B17" s="314">
        <v>9010</v>
      </c>
      <c r="C17" s="183" t="s">
        <v>180</v>
      </c>
      <c r="D17" s="481">
        <f>'[15]DIV 012 IS Activity'!L15</f>
        <v>367825.37</v>
      </c>
      <c r="E17" s="481">
        <f>'[15]DIV 012 IS Activity'!M15</f>
        <v>373216.01</v>
      </c>
      <c r="F17" s="481">
        <f>'[15]DIV 012 IS Activity'!N15</f>
        <v>380641.79</v>
      </c>
      <c r="G17" s="481">
        <f>'[15]DIV 012 IS Activity'!O15</f>
        <v>373085.69</v>
      </c>
      <c r="H17" s="481">
        <f>'[15]DIV 012 IS Activity'!P15</f>
        <v>347547.32999999996</v>
      </c>
      <c r="I17" s="481">
        <f>'[15]DIV 012 IS Activity'!Q15</f>
        <v>431838.25999999995</v>
      </c>
      <c r="J17" s="88">
        <f>VLOOKUP($B17,'[13]Div 12 forecast'!$D$171:$AF$247,'[13]Div 12 forecast'!L$170,FALSE)</f>
        <v>456880.34141682804</v>
      </c>
      <c r="K17" s="88">
        <f>VLOOKUP($B17,'[13]Div 12 forecast'!$D$171:$AF$247,'[13]Div 12 forecast'!M$170,FALSE)</f>
        <v>435042.11148568196</v>
      </c>
      <c r="L17" s="88">
        <f>VLOOKUP($B17,'[13]Div 12 forecast'!$D$171:$AF$247,'[13]Div 12 forecast'!N$170,FALSE)</f>
        <v>454782.08333512011</v>
      </c>
      <c r="M17" s="88">
        <f>VLOOKUP($B17,'[13]Div 12 forecast'!$D$171:$AF$247,'[13]Div 12 forecast'!O$170,FALSE)</f>
        <v>441648.6578001781</v>
      </c>
      <c r="N17" s="88">
        <f>VLOOKUP($B17,'[13]Div 12 forecast'!$D$171:$AF$247,'[13]Div 12 forecast'!P$170,FALSE)</f>
        <v>439050.94775564526</v>
      </c>
      <c r="O17" s="88">
        <f>VLOOKUP($B17,'[13]Div 12 forecast'!$D$171:$AF$247,'[13]Div 12 forecast'!Q$170,FALSE)</f>
        <v>438879.12699799321</v>
      </c>
      <c r="P17" s="95">
        <f t="shared" si="0"/>
        <v>4940437.7187914466</v>
      </c>
      <c r="Q17" s="183"/>
    </row>
    <row r="18" spans="1:17">
      <c r="A18" s="1036">
        <f t="shared" si="1"/>
        <v>7</v>
      </c>
      <c r="B18" s="314">
        <v>9020</v>
      </c>
      <c r="C18" s="183" t="s">
        <v>922</v>
      </c>
      <c r="D18" s="481">
        <f>0</f>
        <v>0</v>
      </c>
      <c r="E18" s="481">
        <f>0</f>
        <v>0</v>
      </c>
      <c r="F18" s="481">
        <f>0</f>
        <v>0</v>
      </c>
      <c r="G18" s="481">
        <f>0</f>
        <v>0</v>
      </c>
      <c r="H18" s="481">
        <f>0</f>
        <v>0</v>
      </c>
      <c r="I18" s="481">
        <f>0</f>
        <v>0</v>
      </c>
      <c r="J18" s="88">
        <f>VLOOKUP($B18,'[13]Div 12 forecast'!$D$171:$AF$247,'[13]Div 12 forecast'!L$170,FALSE)</f>
        <v>0</v>
      </c>
      <c r="K18" s="88">
        <f>VLOOKUP($B18,'[13]Div 12 forecast'!$D$171:$AF$247,'[13]Div 12 forecast'!M$170,FALSE)</f>
        <v>0</v>
      </c>
      <c r="L18" s="88">
        <f>VLOOKUP($B18,'[13]Div 12 forecast'!$D$171:$AF$247,'[13]Div 12 forecast'!N$170,FALSE)</f>
        <v>0</v>
      </c>
      <c r="M18" s="88">
        <f>VLOOKUP($B18,'[13]Div 12 forecast'!$D$171:$AF$247,'[13]Div 12 forecast'!O$170,FALSE)</f>
        <v>0</v>
      </c>
      <c r="N18" s="88">
        <f>VLOOKUP($B18,'[13]Div 12 forecast'!$D$171:$AF$247,'[13]Div 12 forecast'!P$170,FALSE)</f>
        <v>0</v>
      </c>
      <c r="O18" s="88">
        <f>VLOOKUP($B18,'[13]Div 12 forecast'!$D$171:$AF$247,'[13]Div 12 forecast'!Q$170,FALSE)</f>
        <v>0</v>
      </c>
      <c r="P18" s="95">
        <f t="shared" si="0"/>
        <v>0</v>
      </c>
      <c r="Q18" s="183"/>
    </row>
    <row r="19" spans="1:17">
      <c r="A19" s="1036">
        <f t="shared" si="1"/>
        <v>8</v>
      </c>
      <c r="B19" s="314">
        <v>9030</v>
      </c>
      <c r="C19" s="183" t="s">
        <v>926</v>
      </c>
      <c r="D19" s="481">
        <f>'[15]DIV 012 IS Activity'!L16</f>
        <v>1825152.3199999998</v>
      </c>
      <c r="E19" s="481">
        <f>'[15]DIV 012 IS Activity'!M16</f>
        <v>1679301.4100000001</v>
      </c>
      <c r="F19" s="481">
        <f>'[15]DIV 012 IS Activity'!N16</f>
        <v>1893104.77</v>
      </c>
      <c r="G19" s="481">
        <f>'[15]DIV 012 IS Activity'!O16</f>
        <v>1769755.31</v>
      </c>
      <c r="H19" s="481">
        <f>'[15]DIV 012 IS Activity'!P16</f>
        <v>1674505.02</v>
      </c>
      <c r="I19" s="481">
        <f>'[15]DIV 012 IS Activity'!Q16</f>
        <v>1859986.7500000002</v>
      </c>
      <c r="J19" s="88">
        <f>VLOOKUP($B19,'[13]Div 12 forecast'!$D$171:$AF$247,'[13]Div 12 forecast'!L$170,FALSE)</f>
        <v>2137170.8263267516</v>
      </c>
      <c r="K19" s="88">
        <f>VLOOKUP($B19,'[13]Div 12 forecast'!$D$171:$AF$247,'[13]Div 12 forecast'!M$170,FALSE)</f>
        <v>2006379.9594416935</v>
      </c>
      <c r="L19" s="88">
        <f>VLOOKUP($B19,'[13]Div 12 forecast'!$D$171:$AF$247,'[13]Div 12 forecast'!N$170,FALSE)</f>
        <v>2097488.3104089545</v>
      </c>
      <c r="M19" s="88">
        <f>VLOOKUP($B19,'[13]Div 12 forecast'!$D$171:$AF$247,'[13]Div 12 forecast'!O$170,FALSE)</f>
        <v>2065387.7389834442</v>
      </c>
      <c r="N19" s="88">
        <f>VLOOKUP($B19,'[13]Div 12 forecast'!$D$171:$AF$247,'[13]Div 12 forecast'!P$170,FALSE)</f>
        <v>2026187.4170779991</v>
      </c>
      <c r="O19" s="88">
        <f>VLOOKUP($B19,'[13]Div 12 forecast'!$D$171:$AF$247,'[13]Div 12 forecast'!Q$170,FALSE)</f>
        <v>2024983.1706443292</v>
      </c>
      <c r="P19" s="95">
        <f t="shared" si="0"/>
        <v>23059403.002883174</v>
      </c>
      <c r="Q19" s="183"/>
    </row>
    <row r="20" spans="1:17">
      <c r="A20" s="1036">
        <f t="shared" si="1"/>
        <v>9</v>
      </c>
      <c r="B20" s="314">
        <v>9200</v>
      </c>
      <c r="C20" s="183" t="s">
        <v>181</v>
      </c>
      <c r="D20" s="481">
        <f>'[15]DIV 012 IS Activity'!L17</f>
        <v>270729.69</v>
      </c>
      <c r="E20" s="481">
        <f>'[15]DIV 012 IS Activity'!M17</f>
        <v>253169.12</v>
      </c>
      <c r="F20" s="481">
        <f>'[15]DIV 012 IS Activity'!N17</f>
        <v>290399.92000000004</v>
      </c>
      <c r="G20" s="481">
        <f>'[15]DIV 012 IS Activity'!O17</f>
        <v>344454.85000000003</v>
      </c>
      <c r="H20" s="481">
        <f>'[15]DIV 012 IS Activity'!P17</f>
        <v>249039.50999999998</v>
      </c>
      <c r="I20" s="481">
        <f>'[15]DIV 012 IS Activity'!Q17</f>
        <v>300879.83</v>
      </c>
      <c r="J20" s="88">
        <f>VLOOKUP($B20,'[13]Div 12 forecast'!$D$171:$AF$247,'[13]Div 12 forecast'!L$170,FALSE)</f>
        <v>338598.81823494891</v>
      </c>
      <c r="K20" s="88">
        <f>VLOOKUP($B20,'[13]Div 12 forecast'!$D$171:$AF$247,'[13]Div 12 forecast'!M$170,FALSE)</f>
        <v>323578.1969347503</v>
      </c>
      <c r="L20" s="88">
        <f>VLOOKUP($B20,'[13]Div 12 forecast'!$D$171:$AF$247,'[13]Div 12 forecast'!N$170,FALSE)</f>
        <v>338598.81823494891</v>
      </c>
      <c r="M20" s="88">
        <f>VLOOKUP($B20,'[13]Div 12 forecast'!$D$171:$AF$247,'[13]Div 12 forecast'!O$170,FALSE)</f>
        <v>326816.16075769626</v>
      </c>
      <c r="N20" s="88">
        <f>VLOOKUP($B20,'[13]Div 12 forecast'!$D$171:$AF$247,'[13]Div 12 forecast'!P$170,FALSE)</f>
        <v>326816.16075769626</v>
      </c>
      <c r="O20" s="88">
        <f>VLOOKUP($B20,'[13]Div 12 forecast'!$D$171:$AF$247,'[13]Div 12 forecast'!Q$170,FALSE)</f>
        <v>326815.83437808411</v>
      </c>
      <c r="P20" s="95">
        <f t="shared" si="0"/>
        <v>3689896.9092981252</v>
      </c>
      <c r="Q20" s="183"/>
    </row>
    <row r="21" spans="1:17">
      <c r="A21" s="1036">
        <f t="shared" si="1"/>
        <v>10</v>
      </c>
      <c r="B21" s="314">
        <v>9210</v>
      </c>
      <c r="C21" s="183" t="s">
        <v>933</v>
      </c>
      <c r="D21" s="481">
        <f>'[15]DIV 012 IS Activity'!L18</f>
        <v>659502.9</v>
      </c>
      <c r="E21" s="481">
        <f>'[15]DIV 012 IS Activity'!M18</f>
        <v>649344.78</v>
      </c>
      <c r="F21" s="481">
        <f>'[15]DIV 012 IS Activity'!N18</f>
        <v>648815.22000000009</v>
      </c>
      <c r="G21" s="481">
        <f>'[15]DIV 012 IS Activity'!O18</f>
        <v>666149.92000000004</v>
      </c>
      <c r="H21" s="481">
        <f>'[15]DIV 012 IS Activity'!P18</f>
        <v>719356.57000000007</v>
      </c>
      <c r="I21" s="481">
        <f>'[15]DIV 012 IS Activity'!Q18</f>
        <v>720359.04</v>
      </c>
      <c r="J21" s="88">
        <f>VLOOKUP($B21,'[13]Div 12 forecast'!$D$171:$AF$247,'[13]Div 12 forecast'!L$170,FALSE)</f>
        <v>208930.2136277417</v>
      </c>
      <c r="K21" s="88">
        <f>VLOOKUP($B21,'[13]Div 12 forecast'!$D$171:$AF$247,'[13]Div 12 forecast'!M$170,FALSE)</f>
        <v>175445.48509584501</v>
      </c>
      <c r="L21" s="88">
        <f>VLOOKUP($B21,'[13]Div 12 forecast'!$D$171:$AF$247,'[13]Div 12 forecast'!N$170,FALSE)</f>
        <v>190749.5601261991</v>
      </c>
      <c r="M21" s="88">
        <f>VLOOKUP($B21,'[13]Div 12 forecast'!$D$171:$AF$247,'[13]Div 12 forecast'!O$170,FALSE)</f>
        <v>207776.55482664966</v>
      </c>
      <c r="N21" s="88">
        <f>VLOOKUP($B21,'[13]Div 12 forecast'!$D$171:$AF$247,'[13]Div 12 forecast'!P$170,FALSE)</f>
        <v>185986.46078597062</v>
      </c>
      <c r="O21" s="88">
        <f>VLOOKUP($B21,'[13]Div 12 forecast'!$D$171:$AF$247,'[13]Div 12 forecast'!Q$170,FALSE)</f>
        <v>178664.74735281381</v>
      </c>
      <c r="P21" s="95">
        <f t="shared" si="0"/>
        <v>5211081.4518152205</v>
      </c>
      <c r="Q21" s="183"/>
    </row>
    <row r="22" spans="1:17">
      <c r="A22" s="1036">
        <f t="shared" si="1"/>
        <v>11</v>
      </c>
      <c r="B22" s="314">
        <v>9220</v>
      </c>
      <c r="C22" s="183" t="s">
        <v>934</v>
      </c>
      <c r="D22" s="481">
        <f>'[15]DIV 012 IS Activity'!L19</f>
        <v>-4167435.9899999998</v>
      </c>
      <c r="E22" s="481">
        <f>'[15]DIV 012 IS Activity'!M19</f>
        <v>-3982735.0799999996</v>
      </c>
      <c r="F22" s="481">
        <f>'[15]DIV 012 IS Activity'!N19</f>
        <v>-4269084.95</v>
      </c>
      <c r="G22" s="481">
        <f>'[15]DIV 012 IS Activity'!O19</f>
        <v>-4205869.2299999995</v>
      </c>
      <c r="H22" s="481">
        <f>'[15]DIV 012 IS Activity'!P19</f>
        <v>-3968320.12</v>
      </c>
      <c r="I22" s="481">
        <f>'[15]DIV 012 IS Activity'!Q19</f>
        <v>-4422928.54</v>
      </c>
      <c r="J22" s="88">
        <f t="shared" ref="J22:O22" si="2">-(SUM(J12:J21)+SUM(J23:J28))</f>
        <v>-4328807.6100000003</v>
      </c>
      <c r="K22" s="88">
        <f t="shared" si="2"/>
        <v>-4098354.8899999997</v>
      </c>
      <c r="L22" s="88">
        <f t="shared" si="2"/>
        <v>-4255048.6099999994</v>
      </c>
      <c r="M22" s="88">
        <f t="shared" si="2"/>
        <v>-4193695.0100000007</v>
      </c>
      <c r="N22" s="88">
        <f t="shared" si="2"/>
        <v>-4111654.0100000002</v>
      </c>
      <c r="O22" s="88">
        <f t="shared" si="2"/>
        <v>-4097159.31</v>
      </c>
      <c r="P22" s="95">
        <f t="shared" si="0"/>
        <v>-50101093.349999994</v>
      </c>
      <c r="Q22" s="544"/>
    </row>
    <row r="23" spans="1:17">
      <c r="A23" s="1036">
        <f t="shared" si="1"/>
        <v>12</v>
      </c>
      <c r="B23" s="314">
        <v>9230</v>
      </c>
      <c r="C23" s="183" t="s">
        <v>935</v>
      </c>
      <c r="D23" s="481">
        <f>'[15]DIV 012 IS Activity'!L20</f>
        <v>78414.45</v>
      </c>
      <c r="E23" s="481">
        <f>'[15]DIV 012 IS Activity'!M20</f>
        <v>49788.66</v>
      </c>
      <c r="F23" s="481">
        <f>'[15]DIV 012 IS Activity'!N20</f>
        <v>34290.61</v>
      </c>
      <c r="G23" s="481">
        <f>'[15]DIV 012 IS Activity'!O20</f>
        <v>95902.249999999985</v>
      </c>
      <c r="H23" s="481">
        <f>'[15]DIV 012 IS Activity'!P20</f>
        <v>72232.569999999992</v>
      </c>
      <c r="I23" s="481">
        <f>'[15]DIV 012 IS Activity'!Q20</f>
        <v>97684.86</v>
      </c>
      <c r="J23" s="88">
        <f>VLOOKUP($B23,'[13]Div 12 forecast'!$D$171:$AF$247,'[13]Div 12 forecast'!L$170,FALSE)</f>
        <v>81879.238881814061</v>
      </c>
      <c r="K23" s="88">
        <f>VLOOKUP($B23,'[13]Div 12 forecast'!$D$171:$AF$247,'[13]Div 12 forecast'!M$170,FALSE)</f>
        <v>35861.245558563547</v>
      </c>
      <c r="L23" s="88">
        <f>VLOOKUP($B23,'[13]Div 12 forecast'!$D$171:$AF$247,'[13]Div 12 forecast'!N$170,FALSE)</f>
        <v>64467.025191935492</v>
      </c>
      <c r="M23" s="88">
        <f>VLOOKUP($B23,'[13]Div 12 forecast'!$D$171:$AF$247,'[13]Div 12 forecast'!O$170,FALSE)</f>
        <v>76508.588555390481</v>
      </c>
      <c r="N23" s="88">
        <f>VLOOKUP($B23,'[13]Div 12 forecast'!$D$171:$AF$247,'[13]Div 12 forecast'!P$170,FALSE)</f>
        <v>58135.311122888736</v>
      </c>
      <c r="O23" s="88">
        <f>VLOOKUP($B23,'[13]Div 12 forecast'!$D$171:$AF$247,'[13]Div 12 forecast'!Q$170,FALSE)</f>
        <v>49650.814270366085</v>
      </c>
      <c r="P23" s="95">
        <f t="shared" si="0"/>
        <v>794815.62358095834</v>
      </c>
      <c r="Q23" s="183"/>
    </row>
    <row r="24" spans="1:17">
      <c r="A24" s="1036">
        <f t="shared" si="1"/>
        <v>13</v>
      </c>
      <c r="B24" s="314">
        <v>9240</v>
      </c>
      <c r="C24" s="183" t="s">
        <v>936</v>
      </c>
      <c r="D24" s="481">
        <f>'[15]DIV 012 IS Activity'!L21</f>
        <v>6576.15</v>
      </c>
      <c r="E24" s="481">
        <f>'[15]DIV 012 IS Activity'!M21</f>
        <v>6576.15</v>
      </c>
      <c r="F24" s="481">
        <f>'[15]DIV 012 IS Activity'!N21</f>
        <v>6576.15</v>
      </c>
      <c r="G24" s="481">
        <f>'[15]DIV 012 IS Activity'!O21</f>
        <v>6576.15</v>
      </c>
      <c r="H24" s="481">
        <f>'[15]DIV 012 IS Activity'!P21</f>
        <v>6576.15</v>
      </c>
      <c r="I24" s="481">
        <f>'[15]DIV 012 IS Activity'!Q21</f>
        <v>6666.03</v>
      </c>
      <c r="J24" s="88">
        <f>VLOOKUP($B24,'[13]Div 12 forecast'!$D$171:$AF$247,'[13]Div 12 forecast'!L$170,FALSE)</f>
        <v>0</v>
      </c>
      <c r="K24" s="88">
        <f>VLOOKUP($B24,'[13]Div 12 forecast'!$D$171:$AF$247,'[13]Div 12 forecast'!M$170,FALSE)</f>
        <v>0</v>
      </c>
      <c r="L24" s="88">
        <f>VLOOKUP($B24,'[13]Div 12 forecast'!$D$171:$AF$247,'[13]Div 12 forecast'!N$170,FALSE)</f>
        <v>0</v>
      </c>
      <c r="M24" s="88">
        <f>VLOOKUP($B24,'[13]Div 12 forecast'!$D$171:$AF$247,'[13]Div 12 forecast'!O$170,FALSE)</f>
        <v>0</v>
      </c>
      <c r="N24" s="88">
        <f>VLOOKUP($B24,'[13]Div 12 forecast'!$D$171:$AF$247,'[13]Div 12 forecast'!P$170,FALSE)</f>
        <v>0</v>
      </c>
      <c r="O24" s="88">
        <f>VLOOKUP($B24,'[13]Div 12 forecast'!$D$171:$AF$247,'[13]Div 12 forecast'!Q$170,FALSE)</f>
        <v>0</v>
      </c>
      <c r="P24" s="95">
        <f t="shared" si="0"/>
        <v>39546.78</v>
      </c>
      <c r="Q24" s="183"/>
    </row>
    <row r="25" spans="1:17">
      <c r="A25" s="1036">
        <f t="shared" si="1"/>
        <v>14</v>
      </c>
      <c r="B25" s="314">
        <v>9250</v>
      </c>
      <c r="C25" s="72" t="s">
        <v>937</v>
      </c>
      <c r="D25" s="481">
        <f>'[15]DIV 012 IS Activity'!L22</f>
        <v>92.95</v>
      </c>
      <c r="E25" s="481">
        <f>'[15]DIV 012 IS Activity'!M22</f>
        <v>92.95</v>
      </c>
      <c r="F25" s="481">
        <f>'[15]DIV 012 IS Activity'!N22</f>
        <v>92.95</v>
      </c>
      <c r="G25" s="481">
        <f>'[15]DIV 012 IS Activity'!O22</f>
        <v>176.83</v>
      </c>
      <c r="H25" s="481">
        <f>'[15]DIV 012 IS Activity'!P22</f>
        <v>92.95</v>
      </c>
      <c r="I25" s="481">
        <f>'[15]DIV 012 IS Activity'!Q22</f>
        <v>92.95</v>
      </c>
      <c r="J25" s="88">
        <f>VLOOKUP($B25,'[13]Div 12 forecast'!$D$171:$AF$247,'[13]Div 12 forecast'!L$170,FALSE)</f>
        <v>0</v>
      </c>
      <c r="K25" s="88">
        <f>VLOOKUP($B25,'[13]Div 12 forecast'!$D$171:$AF$247,'[13]Div 12 forecast'!M$170,FALSE)</f>
        <v>0</v>
      </c>
      <c r="L25" s="88">
        <f>VLOOKUP($B25,'[13]Div 12 forecast'!$D$171:$AF$247,'[13]Div 12 forecast'!N$170,FALSE)</f>
        <v>0</v>
      </c>
      <c r="M25" s="88">
        <f>VLOOKUP($B25,'[13]Div 12 forecast'!$D$171:$AF$247,'[13]Div 12 forecast'!O$170,FALSE)</f>
        <v>0</v>
      </c>
      <c r="N25" s="88">
        <f>VLOOKUP($B25,'[13]Div 12 forecast'!$D$171:$AF$247,'[13]Div 12 forecast'!P$170,FALSE)</f>
        <v>0</v>
      </c>
      <c r="O25" s="88">
        <f>VLOOKUP($B25,'[13]Div 12 forecast'!$D$171:$AF$247,'[13]Div 12 forecast'!Q$170,FALSE)</f>
        <v>0</v>
      </c>
      <c r="P25" s="95">
        <f t="shared" si="0"/>
        <v>641.58000000000015</v>
      </c>
      <c r="Q25" s="183"/>
    </row>
    <row r="26" spans="1:17">
      <c r="A26" s="1036">
        <f t="shared" si="1"/>
        <v>15</v>
      </c>
      <c r="B26" s="314">
        <v>9260</v>
      </c>
      <c r="C26" s="183" t="s">
        <v>938</v>
      </c>
      <c r="D26" s="481">
        <f>'[15]DIV 012 IS Activity'!L23</f>
        <v>847167.99</v>
      </c>
      <c r="E26" s="481">
        <f>'[15]DIV 012 IS Activity'!M23</f>
        <v>857813.24</v>
      </c>
      <c r="F26" s="481">
        <f>'[15]DIV 012 IS Activity'!N23</f>
        <v>907833.74</v>
      </c>
      <c r="G26" s="481">
        <f>'[15]DIV 012 IS Activity'!O23</f>
        <v>837584.61</v>
      </c>
      <c r="H26" s="481">
        <f>'[15]DIV 012 IS Activity'!P23</f>
        <v>790921.69000000006</v>
      </c>
      <c r="I26" s="481">
        <f>'[15]DIV 012 IS Activity'!Q23</f>
        <v>908983.74</v>
      </c>
      <c r="J26" s="88">
        <f>VLOOKUP($B26,'[13]Div 12 forecast'!$D$171:$AF$247,'[13]Div 12 forecast'!L$170,FALSE)</f>
        <v>999638.79235812812</v>
      </c>
      <c r="K26" s="88">
        <f>VLOOKUP($B26,'[13]Div 12 forecast'!$D$171:$AF$247,'[13]Div 12 forecast'!M$170,FALSE)</f>
        <v>1016720.8175486103</v>
      </c>
      <c r="L26" s="88">
        <f>VLOOKUP($B26,'[13]Div 12 forecast'!$D$171:$AF$247,'[13]Div 12 forecast'!N$170,FALSE)</f>
        <v>1003272.7292551731</v>
      </c>
      <c r="M26" s="88">
        <f>VLOOKUP($B26,'[13]Div 12 forecast'!$D$171:$AF$247,'[13]Div 12 forecast'!O$170,FALSE)</f>
        <v>970075.55195723369</v>
      </c>
      <c r="N26" s="88">
        <f>VLOOKUP($B26,'[13]Div 12 forecast'!$D$171:$AF$247,'[13]Div 12 forecast'!P$170,FALSE)</f>
        <v>970075.55195723369</v>
      </c>
      <c r="O26" s="88">
        <f>VLOOKUP($B26,'[13]Div 12 forecast'!$D$171:$AF$247,'[13]Div 12 forecast'!Q$170,FALSE)</f>
        <v>972764.65614174202</v>
      </c>
      <c r="P26" s="95">
        <f>SUM(D26:O26)</f>
        <v>11082853.109218119</v>
      </c>
      <c r="Q26" s="183"/>
    </row>
    <row r="27" spans="1:17">
      <c r="A27" s="1036">
        <f t="shared" si="1"/>
        <v>16</v>
      </c>
      <c r="B27" s="314">
        <v>9310</v>
      </c>
      <c r="C27" s="183" t="s">
        <v>183</v>
      </c>
      <c r="D27" s="481">
        <f>'[15]DIV 012 IS Activity'!L24</f>
        <v>100626.11000000002</v>
      </c>
      <c r="E27" s="481">
        <f>'[15]DIV 012 IS Activity'!M24</f>
        <v>99559.650000000009</v>
      </c>
      <c r="F27" s="481">
        <f>'[15]DIV 012 IS Activity'!N24</f>
        <v>100784.92</v>
      </c>
      <c r="G27" s="481">
        <f>'[15]DIV 012 IS Activity'!O24</f>
        <v>99911.650000000009</v>
      </c>
      <c r="H27" s="481">
        <f>'[15]DIV 012 IS Activity'!P24</f>
        <v>100746.33</v>
      </c>
      <c r="I27" s="481">
        <f>'[15]DIV 012 IS Activity'!Q24</f>
        <v>91362.880000000005</v>
      </c>
      <c r="J27" s="88">
        <f>VLOOKUP($B27,'[13]Div 12 forecast'!$D$171:$AF$247,'[13]Div 12 forecast'!L$170,FALSE)</f>
        <v>95882.460777098371</v>
      </c>
      <c r="K27" s="88">
        <f>VLOOKUP($B27,'[13]Div 12 forecast'!$D$171:$AF$247,'[13]Div 12 forecast'!M$170,FALSE)</f>
        <v>95868.031512873058</v>
      </c>
      <c r="L27" s="88">
        <f>VLOOKUP($B27,'[13]Div 12 forecast'!$D$171:$AF$247,'[13]Div 12 forecast'!N$170,FALSE)</f>
        <v>95868.031512873058</v>
      </c>
      <c r="M27" s="88">
        <f>VLOOKUP($B27,'[13]Div 12 forecast'!$D$171:$AF$247,'[13]Div 12 forecast'!O$170,FALSE)</f>
        <v>95940.177833999551</v>
      </c>
      <c r="N27" s="88">
        <f>VLOOKUP($B27,'[13]Div 12 forecast'!$D$171:$AF$247,'[13]Div 12 forecast'!P$170,FALSE)</f>
        <v>95868.031512873058</v>
      </c>
      <c r="O27" s="88">
        <f>VLOOKUP($B27,'[13]Div 12 forecast'!$D$171:$AF$247,'[13]Div 12 forecast'!Q$170,FALSE)</f>
        <v>95868.031512873058</v>
      </c>
      <c r="P27" s="95">
        <f>SUM(D27:O27)</f>
        <v>1168286.3046625899</v>
      </c>
      <c r="Q27" s="183"/>
    </row>
    <row r="28" spans="1:17">
      <c r="A28" s="1036">
        <f t="shared" si="1"/>
        <v>17</v>
      </c>
      <c r="B28" s="314">
        <v>9320</v>
      </c>
      <c r="C28" s="183" t="s">
        <v>184</v>
      </c>
      <c r="D28" s="481">
        <f>'[15]DIV 012 IS Activity'!L25</f>
        <v>0</v>
      </c>
      <c r="E28" s="481">
        <f>'[15]DIV 012 IS Activity'!M25</f>
        <v>584.51</v>
      </c>
      <c r="F28" s="481">
        <f>'[15]DIV 012 IS Activity'!N25</f>
        <v>163.69</v>
      </c>
      <c r="G28" s="481">
        <f>'[15]DIV 012 IS Activity'!O25</f>
        <v>0</v>
      </c>
      <c r="H28" s="481">
        <f>'[15]DIV 012 IS Activity'!P25</f>
        <v>381.69</v>
      </c>
      <c r="I28" s="481">
        <f>'[15]DIV 012 IS Activity'!Q25</f>
        <v>665</v>
      </c>
      <c r="J28" s="88">
        <f>VLOOKUP($B28,'[13]Div 12 forecast'!$D$171:$AF$247,'[13]Div 12 forecast'!L$170,FALSE)</f>
        <v>2.2444379693866385</v>
      </c>
      <c r="K28" s="88">
        <f>VLOOKUP($B28,'[13]Div 12 forecast'!$D$171:$AF$247,'[13]Div 12 forecast'!M$170,FALSE)</f>
        <v>1.4543538660489996</v>
      </c>
      <c r="L28" s="88">
        <f>VLOOKUP($B28,'[13]Div 12 forecast'!$D$171:$AF$247,'[13]Div 12 forecast'!N$170,FALSE)</f>
        <v>1.4543538660489996</v>
      </c>
      <c r="M28" s="88">
        <f>VLOOKUP($B28,'[13]Div 12 forecast'!$D$171:$AF$247,'[13]Div 12 forecast'!O$170,FALSE)</f>
        <v>2.2444379693866385</v>
      </c>
      <c r="N28" s="88">
        <f>VLOOKUP($B28,'[13]Div 12 forecast'!$D$171:$AF$247,'[13]Div 12 forecast'!P$170,FALSE)</f>
        <v>1.4543538660489996</v>
      </c>
      <c r="O28" s="88">
        <f>VLOOKUP($B28,'[13]Div 12 forecast'!$D$171:$AF$247,'[13]Div 12 forecast'!Q$170,FALSE)</f>
        <v>1.4483627069715579</v>
      </c>
      <c r="P28" s="95">
        <f>SUM(D28:O28)</f>
        <v>1805.1903002438914</v>
      </c>
      <c r="Q28" s="183"/>
    </row>
    <row r="29" spans="1:17">
      <c r="A29" s="1036">
        <f t="shared" si="1"/>
        <v>18</v>
      </c>
      <c r="B29" s="183"/>
      <c r="C29" s="705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88"/>
      <c r="Q29" s="188"/>
    </row>
    <row r="30" spans="1:17" ht="15.75" thickBot="1">
      <c r="A30" s="1036">
        <f t="shared" si="1"/>
        <v>19</v>
      </c>
      <c r="B30" s="188" t="s">
        <v>728</v>
      </c>
      <c r="C30" s="705"/>
      <c r="D30" s="1131">
        <f>SUM(D12:D28)</f>
        <v>2.9103830456733704E-11</v>
      </c>
      <c r="E30" s="1131">
        <f t="shared" ref="E30:P30" si="3">SUM(E12:E29)</f>
        <v>3.2537172955926508E-10</v>
      </c>
      <c r="F30" s="1131">
        <f t="shared" si="3"/>
        <v>-9.9999998806765689E-3</v>
      </c>
      <c r="G30" s="1131">
        <f t="shared" si="3"/>
        <v>1.0000000460422598E-2</v>
      </c>
      <c r="H30" s="1131">
        <f t="shared" si="3"/>
        <v>-3.9999999937720077E-2</v>
      </c>
      <c r="I30" s="1131">
        <f t="shared" si="3"/>
        <v>-1.9999999552965164E-2</v>
      </c>
      <c r="J30" s="1131">
        <f t="shared" si="3"/>
        <v>1.5512613416035492E-10</v>
      </c>
      <c r="K30" s="1131">
        <f t="shared" si="3"/>
        <v>1.5811951747934927E-10</v>
      </c>
      <c r="L30" s="1131">
        <f t="shared" si="3"/>
        <v>6.2378080478708853E-10</v>
      </c>
      <c r="M30" s="1131">
        <f t="shared" si="3"/>
        <v>2.4158897105053256E-11</v>
      </c>
      <c r="N30" s="1131">
        <f t="shared" si="3"/>
        <v>4.1704195652414455E-11</v>
      </c>
      <c r="O30" s="1131">
        <f t="shared" si="3"/>
        <v>-2.8784308270246584E-11</v>
      </c>
      <c r="P30" s="1131">
        <f t="shared" si="3"/>
        <v>-5.9999993086194081E-2</v>
      </c>
      <c r="Q30" s="529"/>
    </row>
    <row r="31" spans="1:17" ht="15.75" thickTop="1">
      <c r="A31" s="1036">
        <f t="shared" si="1"/>
        <v>20</v>
      </c>
      <c r="B31" s="188"/>
      <c r="C31" s="705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</row>
    <row r="32" spans="1:17">
      <c r="A32" s="1036">
        <f t="shared" si="1"/>
        <v>21</v>
      </c>
      <c r="B32" s="1132">
        <f>B22</f>
        <v>9220</v>
      </c>
      <c r="C32" s="1134" t="str">
        <f>C22</f>
        <v>A&amp;G-Administrative expense transferred-Credit</v>
      </c>
      <c r="D32" s="574">
        <f>D22</f>
        <v>-4167435.9899999998</v>
      </c>
      <c r="E32" s="574">
        <f t="shared" ref="E32:I32" si="4">E22</f>
        <v>-3982735.0799999996</v>
      </c>
      <c r="F32" s="574">
        <f t="shared" si="4"/>
        <v>-4269084.95</v>
      </c>
      <c r="G32" s="574">
        <f t="shared" si="4"/>
        <v>-4205869.2299999995</v>
      </c>
      <c r="H32" s="574">
        <f t="shared" si="4"/>
        <v>-3968320.12</v>
      </c>
      <c r="I32" s="574">
        <f t="shared" si="4"/>
        <v>-4422928.54</v>
      </c>
      <c r="J32" s="574">
        <f t="shared" ref="J32:K32" si="5">-(J30-J22)</f>
        <v>-4328807.6100000003</v>
      </c>
      <c r="K32" s="574">
        <f t="shared" si="5"/>
        <v>-4098354.8899999997</v>
      </c>
      <c r="L32" s="1135">
        <f>L22</f>
        <v>-4255048.6099999994</v>
      </c>
      <c r="M32" s="1135">
        <f>M22</f>
        <v>-4193695.0100000007</v>
      </c>
      <c r="N32" s="1135">
        <f>N22</f>
        <v>-4111654.0100000002</v>
      </c>
      <c r="O32" s="1135">
        <f>O22</f>
        <v>-4097159.31</v>
      </c>
      <c r="P32" s="95">
        <f t="shared" ref="P32" si="6">SUM(D32:O32)</f>
        <v>-50101093.349999994</v>
      </c>
      <c r="Q32" s="188"/>
    </row>
    <row r="33" spans="1:17">
      <c r="A33" s="1036">
        <f t="shared" si="1"/>
        <v>22</v>
      </c>
      <c r="B33" s="188"/>
      <c r="C33" s="315" t="s">
        <v>194</v>
      </c>
      <c r="D33" s="1133">
        <f>D34/D32</f>
        <v>5.3071104278676638E-2</v>
      </c>
      <c r="E33" s="1133">
        <f t="shared" ref="E33:I33" si="7">E34/E32</f>
        <v>5.2934279023148088E-2</v>
      </c>
      <c r="F33" s="1133">
        <f t="shared" si="7"/>
        <v>5.3421490242305907E-2</v>
      </c>
      <c r="G33" s="1133">
        <f t="shared" si="7"/>
        <v>5.2779629574930945E-2</v>
      </c>
      <c r="H33" s="1133">
        <f t="shared" si="7"/>
        <v>5.2894807790859373E-2</v>
      </c>
      <c r="I33" s="1133">
        <f t="shared" si="7"/>
        <v>5.3269110696506979E-2</v>
      </c>
      <c r="J33" s="1133">
        <f>Allocation!$I$15</f>
        <v>5.5573860000000003E-2</v>
      </c>
      <c r="K33" s="1133">
        <f>Allocation!$I$15</f>
        <v>5.5573860000000003E-2</v>
      </c>
      <c r="L33" s="1133">
        <f>Allocation!$I$15</f>
        <v>5.5573860000000003E-2</v>
      </c>
      <c r="M33" s="1133">
        <f>Allocation!$I$15</f>
        <v>5.5573860000000003E-2</v>
      </c>
      <c r="N33" s="1133">
        <f>Allocation!$I$15</f>
        <v>5.5573860000000003E-2</v>
      </c>
      <c r="O33" s="1133">
        <f>Allocation!$I$15</f>
        <v>5.5573860000000003E-2</v>
      </c>
      <c r="P33" s="1133">
        <f t="shared" ref="P33" si="8">P34/P32</f>
        <v>5.4322216229595287E-2</v>
      </c>
      <c r="Q33" s="188"/>
    </row>
    <row r="34" spans="1:17">
      <c r="A34" s="1036">
        <f t="shared" si="1"/>
        <v>23</v>
      </c>
      <c r="B34" s="188"/>
      <c r="C34" s="188" t="s">
        <v>209</v>
      </c>
      <c r="D34" s="95">
        <f>-'[16]SMARTVIEW REPORT TEMPLATE'!H12</f>
        <v>-221170.43</v>
      </c>
      <c r="E34" s="95">
        <f>-'[16]SMARTVIEW REPORT TEMPLATE'!I12</f>
        <v>-210823.21</v>
      </c>
      <c r="F34" s="95">
        <f>-'[16]SMARTVIEW REPORT TEMPLATE'!J12</f>
        <v>-228060.88</v>
      </c>
      <c r="G34" s="95">
        <f>-'[16]SMARTVIEW REPORT TEMPLATE'!K12</f>
        <v>-221984.22</v>
      </c>
      <c r="H34" s="95">
        <f>-'[16]SMARTVIEW REPORT TEMPLATE'!L12</f>
        <v>-209903.53</v>
      </c>
      <c r="I34" s="95">
        <f>-'[16]SMARTVIEW REPORT TEMPLATE'!M12</f>
        <v>-235605.47</v>
      </c>
      <c r="J34" s="95">
        <f t="shared" ref="J34:O34" si="9">J32*J33</f>
        <v>-240568.54808507464</v>
      </c>
      <c r="K34" s="95">
        <f t="shared" si="9"/>
        <v>-227761.4008871754</v>
      </c>
      <c r="L34" s="95">
        <f t="shared" si="9"/>
        <v>-236469.47574533458</v>
      </c>
      <c r="M34" s="95">
        <f t="shared" si="9"/>
        <v>-233059.81936843865</v>
      </c>
      <c r="N34" s="95">
        <f t="shared" si="9"/>
        <v>-228500.48432017863</v>
      </c>
      <c r="O34" s="95">
        <f t="shared" si="9"/>
        <v>-227694.95789163662</v>
      </c>
      <c r="P34" s="95">
        <f>SUM(D34:O34)</f>
        <v>-2721602.4262978383</v>
      </c>
      <c r="Q34" s="188"/>
    </row>
    <row r="35" spans="1:17">
      <c r="A35" s="1036">
        <f t="shared" si="1"/>
        <v>24</v>
      </c>
      <c r="B35" s="188"/>
      <c r="C35" s="705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91"/>
      <c r="P35" s="710"/>
      <c r="Q35" s="188"/>
    </row>
    <row r="36" spans="1:17">
      <c r="A36" s="188"/>
      <c r="B36" s="188"/>
      <c r="C36" s="705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91"/>
      <c r="P36" s="191"/>
      <c r="Q36" s="188"/>
    </row>
    <row r="37" spans="1:17">
      <c r="A37" s="188"/>
      <c r="B37" s="188" t="s">
        <v>557</v>
      </c>
      <c r="C37" s="705"/>
      <c r="D37" s="529"/>
      <c r="E37" s="529"/>
      <c r="F37" s="529"/>
      <c r="G37" s="529"/>
      <c r="H37" s="529"/>
      <c r="I37" s="529"/>
      <c r="J37" s="188"/>
      <c r="K37" s="188"/>
      <c r="L37" s="188"/>
      <c r="M37" s="188"/>
      <c r="N37" s="188"/>
      <c r="O37" s="188"/>
      <c r="P37" s="529"/>
      <c r="Q37" s="188"/>
    </row>
    <row r="38" spans="1:17">
      <c r="A38" s="188"/>
      <c r="B38" s="188"/>
      <c r="C38" s="188"/>
      <c r="D38" s="191"/>
      <c r="E38" s="191"/>
      <c r="F38" s="191"/>
      <c r="G38" s="191"/>
      <c r="H38" s="191"/>
      <c r="I38" s="191"/>
      <c r="J38" s="188"/>
      <c r="K38" s="191"/>
      <c r="L38" s="191"/>
      <c r="M38" s="191"/>
      <c r="N38" s="191"/>
      <c r="O38" s="191"/>
      <c r="P38" s="191"/>
      <c r="Q38" s="191"/>
    </row>
    <row r="39" spans="1:17">
      <c r="A39" s="188"/>
      <c r="B39" s="188"/>
      <c r="C39" s="188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544"/>
      <c r="Q39" s="191"/>
    </row>
    <row r="40" spans="1:17">
      <c r="A40" s="188"/>
      <c r="B40" s="188" t="s">
        <v>942</v>
      </c>
      <c r="C40" s="188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</row>
    <row r="41" spans="1:17">
      <c r="A41" s="188"/>
      <c r="B41" s="188" t="s">
        <v>1581</v>
      </c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617"/>
      <c r="Q41" s="188"/>
    </row>
    <row r="42" spans="1:17">
      <c r="A42" s="188"/>
      <c r="B42" s="1" t="s">
        <v>1571</v>
      </c>
      <c r="C42" s="188"/>
      <c r="D42" s="617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</row>
    <row r="43" spans="1:17">
      <c r="A43" s="188"/>
      <c r="B43" s="72" t="s">
        <v>1582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91"/>
      <c r="P43" s="191"/>
      <c r="Q43" s="188"/>
    </row>
    <row r="44" spans="1:17">
      <c r="A44" s="18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91"/>
      <c r="P44" s="191"/>
      <c r="Q44" s="188"/>
    </row>
    <row r="45" spans="1:17">
      <c r="A45" s="188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91"/>
      <c r="P45" s="191"/>
      <c r="Q45" s="188"/>
    </row>
    <row r="46" spans="1:17">
      <c r="A46" s="188"/>
      <c r="B46" s="188"/>
      <c r="C46" s="544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</row>
    <row r="47" spans="1:17">
      <c r="A47" s="188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</row>
    <row r="48" spans="1:17">
      <c r="A48" s="188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</row>
    <row r="49" spans="1:17">
      <c r="A49" s="188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</row>
    <row r="50" spans="1:17">
      <c r="A50" s="188"/>
    </row>
    <row r="52" spans="1:17">
      <c r="C52" s="544"/>
    </row>
  </sheetData>
  <mergeCells count="4">
    <mergeCell ref="A1:P1"/>
    <mergeCell ref="A2:P2"/>
    <mergeCell ref="A3:P3"/>
    <mergeCell ref="A4:P4"/>
  </mergeCells>
  <phoneticPr fontId="21" type="noConversion"/>
  <printOptions horizontalCentered="1"/>
  <pageMargins left="0.5" right="0.5" top="0.75" bottom="0.63" header="0.5" footer="0.25"/>
  <pageSetup scale="47" fitToHeight="2" orientation="landscape" verticalDpi="300" r:id="rId1"/>
  <headerFooter alignWithMargins="0">
    <oddFooter>&amp;RSchedule &amp;A
Page &amp;P of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130"/>
  <dimension ref="A1:R83"/>
  <sheetViews>
    <sheetView view="pageBreakPreview" zoomScale="80" zoomScaleNormal="100" zoomScaleSheetLayoutView="80" workbookViewId="0">
      <selection sqref="A1:P1"/>
    </sheetView>
  </sheetViews>
  <sheetFormatPr defaultColWidth="7.109375" defaultRowHeight="15"/>
  <cols>
    <col min="1" max="1" width="6.21875" style="72" customWidth="1"/>
    <col min="2" max="2" width="7.21875" style="72" customWidth="1"/>
    <col min="3" max="3" width="38.88671875" style="72" customWidth="1"/>
    <col min="4" max="5" width="11.109375" style="72" customWidth="1"/>
    <col min="6" max="6" width="11.77734375" style="72" bestFit="1" customWidth="1"/>
    <col min="7" max="7" width="11.33203125" style="72" bestFit="1" customWidth="1"/>
    <col min="8" max="8" width="11.109375" style="72" customWidth="1"/>
    <col min="9" max="9" width="12" style="72" bestFit="1" customWidth="1"/>
    <col min="10" max="13" width="11.33203125" style="72" bestFit="1" customWidth="1"/>
    <col min="14" max="14" width="12.44140625" style="72" customWidth="1"/>
    <col min="15" max="15" width="10.5546875" style="72" bestFit="1" customWidth="1"/>
    <col min="16" max="16" width="12.44140625" style="72" customWidth="1"/>
    <col min="17" max="17" width="12.5546875" style="72" customWidth="1"/>
    <col min="18" max="16384" width="7.109375" style="72"/>
  </cols>
  <sheetData>
    <row r="1" spans="1:18">
      <c r="A1" s="1270" t="str">
        <f>'Table of Contents'!A1:C1</f>
        <v>Atmos Energy Corporation, Kentucky/Mid-States Division</v>
      </c>
      <c r="B1" s="1270"/>
      <c r="C1" s="1270"/>
      <c r="D1" s="1270"/>
      <c r="E1" s="1270"/>
      <c r="F1" s="1270"/>
      <c r="G1" s="1270"/>
      <c r="H1" s="1270"/>
      <c r="I1" s="1270"/>
      <c r="J1" s="1270"/>
      <c r="K1" s="1270"/>
      <c r="L1" s="1270"/>
      <c r="M1" s="1270"/>
      <c r="N1" s="1270"/>
      <c r="O1" s="1270"/>
      <c r="P1" s="1270"/>
      <c r="Q1" s="73"/>
      <c r="R1" s="73"/>
    </row>
    <row r="2" spans="1:18">
      <c r="A2" s="1270" t="str">
        <f>'Table of Contents'!A2:C2</f>
        <v>Kentucky Jurisdiction Case No. 2021-00214</v>
      </c>
      <c r="B2" s="1270"/>
      <c r="C2" s="1270"/>
      <c r="D2" s="1270"/>
      <c r="E2" s="1270"/>
      <c r="F2" s="1270"/>
      <c r="G2" s="1270"/>
      <c r="H2" s="1270"/>
      <c r="I2" s="1270"/>
      <c r="J2" s="1270"/>
      <c r="K2" s="1270"/>
      <c r="L2" s="1270"/>
      <c r="M2" s="1270"/>
      <c r="N2" s="1270"/>
      <c r="O2" s="1270"/>
      <c r="P2" s="1270"/>
      <c r="Q2" s="73"/>
      <c r="R2" s="73"/>
    </row>
    <row r="3" spans="1:18" ht="15.75">
      <c r="A3" s="1271" t="s">
        <v>189</v>
      </c>
      <c r="B3" s="1271"/>
      <c r="C3" s="1271"/>
      <c r="D3" s="1271"/>
      <c r="E3" s="1271"/>
      <c r="F3" s="1271"/>
      <c r="G3" s="1271"/>
      <c r="H3" s="1271"/>
      <c r="I3" s="1271"/>
      <c r="J3" s="1271"/>
      <c r="K3" s="1271"/>
      <c r="L3" s="1271"/>
      <c r="M3" s="1271"/>
      <c r="N3" s="1271"/>
      <c r="O3" s="1271"/>
      <c r="P3" s="1271"/>
      <c r="Q3" s="73"/>
      <c r="R3" s="73"/>
    </row>
    <row r="4" spans="1:18">
      <c r="A4" s="1270" t="str">
        <f>'Table of Contents'!A3:C3</f>
        <v>Base Period: Twelve Months Ended September 30, 2021</v>
      </c>
      <c r="B4" s="1270"/>
      <c r="C4" s="1270"/>
      <c r="D4" s="1270"/>
      <c r="E4" s="1270"/>
      <c r="F4" s="1270"/>
      <c r="G4" s="1270"/>
      <c r="H4" s="1270"/>
      <c r="I4" s="1270"/>
      <c r="J4" s="1270"/>
      <c r="K4" s="1270"/>
      <c r="L4" s="1270"/>
      <c r="M4" s="1270"/>
      <c r="N4" s="1270"/>
      <c r="O4" s="1270"/>
      <c r="P4" s="1270"/>
      <c r="Q4" s="172"/>
      <c r="R4" s="172"/>
    </row>
    <row r="5" spans="1:18">
      <c r="A5" s="73"/>
      <c r="B5" s="133"/>
      <c r="C5" s="133"/>
      <c r="D5" s="133"/>
      <c r="E5" s="133"/>
      <c r="F5" s="133"/>
      <c r="G5" s="700"/>
      <c r="H5" s="175"/>
      <c r="I5" s="175"/>
      <c r="J5" s="175"/>
      <c r="K5" s="175"/>
      <c r="L5" s="175"/>
      <c r="M5" s="175"/>
      <c r="N5" s="175"/>
      <c r="O5" s="175"/>
      <c r="P5" s="172"/>
      <c r="Q5" s="172"/>
      <c r="R5" s="172"/>
    </row>
    <row r="6" spans="1:18" ht="15.75">
      <c r="A6" s="472" t="str">
        <f>'C.2.2 B 09'!A6</f>
        <v>Data:___X____Base Period________Forecasted Period</v>
      </c>
      <c r="B6" s="172"/>
      <c r="C6" s="205"/>
      <c r="D6" s="172"/>
      <c r="E6" s="172"/>
      <c r="F6" s="701"/>
      <c r="G6" s="172"/>
      <c r="H6" s="172"/>
      <c r="I6" s="172"/>
      <c r="J6" s="172"/>
      <c r="K6" s="172"/>
      <c r="L6" s="172"/>
      <c r="M6" s="172"/>
      <c r="N6" s="172"/>
      <c r="O6" s="172"/>
      <c r="P6" s="425" t="s">
        <v>1373</v>
      </c>
      <c r="Q6" s="172"/>
      <c r="R6" s="172"/>
    </row>
    <row r="7" spans="1:18">
      <c r="A7" s="472" t="str">
        <f>'C.2.2 B 09'!A7</f>
        <v>Type of Filing:___X____Original________Updated ________Revised</v>
      </c>
      <c r="B7" s="172"/>
      <c r="C7" s="205"/>
      <c r="D7" s="172"/>
      <c r="E7" s="172"/>
      <c r="F7" s="172"/>
      <c r="G7" s="172"/>
      <c r="H7" s="172"/>
      <c r="I7" s="172"/>
      <c r="J7"/>
      <c r="K7"/>
      <c r="L7"/>
      <c r="M7"/>
      <c r="N7"/>
      <c r="O7"/>
      <c r="P7" s="426" t="s">
        <v>36</v>
      </c>
      <c r="Q7" s="172"/>
      <c r="R7" s="172"/>
    </row>
    <row r="8" spans="1:18">
      <c r="A8" s="1061" t="str">
        <f>'C.2.2 B 09'!A8</f>
        <v>Workpaper Reference No(s).____________________</v>
      </c>
      <c r="B8" s="209"/>
      <c r="C8" s="703"/>
      <c r="D8" s="208"/>
      <c r="E8" s="208"/>
      <c r="F8" s="208"/>
      <c r="G8" s="208"/>
      <c r="H8" s="208"/>
      <c r="I8" s="208"/>
      <c r="J8" s="208"/>
      <c r="K8" s="208"/>
      <c r="L8" s="208"/>
      <c r="M8" s="209"/>
      <c r="N8" s="209"/>
      <c r="O8" s="209"/>
      <c r="P8" s="1126" t="str">
        <f>'C.1'!J9</f>
        <v>Witness: Christian, Densman</v>
      </c>
      <c r="Q8" s="172"/>
      <c r="R8" s="172"/>
    </row>
    <row r="9" spans="1:18">
      <c r="A9" s="693" t="s">
        <v>92</v>
      </c>
      <c r="B9" s="694" t="s">
        <v>99</v>
      </c>
      <c r="C9" s="695"/>
      <c r="D9" s="1128" t="str">
        <f>'C.2.2 B 09'!D9</f>
        <v>actual</v>
      </c>
      <c r="E9" s="1128" t="str">
        <f>'C.2.2 B 09'!F9</f>
        <v>actual</v>
      </c>
      <c r="F9" s="1128" t="str">
        <f>'C.2.2 B 09'!F9</f>
        <v>actual</v>
      </c>
      <c r="G9" s="1128" t="str">
        <f>'C.2.2 B 09'!G9</f>
        <v>actual</v>
      </c>
      <c r="H9" s="1128" t="str">
        <f>'C.2.2 B 09'!H9</f>
        <v>actual</v>
      </c>
      <c r="I9" s="1128" t="str">
        <f>'C.2.2 B 09'!I9</f>
        <v>actual</v>
      </c>
      <c r="J9" s="1128" t="str">
        <f>'C.2.2 B 09'!J9</f>
        <v>Budgeted</v>
      </c>
      <c r="K9" s="1128" t="str">
        <f>'C.2.2 B 09'!K9</f>
        <v>Budgeted</v>
      </c>
      <c r="L9" s="1128" t="str">
        <f>'C.2.2 B 09'!L9</f>
        <v>Budgeted</v>
      </c>
      <c r="M9" s="1128" t="str">
        <f>'C.2.2 B 09'!M9</f>
        <v>Budgeted</v>
      </c>
      <c r="N9" s="1128" t="str">
        <f>'C.2.2 B 09'!N9</f>
        <v>Budgeted</v>
      </c>
      <c r="O9" s="1128" t="str">
        <f>'C.2.2 B 09'!O9</f>
        <v>Budgeted</v>
      </c>
      <c r="P9" s="704"/>
      <c r="Q9" s="389"/>
      <c r="R9" s="389"/>
    </row>
    <row r="10" spans="1:18">
      <c r="A10" s="696" t="s">
        <v>98</v>
      </c>
      <c r="B10" s="697" t="s">
        <v>98</v>
      </c>
      <c r="C10" s="698" t="s">
        <v>941</v>
      </c>
      <c r="D10" s="1129">
        <f>'C.2.2 B 09'!D10</f>
        <v>44105</v>
      </c>
      <c r="E10" s="1129">
        <f>'C.2.2 B 09'!E10</f>
        <v>44136</v>
      </c>
      <c r="F10" s="1129">
        <f>'C.2.2 B 09'!F10</f>
        <v>44166</v>
      </c>
      <c r="G10" s="1129">
        <f>'C.2.2 B 09'!G10</f>
        <v>44197</v>
      </c>
      <c r="H10" s="1129">
        <f>'C.2.2 B 09'!H10</f>
        <v>44228</v>
      </c>
      <c r="I10" s="1129">
        <f>'C.2.2 B 09'!I10</f>
        <v>44256</v>
      </c>
      <c r="J10" s="1129">
        <f>'C.2.2 B 09'!J10</f>
        <v>44287</v>
      </c>
      <c r="K10" s="1129">
        <f>'C.2.2 B 09'!K10</f>
        <v>44317</v>
      </c>
      <c r="L10" s="1129">
        <f>'C.2.2 B 09'!L10</f>
        <v>44348</v>
      </c>
      <c r="M10" s="1129">
        <f>'C.2.2 B 09'!M10</f>
        <v>44378</v>
      </c>
      <c r="N10" s="1129">
        <f>'C.2.2 B 09'!N10</f>
        <v>44409</v>
      </c>
      <c r="O10" s="1129">
        <f>'C.2.2 B 09'!O10</f>
        <v>44440</v>
      </c>
      <c r="P10" s="1129" t="str">
        <f>'C.2.2 B 09'!P10</f>
        <v>Total</v>
      </c>
      <c r="Q10" s="709"/>
      <c r="R10" s="389"/>
    </row>
    <row r="11" spans="1:18">
      <c r="A11" s="172"/>
      <c r="B11" s="172"/>
      <c r="C11" s="172"/>
      <c r="D11" s="182" t="s">
        <v>145</v>
      </c>
      <c r="E11" s="182" t="s">
        <v>145</v>
      </c>
      <c r="F11" s="182" t="s">
        <v>145</v>
      </c>
      <c r="G11" s="182" t="s">
        <v>145</v>
      </c>
      <c r="H11" s="182" t="s">
        <v>145</v>
      </c>
      <c r="I11" s="182" t="s">
        <v>145</v>
      </c>
      <c r="J11" s="182" t="s">
        <v>145</v>
      </c>
      <c r="K11" s="182" t="s">
        <v>145</v>
      </c>
      <c r="L11" s="182" t="s">
        <v>145</v>
      </c>
      <c r="M11" s="182" t="s">
        <v>145</v>
      </c>
      <c r="N11" s="182" t="s">
        <v>145</v>
      </c>
      <c r="O11" s="182" t="s">
        <v>145</v>
      </c>
      <c r="P11" s="182" t="s">
        <v>145</v>
      </c>
      <c r="Q11" s="182"/>
      <c r="R11" s="172"/>
    </row>
    <row r="12" spans="1:18">
      <c r="A12" s="172"/>
      <c r="B12" s="669" t="s">
        <v>727</v>
      </c>
      <c r="C12" s="95" t="s">
        <v>719</v>
      </c>
      <c r="D12" s="481">
        <f>'[12]DIV 091 IS Activity'!L10+'[12]DIV 091 IS Activity'!L11</f>
        <v>665312</v>
      </c>
      <c r="E12" s="481">
        <f>'[12]DIV 091 IS Activity'!M10+'[12]DIV 091 IS Activity'!M11</f>
        <v>1429633.39</v>
      </c>
      <c r="F12" s="481">
        <f>'[12]DIV 091 IS Activity'!N10+'[12]DIV 091 IS Activity'!N11</f>
        <v>-1740377</v>
      </c>
      <c r="G12" s="481">
        <f>'[12]DIV 091 IS Activity'!O10+'[12]DIV 091 IS Activity'!O11</f>
        <v>3165370.89</v>
      </c>
      <c r="H12" s="481">
        <f>'[12]DIV 091 IS Activity'!P10+'[12]DIV 091 IS Activity'!P11</f>
        <v>2485333.08</v>
      </c>
      <c r="I12" s="481">
        <f>'[12]DIV 091 IS Activity'!Q10+'[12]DIV 091 IS Activity'!Q11</f>
        <v>-5632004</v>
      </c>
      <c r="J12" s="481"/>
      <c r="K12" s="88"/>
      <c r="L12" s="88"/>
      <c r="M12" s="88"/>
      <c r="N12" s="88"/>
      <c r="O12" s="88"/>
      <c r="P12" s="95">
        <f t="shared" ref="P12:P15" si="0">SUM(D12:O12)</f>
        <v>373268.36000000034</v>
      </c>
      <c r="Q12" s="182"/>
      <c r="R12" s="172"/>
    </row>
    <row r="13" spans="1:18">
      <c r="A13" s="172"/>
      <c r="B13" s="172"/>
      <c r="C13" s="17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95">
        <f t="shared" si="0"/>
        <v>0</v>
      </c>
      <c r="Q13" s="182"/>
      <c r="R13" s="172"/>
    </row>
    <row r="14" spans="1:18">
      <c r="A14" s="389">
        <v>1</v>
      </c>
      <c r="B14" s="669">
        <v>4030</v>
      </c>
      <c r="C14" s="172" t="s">
        <v>90</v>
      </c>
      <c r="D14" s="481">
        <f>'[12]DIV 091 IS Activity'!L6</f>
        <v>-4.5474735088646412E-13</v>
      </c>
      <c r="E14" s="481">
        <f>'[12]DIV 091 IS Activity'!M6</f>
        <v>-1.0000000000218279E-2</v>
      </c>
      <c r="F14" s="481">
        <f>'[12]DIV 091 IS Activity'!N6</f>
        <v>4.5474735088646412E-13</v>
      </c>
      <c r="G14" s="481">
        <f>'[12]DIV 091 IS Activity'!O6</f>
        <v>-9.9999999997635314E-3</v>
      </c>
      <c r="H14" s="481">
        <f>'[12]DIV 091 IS Activity'!P6</f>
        <v>1.0000000000218279E-2</v>
      </c>
      <c r="I14" s="481">
        <f>'[12]DIV 091 IS Activity'!Q6</f>
        <v>0</v>
      </c>
      <c r="J14" s="481">
        <f>0</f>
        <v>0</v>
      </c>
      <c r="K14" s="481">
        <f>0</f>
        <v>0</v>
      </c>
      <c r="L14" s="481">
        <f>0</f>
        <v>0</v>
      </c>
      <c r="M14" s="481">
        <f>0</f>
        <v>0</v>
      </c>
      <c r="N14" s="481">
        <f>0</f>
        <v>0</v>
      </c>
      <c r="O14" s="481">
        <f>0</f>
        <v>0</v>
      </c>
      <c r="P14" s="95">
        <f t="shared" si="0"/>
        <v>-9.9999999997635314E-3</v>
      </c>
      <c r="Q14" s="544"/>
      <c r="R14" s="183"/>
    </row>
    <row r="15" spans="1:18">
      <c r="A15" s="1036">
        <f>A14+1</f>
        <v>2</v>
      </c>
      <c r="B15" s="669" t="s">
        <v>1338</v>
      </c>
      <c r="C15" s="172" t="s">
        <v>853</v>
      </c>
      <c r="D15" s="481">
        <f>'[12]DIV 091 IS Activity'!L7</f>
        <v>0</v>
      </c>
      <c r="E15" s="481">
        <f>'[12]DIV 091 IS Activity'!M7</f>
        <v>0</v>
      </c>
      <c r="F15" s="481">
        <f>'[12]DIV 091 IS Activity'!N7</f>
        <v>0</v>
      </c>
      <c r="G15" s="481">
        <f>'[12]DIV 091 IS Activity'!O7</f>
        <v>0</v>
      </c>
      <c r="H15" s="481">
        <f>'[12]DIV 091 IS Activity'!P7</f>
        <v>0</v>
      </c>
      <c r="I15" s="481">
        <f>'[12]DIV 091 IS Activity'!Q7</f>
        <v>0</v>
      </c>
      <c r="J15" s="481">
        <f>0</f>
        <v>0</v>
      </c>
      <c r="K15" s="481">
        <f>0</f>
        <v>0</v>
      </c>
      <c r="L15" s="481">
        <f>0</f>
        <v>0</v>
      </c>
      <c r="M15" s="481">
        <f>0</f>
        <v>0</v>
      </c>
      <c r="N15" s="481">
        <f>0</f>
        <v>0</v>
      </c>
      <c r="O15" s="481">
        <f>0</f>
        <v>0</v>
      </c>
      <c r="P15" s="95">
        <f t="shared" si="0"/>
        <v>0</v>
      </c>
      <c r="Q15" s="544"/>
      <c r="R15" s="183"/>
    </row>
    <row r="16" spans="1:18">
      <c r="A16" s="1036">
        <f t="shared" ref="A16:A65" si="1">A15+1</f>
        <v>3</v>
      </c>
      <c r="B16" s="314">
        <v>4081</v>
      </c>
      <c r="C16" s="172" t="s">
        <v>854</v>
      </c>
      <c r="D16" s="481">
        <f>'[12]DIV 091 IS Activity'!L9</f>
        <v>3.637978807091713E-12</v>
      </c>
      <c r="E16" s="481">
        <f>'[12]DIV 091 IS Activity'!M9</f>
        <v>-9.9999999947613105E-3</v>
      </c>
      <c r="F16" s="481">
        <f>'[12]DIV 091 IS Activity'!N9</f>
        <v>3.637978807091713E-12</v>
      </c>
      <c r="G16" s="481">
        <f>'[12]DIV 091 IS Activity'!O9</f>
        <v>3.637978807091713E-12</v>
      </c>
      <c r="H16" s="481">
        <f>'[12]DIV 091 IS Activity'!P9</f>
        <v>1.4551915228366852E-11</v>
      </c>
      <c r="I16" s="481">
        <f>'[12]DIV 091 IS Activity'!Q9</f>
        <v>-7.2759576141834259E-12</v>
      </c>
      <c r="J16" s="481">
        <f>0</f>
        <v>0</v>
      </c>
      <c r="K16" s="481">
        <f>0</f>
        <v>0</v>
      </c>
      <c r="L16" s="481">
        <f>0</f>
        <v>0</v>
      </c>
      <c r="M16" s="481">
        <f>0</f>
        <v>0</v>
      </c>
      <c r="N16" s="481">
        <f>0</f>
        <v>0</v>
      </c>
      <c r="O16" s="481">
        <f>0</f>
        <v>0</v>
      </c>
      <c r="P16" s="95">
        <f t="shared" ref="P16:P59" si="2">SUM(D16:O16)</f>
        <v>-9.9999999765714165E-3</v>
      </c>
      <c r="Q16" s="183"/>
      <c r="R16" s="183"/>
    </row>
    <row r="17" spans="1:18">
      <c r="A17" s="1036">
        <f t="shared" si="1"/>
        <v>4</v>
      </c>
      <c r="B17" s="314">
        <v>8170</v>
      </c>
      <c r="C17" s="172" t="s">
        <v>877</v>
      </c>
      <c r="D17" s="481">
        <f>'[12]DIV 091 IS Activity'!L18</f>
        <v>42.91</v>
      </c>
      <c r="E17" s="481">
        <f>'[12]DIV 091 IS Activity'!M18</f>
        <v>41.39</v>
      </c>
      <c r="F17" s="481">
        <f>'[12]DIV 091 IS Activity'!N18</f>
        <v>39.950000000000003</v>
      </c>
      <c r="G17" s="481">
        <f>'[12]DIV 091 IS Activity'!O18</f>
        <v>44.34</v>
      </c>
      <c r="H17" s="481">
        <f>'[12]DIV 091 IS Activity'!P18</f>
        <v>90.28</v>
      </c>
      <c r="I17" s="481">
        <f>'[12]DIV 091 IS Activity'!Q18</f>
        <v>0.46</v>
      </c>
      <c r="J17" s="88">
        <f>VLOOKUP($B17,'[13]Div 91 forecast'!$D$338:$AF$417,'[13]Div 91 forecast'!L$337,FALSE)</f>
        <v>72.859574105338893</v>
      </c>
      <c r="K17" s="88">
        <f>VLOOKUP($B17,'[13]Div 91 forecast'!$D$338:$AF$417,'[13]Div 91 forecast'!M$337,FALSE)</f>
        <v>71.826680658907193</v>
      </c>
      <c r="L17" s="88">
        <f>VLOOKUP($B17,'[13]Div 91 forecast'!$D$338:$AF$417,'[13]Div 91 forecast'!N$337,FALSE)</f>
        <v>70.184426980033876</v>
      </c>
      <c r="M17" s="88">
        <f>VLOOKUP($B17,'[13]Div 91 forecast'!$D$338:$AF$417,'[13]Div 91 forecast'!O$337,FALSE)</f>
        <v>70.121198732735763</v>
      </c>
      <c r="N17" s="88">
        <f>VLOOKUP($B17,'[13]Div 91 forecast'!$D$338:$AF$417,'[13]Div 91 forecast'!P$337,FALSE)</f>
        <v>69.992469222667054</v>
      </c>
      <c r="O17" s="88">
        <f>VLOOKUP($B17,'[13]Div 91 forecast'!$D$338:$AF$417,'[13]Div 91 forecast'!Q$337,FALSE)</f>
        <v>70.360777764966343</v>
      </c>
      <c r="P17" s="95">
        <f t="shared" si="2"/>
        <v>684.67512746464911</v>
      </c>
      <c r="Q17" s="183"/>
      <c r="R17" s="183"/>
    </row>
    <row r="18" spans="1:18">
      <c r="A18" s="1036">
        <f t="shared" si="1"/>
        <v>5</v>
      </c>
      <c r="B18" s="314">
        <v>8180</v>
      </c>
      <c r="C18" s="172" t="s">
        <v>878</v>
      </c>
      <c r="D18" s="481">
        <f>'[12]DIV 091 IS Activity'!L19</f>
        <v>30.04000000000002</v>
      </c>
      <c r="E18" s="481">
        <f>'[12]DIV 091 IS Activity'!M19</f>
        <v>28.979999999999961</v>
      </c>
      <c r="F18" s="481">
        <f>'[12]DIV 091 IS Activity'!N19</f>
        <v>27.970000000000027</v>
      </c>
      <c r="G18" s="481">
        <f>'[12]DIV 091 IS Activity'!O19</f>
        <v>31.039999999999964</v>
      </c>
      <c r="H18" s="481">
        <f>'[12]DIV 091 IS Activity'!P19</f>
        <v>63.200000000000045</v>
      </c>
      <c r="I18" s="481">
        <f>'[12]DIV 091 IS Activity'!Q19</f>
        <v>0.31999999999999984</v>
      </c>
      <c r="J18" s="88">
        <f>VLOOKUP($B18,'[13]Div 91 forecast'!$D$338:$AF$417,'[13]Div 91 forecast'!L$337,FALSE)</f>
        <v>51.007039983126845</v>
      </c>
      <c r="K18" s="88">
        <f>VLOOKUP($B18,'[13]Div 91 forecast'!$D$338:$AF$417,'[13]Div 91 forecast'!M$337,FALSE)</f>
        <v>50.283938894939297</v>
      </c>
      <c r="L18" s="88">
        <f>VLOOKUP($B18,'[13]Div 91 forecast'!$D$338:$AF$417,'[13]Div 91 forecast'!N$337,FALSE)</f>
        <v>49.134240998824509</v>
      </c>
      <c r="M18" s="88">
        <f>VLOOKUP($B18,'[13]Div 91 forecast'!$D$338:$AF$417,'[13]Div 91 forecast'!O$337,FALSE)</f>
        <v>49.089976593252572</v>
      </c>
      <c r="N18" s="88">
        <f>VLOOKUP($B18,'[13]Div 91 forecast'!$D$338:$AF$417,'[13]Div 91 forecast'!P$337,FALSE)</f>
        <v>48.999856504743832</v>
      </c>
      <c r="O18" s="88">
        <f>VLOOKUP($B18,'[13]Div 91 forecast'!$D$338:$AF$417,'[13]Div 91 forecast'!Q$337,FALSE)</f>
        <v>49.257699468745045</v>
      </c>
      <c r="P18" s="95">
        <f t="shared" si="2"/>
        <v>479.32275244363211</v>
      </c>
      <c r="Q18" s="183"/>
      <c r="R18" s="183"/>
    </row>
    <row r="19" spans="1:18">
      <c r="A19" s="1036">
        <f t="shared" si="1"/>
        <v>6</v>
      </c>
      <c r="B19" s="314">
        <v>8190</v>
      </c>
      <c r="C19" s="172" t="s">
        <v>879</v>
      </c>
      <c r="D19" s="481">
        <f>'[12]DIV 091 IS Activity'!L20</f>
        <v>4.58</v>
      </c>
      <c r="E19" s="481">
        <f>'[12]DIV 091 IS Activity'!M20</f>
        <v>31.66</v>
      </c>
      <c r="F19" s="481">
        <f>'[12]DIV 091 IS Activity'!N20</f>
        <v>65.12</v>
      </c>
      <c r="G19" s="481">
        <f>'[12]DIV 091 IS Activity'!O20</f>
        <v>73.81</v>
      </c>
      <c r="H19" s="481">
        <f>'[12]DIV 091 IS Activity'!P20</f>
        <v>33.380000000000003</v>
      </c>
      <c r="I19" s="481">
        <f>'[12]DIV 091 IS Activity'!Q20</f>
        <v>16.239999999999998</v>
      </c>
      <c r="J19" s="88">
        <f>VLOOKUP($B19,'[13]Div 91 forecast'!$D$338:$AF$417,'[13]Div 91 forecast'!L$337,FALSE)</f>
        <v>63.155453141322376</v>
      </c>
      <c r="K19" s="88">
        <f>VLOOKUP($B19,'[13]Div 91 forecast'!$D$338:$AF$417,'[13]Div 91 forecast'!M$337,FALSE)</f>
        <v>62.260130124998078</v>
      </c>
      <c r="L19" s="88">
        <f>VLOOKUP($B19,'[13]Div 91 forecast'!$D$338:$AF$417,'[13]Div 91 forecast'!N$337,FALSE)</f>
        <v>60.836607183287001</v>
      </c>
      <c r="M19" s="88">
        <f>VLOOKUP($B19,'[13]Div 91 forecast'!$D$338:$AF$417,'[13]Div 91 forecast'!O$337,FALSE)</f>
        <v>60.78180026657801</v>
      </c>
      <c r="N19" s="88">
        <f>VLOOKUP($B19,'[13]Div 91 forecast'!$D$338:$AF$417,'[13]Div 91 forecast'!P$337,FALSE)</f>
        <v>60.670216159192265</v>
      </c>
      <c r="O19" s="88">
        <f>VLOOKUP($B19,'[13]Div 91 forecast'!$D$338:$AF$417,'[13]Div 91 forecast'!Q$337,FALSE)</f>
        <v>60.989469917814326</v>
      </c>
      <c r="P19" s="95">
        <f t="shared" si="2"/>
        <v>593.48367679319199</v>
      </c>
      <c r="Q19" s="183"/>
      <c r="R19" s="183"/>
    </row>
    <row r="20" spans="1:18">
      <c r="A20" s="1036">
        <f t="shared" si="1"/>
        <v>7</v>
      </c>
      <c r="B20" s="314">
        <v>8210</v>
      </c>
      <c r="C20" s="172" t="s">
        <v>881</v>
      </c>
      <c r="D20" s="481">
        <f>'[12]DIV 091 IS Activity'!L21</f>
        <v>98.53</v>
      </c>
      <c r="E20" s="481">
        <f>'[12]DIV 091 IS Activity'!M21</f>
        <v>114.78</v>
      </c>
      <c r="F20" s="481">
        <f>'[12]DIV 091 IS Activity'!N21</f>
        <v>268.01</v>
      </c>
      <c r="G20" s="481">
        <f>'[12]DIV 091 IS Activity'!O21</f>
        <v>299.08</v>
      </c>
      <c r="H20" s="481">
        <f>'[12]DIV 091 IS Activity'!P21</f>
        <v>302.98</v>
      </c>
      <c r="I20" s="481">
        <f>'[12]DIV 091 IS Activity'!Q21</f>
        <v>210.46</v>
      </c>
      <c r="J20" s="88">
        <f>VLOOKUP($B20,'[13]Div 91 forecast'!$D$338:$AF$417,'[13]Div 91 forecast'!L$337,FALSE)</f>
        <v>363.50839224328723</v>
      </c>
      <c r="K20" s="88">
        <f>VLOOKUP($B20,'[13]Div 91 forecast'!$D$338:$AF$417,'[13]Div 91 forecast'!M$337,FALSE)</f>
        <v>358.35511704669921</v>
      </c>
      <c r="L20" s="88">
        <f>VLOOKUP($B20,'[13]Div 91 forecast'!$D$338:$AF$417,'[13]Div 91 forecast'!N$337,FALSE)</f>
        <v>350.16164348068884</v>
      </c>
      <c r="M20" s="88">
        <f>VLOOKUP($B20,'[13]Div 91 forecast'!$D$338:$AF$417,'[13]Div 91 forecast'!O$337,FALSE)</f>
        <v>349.8461873611339</v>
      </c>
      <c r="N20" s="88">
        <f>VLOOKUP($B20,'[13]Div 91 forecast'!$D$338:$AF$417,'[13]Div 91 forecast'!P$337,FALSE)</f>
        <v>349.20393467418177</v>
      </c>
      <c r="O20" s="88">
        <f>VLOOKUP($B20,'[13]Div 91 forecast'!$D$338:$AF$417,'[13]Div 91 forecast'!Q$337,FALSE)</f>
        <v>351.04148653616653</v>
      </c>
      <c r="P20" s="95">
        <f t="shared" si="2"/>
        <v>3415.9567613421577</v>
      </c>
      <c r="Q20" s="183"/>
      <c r="R20" s="183"/>
    </row>
    <row r="21" spans="1:18">
      <c r="A21" s="1036">
        <f t="shared" si="1"/>
        <v>8</v>
      </c>
      <c r="B21" s="314">
        <v>8240</v>
      </c>
      <c r="C21" s="172" t="s">
        <v>882</v>
      </c>
      <c r="D21" s="481">
        <f>0</f>
        <v>0</v>
      </c>
      <c r="E21" s="481">
        <f>0</f>
        <v>0</v>
      </c>
      <c r="F21" s="481">
        <f>0</f>
        <v>0</v>
      </c>
      <c r="G21" s="481">
        <f>0</f>
        <v>0</v>
      </c>
      <c r="H21" s="481">
        <f>0</f>
        <v>0</v>
      </c>
      <c r="I21" s="481">
        <f>0</f>
        <v>0</v>
      </c>
      <c r="J21" s="88">
        <f>VLOOKUP($B21,'[13]Div 91 forecast'!$D$338:$AF$417,'[13]Div 91 forecast'!L$337,FALSE)</f>
        <v>0</v>
      </c>
      <c r="K21" s="88">
        <f>VLOOKUP($B21,'[13]Div 91 forecast'!$D$338:$AF$417,'[13]Div 91 forecast'!M$337,FALSE)</f>
        <v>0</v>
      </c>
      <c r="L21" s="88">
        <f>VLOOKUP($B21,'[13]Div 91 forecast'!$D$338:$AF$417,'[13]Div 91 forecast'!N$337,FALSE)</f>
        <v>0</v>
      </c>
      <c r="M21" s="88">
        <f>VLOOKUP($B21,'[13]Div 91 forecast'!$D$338:$AF$417,'[13]Div 91 forecast'!O$337,FALSE)</f>
        <v>0</v>
      </c>
      <c r="N21" s="88">
        <f>VLOOKUP($B21,'[13]Div 91 forecast'!$D$338:$AF$417,'[13]Div 91 forecast'!P$337,FALSE)</f>
        <v>0</v>
      </c>
      <c r="O21" s="88">
        <f>VLOOKUP($B21,'[13]Div 91 forecast'!$D$338:$AF$417,'[13]Div 91 forecast'!Q$337,FALSE)</f>
        <v>0</v>
      </c>
      <c r="P21" s="95">
        <f t="shared" si="2"/>
        <v>0</v>
      </c>
      <c r="Q21" s="183"/>
      <c r="R21" s="183"/>
    </row>
    <row r="22" spans="1:18">
      <c r="A22" s="1036">
        <f t="shared" si="1"/>
        <v>9</v>
      </c>
      <c r="B22" s="314">
        <v>8250</v>
      </c>
      <c r="C22" s="172" t="s">
        <v>893</v>
      </c>
      <c r="D22" s="481">
        <f>'[12]DIV 091 IS Activity'!L22</f>
        <v>882.02</v>
      </c>
      <c r="E22" s="481">
        <f>'[12]DIV 091 IS Activity'!M22</f>
        <v>458.57</v>
      </c>
      <c r="F22" s="481">
        <f>'[12]DIV 091 IS Activity'!N22</f>
        <v>1101.8100000000002</v>
      </c>
      <c r="G22" s="481">
        <f>'[12]DIV 091 IS Activity'!O22</f>
        <v>2270.65</v>
      </c>
      <c r="H22" s="481">
        <f>'[12]DIV 091 IS Activity'!P22</f>
        <v>1407.2199999999998</v>
      </c>
      <c r="I22" s="481">
        <f>'[12]DIV 091 IS Activity'!Q22</f>
        <v>933.5</v>
      </c>
      <c r="J22" s="88">
        <f>VLOOKUP($B22,'[13]Div 91 forecast'!$D$338:$AF$417,'[13]Div 91 forecast'!L$337,FALSE)</f>
        <v>1981.778729946463</v>
      </c>
      <c r="K22" s="88">
        <f>VLOOKUP($B22,'[13]Div 91 forecast'!$D$338:$AF$417,'[13]Div 91 forecast'!M$337,FALSE)</f>
        <v>1953.6840521011059</v>
      </c>
      <c r="L22" s="88">
        <f>VLOOKUP($B22,'[13]Div 91 forecast'!$D$338:$AF$417,'[13]Div 91 forecast'!N$337,FALSE)</f>
        <v>1909.0147900318264</v>
      </c>
      <c r="M22" s="88">
        <f>VLOOKUP($B22,'[13]Div 91 forecast'!$D$338:$AF$417,'[13]Div 91 forecast'!O$337,FALSE)</f>
        <v>1907.2949831682008</v>
      </c>
      <c r="N22" s="88">
        <f>VLOOKUP($B22,'[13]Div 91 forecast'!$D$338:$AF$417,'[13]Div 91 forecast'!P$337,FALSE)</f>
        <v>1903.7935434726883</v>
      </c>
      <c r="O22" s="88">
        <f>VLOOKUP($B22,'[13]Div 91 forecast'!$D$338:$AF$417,'[13]Div 91 forecast'!Q$337,FALSE)</f>
        <v>1913.811527301842</v>
      </c>
      <c r="P22" s="95">
        <f t="shared" si="2"/>
        <v>18623.147626022128</v>
      </c>
      <c r="Q22" s="183"/>
      <c r="R22" s="183"/>
    </row>
    <row r="23" spans="1:18">
      <c r="A23" s="1036">
        <f t="shared" si="1"/>
        <v>10</v>
      </c>
      <c r="B23" s="314">
        <v>8500</v>
      </c>
      <c r="C23" s="172" t="s">
        <v>898</v>
      </c>
      <c r="D23" s="481">
        <f>'[12]DIV 091 IS Activity'!L23</f>
        <v>0</v>
      </c>
      <c r="E23" s="481">
        <f>'[12]DIV 091 IS Activity'!M23</f>
        <v>24916.09</v>
      </c>
      <c r="F23" s="481">
        <f>'[12]DIV 091 IS Activity'!N23</f>
        <v>1796.84</v>
      </c>
      <c r="G23" s="481">
        <f>'[12]DIV 091 IS Activity'!O23</f>
        <v>1555.5</v>
      </c>
      <c r="H23" s="481">
        <f>'[12]DIV 091 IS Activity'!P23</f>
        <v>867.9</v>
      </c>
      <c r="I23" s="481">
        <f>'[12]DIV 091 IS Activity'!Q23</f>
        <v>71.599999999999994</v>
      </c>
      <c r="J23" s="88">
        <f>VLOOKUP($B23,'[13]Div 91 forecast'!$D$338:$AF$417,'[13]Div 91 forecast'!L$337,FALSE)</f>
        <v>9661.1592707280524</v>
      </c>
      <c r="K23" s="88">
        <f>VLOOKUP($B23,'[13]Div 91 forecast'!$D$338:$AF$417,'[13]Div 91 forecast'!M$337,FALSE)</f>
        <v>9675.2435950747567</v>
      </c>
      <c r="L23" s="88">
        <f>VLOOKUP($B23,'[13]Div 91 forecast'!$D$338:$AF$417,'[13]Div 91 forecast'!N$337,FALSE)</f>
        <v>8763.7329262834428</v>
      </c>
      <c r="M23" s="88">
        <f>VLOOKUP($B23,'[13]Div 91 forecast'!$D$338:$AF$417,'[13]Div 91 forecast'!O$337,FALSE)</f>
        <v>9238.8839485337739</v>
      </c>
      <c r="N23" s="88">
        <f>VLOOKUP($B23,'[13]Div 91 forecast'!$D$338:$AF$417,'[13]Div 91 forecast'!P$337,FALSE)</f>
        <v>8650.715595867794</v>
      </c>
      <c r="O23" s="88">
        <f>VLOOKUP($B23,'[13]Div 91 forecast'!$D$338:$AF$417,'[13]Div 91 forecast'!Q$337,FALSE)</f>
        <v>11644.979037982863</v>
      </c>
      <c r="P23" s="95">
        <f t="shared" si="2"/>
        <v>86842.644374470663</v>
      </c>
      <c r="Q23" s="183"/>
      <c r="R23" s="183"/>
    </row>
    <row r="24" spans="1:18">
      <c r="A24" s="1036">
        <f t="shared" si="1"/>
        <v>11</v>
      </c>
      <c r="B24" s="314">
        <v>8560</v>
      </c>
      <c r="C24" s="172" t="s">
        <v>899</v>
      </c>
      <c r="D24" s="481">
        <f>'[12]DIV 091 IS Activity'!L24</f>
        <v>38.620000000000005</v>
      </c>
      <c r="E24" s="481">
        <f>'[12]DIV 091 IS Activity'!M24</f>
        <v>37.259999999999991</v>
      </c>
      <c r="F24" s="481">
        <f>'[12]DIV 091 IS Activity'!N24</f>
        <v>35.95999999999998</v>
      </c>
      <c r="G24" s="481">
        <f>'[12]DIV 091 IS Activity'!O24</f>
        <v>39.910000000000025</v>
      </c>
      <c r="H24" s="481">
        <f>'[12]DIV 091 IS Activity'!P24</f>
        <v>81.259999999999991</v>
      </c>
      <c r="I24" s="481">
        <f>'[12]DIV 091 IS Activity'!Q24</f>
        <v>0.41999999999999993</v>
      </c>
      <c r="J24" s="88">
        <f>VLOOKUP($B24,'[13]Div 91 forecast'!$D$338:$AF$417,'[13]Div 91 forecast'!L$337,FALSE)</f>
        <v>65.582888147955146</v>
      </c>
      <c r="K24" s="88">
        <f>VLOOKUP($B24,'[13]Div 91 forecast'!$D$338:$AF$417,'[13]Div 91 forecast'!M$337,FALSE)</f>
        <v>64.65315260944999</v>
      </c>
      <c r="L24" s="88">
        <f>VLOOKUP($B24,'[13]Div 91 forecast'!$D$338:$AF$417,'[13]Div 91 forecast'!N$337,FALSE)</f>
        <v>63.174915320052719</v>
      </c>
      <c r="M24" s="88">
        <f>VLOOKUP($B24,'[13]Div 91 forecast'!$D$338:$AF$417,'[13]Div 91 forecast'!O$337,FALSE)</f>
        <v>63.118001851627128</v>
      </c>
      <c r="N24" s="88">
        <f>VLOOKUP($B24,'[13]Div 91 forecast'!$D$338:$AF$417,'[13]Div 91 forecast'!P$337,FALSE)</f>
        <v>63.002128911607429</v>
      </c>
      <c r="O24" s="88">
        <f>VLOOKUP($B24,'[13]Div 91 forecast'!$D$338:$AF$417,'[13]Div 91 forecast'!Q$337,FALSE)</f>
        <v>63.33365346730443</v>
      </c>
      <c r="P24" s="95">
        <f t="shared" si="2"/>
        <v>616.29474030799679</v>
      </c>
      <c r="Q24" s="183"/>
      <c r="R24" s="183"/>
    </row>
    <row r="25" spans="1:18">
      <c r="A25" s="1036">
        <f t="shared" si="1"/>
        <v>12</v>
      </c>
      <c r="B25" s="314">
        <v>8570</v>
      </c>
      <c r="C25" s="73" t="s">
        <v>900</v>
      </c>
      <c r="D25" s="481">
        <f>'[12]DIV 091 IS Activity'!L26</f>
        <v>165</v>
      </c>
      <c r="E25" s="481">
        <f>'[12]DIV 091 IS Activity'!M26</f>
        <v>0</v>
      </c>
      <c r="F25" s="481">
        <f>'[12]DIV 091 IS Activity'!N26</f>
        <v>0</v>
      </c>
      <c r="G25" s="481">
        <f>'[12]DIV 091 IS Activity'!O26</f>
        <v>0</v>
      </c>
      <c r="H25" s="481">
        <f>'[12]DIV 091 IS Activity'!P26</f>
        <v>0</v>
      </c>
      <c r="I25" s="481">
        <f>'[12]DIV 091 IS Activity'!Q26</f>
        <v>0</v>
      </c>
      <c r="J25" s="88">
        <f>VLOOKUP($B25,'[13]Div 91 forecast'!$D$338:$AF$417,'[13]Div 91 forecast'!L$337,FALSE)</f>
        <v>149.41340367620606</v>
      </c>
      <c r="K25" s="88">
        <f>VLOOKUP($B25,'[13]Div 91 forecast'!$D$338:$AF$417,'[13]Div 91 forecast'!M$337,FALSE)</f>
        <v>147.18130475624466</v>
      </c>
      <c r="L25" s="88">
        <f>VLOOKUP($B25,'[13]Div 91 forecast'!$D$338:$AF$417,'[13]Div 91 forecast'!N$337,FALSE)</f>
        <v>144.06238733290036</v>
      </c>
      <c r="M25" s="88">
        <f>VLOOKUP($B25,'[13]Div 91 forecast'!$D$338:$AF$417,'[13]Div 91 forecast'!O$337,FALSE)</f>
        <v>143.93591377133421</v>
      </c>
      <c r="N25" s="88">
        <f>VLOOKUP($B25,'[13]Div 91 forecast'!$D$338:$AF$417,'[13]Div 91 forecast'!P$337,FALSE)</f>
        <v>143.67842000371019</v>
      </c>
      <c r="O25" s="88">
        <f>VLOOKUP($B25,'[13]Div 91 forecast'!$D$338:$AF$417,'[13]Div 91 forecast'!Q$337,FALSE)</f>
        <v>144.4203299305689</v>
      </c>
      <c r="P25" s="95">
        <f>SUM(D25:O25)</f>
        <v>1037.6917594709644</v>
      </c>
      <c r="Q25" s="183"/>
      <c r="R25" s="183"/>
    </row>
    <row r="26" spans="1:18">
      <c r="A26" s="1036">
        <f t="shared" si="1"/>
        <v>13</v>
      </c>
      <c r="B26" s="314">
        <v>8600</v>
      </c>
      <c r="C26" s="172" t="s">
        <v>900</v>
      </c>
      <c r="D26" s="481">
        <f>'[12]DIV 091 IS Activity'!L25</f>
        <v>64.349999999999994</v>
      </c>
      <c r="E26" s="481">
        <f>'[12]DIV 091 IS Activity'!M25</f>
        <v>168.13</v>
      </c>
      <c r="F26" s="481">
        <f>'[12]DIV 091 IS Activity'!N25</f>
        <v>49.629999999999995</v>
      </c>
      <c r="G26" s="481">
        <f>'[12]DIV 091 IS Activity'!O25</f>
        <v>88.69</v>
      </c>
      <c r="H26" s="481">
        <f>'[12]DIV 091 IS Activity'!P25</f>
        <v>180.58</v>
      </c>
      <c r="I26" s="481">
        <f>'[12]DIV 091 IS Activity'!Q25</f>
        <v>0.93</v>
      </c>
      <c r="J26" s="88">
        <f>VLOOKUP($B26,'[13]Div 91 forecast'!$D$338:$AF$417,'[13]Div 91 forecast'!L$337,FALSE)</f>
        <v>3691.0276025401877</v>
      </c>
      <c r="K26" s="88">
        <f>VLOOKUP($B26,'[13]Div 91 forecast'!$D$338:$AF$417,'[13]Div 91 forecast'!M$337,FALSE)</f>
        <v>3751.0846100643425</v>
      </c>
      <c r="L26" s="88">
        <f>VLOOKUP($B26,'[13]Div 91 forecast'!$D$338:$AF$417,'[13]Div 91 forecast'!N$337,FALSE)</f>
        <v>3854.5993754322717</v>
      </c>
      <c r="M26" s="88">
        <f>VLOOKUP($B26,'[13]Div 91 forecast'!$D$338:$AF$417,'[13]Div 91 forecast'!O$337,FALSE)</f>
        <v>4969.0545553622696</v>
      </c>
      <c r="N26" s="88">
        <f>VLOOKUP($B26,'[13]Div 91 forecast'!$D$338:$AF$417,'[13]Div 91 forecast'!P$337,FALSE)</f>
        <v>4325.1419948441717</v>
      </c>
      <c r="O26" s="88">
        <f>VLOOKUP($B26,'[13]Div 91 forecast'!$D$338:$AF$417,'[13]Div 91 forecast'!Q$337,FALSE)</f>
        <v>4313.8452832561352</v>
      </c>
      <c r="P26" s="95">
        <f t="shared" si="2"/>
        <v>25457.063421499377</v>
      </c>
      <c r="Q26" s="183"/>
      <c r="R26" s="711"/>
    </row>
    <row r="27" spans="1:18">
      <c r="A27" s="1036">
        <f t="shared" si="1"/>
        <v>14</v>
      </c>
      <c r="B27" s="314">
        <v>8650</v>
      </c>
      <c r="C27" s="535" t="s">
        <v>1347</v>
      </c>
      <c r="D27" s="481">
        <f>0</f>
        <v>0</v>
      </c>
      <c r="E27" s="481">
        <f>0</f>
        <v>0</v>
      </c>
      <c r="F27" s="481">
        <f>0</f>
        <v>0</v>
      </c>
      <c r="G27" s="481">
        <f>0</f>
        <v>0</v>
      </c>
      <c r="H27" s="481">
        <f>0</f>
        <v>0</v>
      </c>
      <c r="I27" s="481">
        <f>0</f>
        <v>0</v>
      </c>
      <c r="J27" s="88">
        <f>VLOOKUP($B27,'[13]Div 91 forecast'!$D$338:$AF$417,'[13]Div 91 forecast'!L$337,FALSE)</f>
        <v>0</v>
      </c>
      <c r="K27" s="88">
        <f>VLOOKUP($B27,'[13]Div 91 forecast'!$D$338:$AF$417,'[13]Div 91 forecast'!M$337,FALSE)</f>
        <v>0</v>
      </c>
      <c r="L27" s="88">
        <f>VLOOKUP($B27,'[13]Div 91 forecast'!$D$338:$AF$417,'[13]Div 91 forecast'!N$337,FALSE)</f>
        <v>0</v>
      </c>
      <c r="M27" s="88">
        <f>VLOOKUP($B27,'[13]Div 91 forecast'!$D$338:$AF$417,'[13]Div 91 forecast'!O$337,FALSE)</f>
        <v>0</v>
      </c>
      <c r="N27" s="88">
        <f>VLOOKUP($B27,'[13]Div 91 forecast'!$D$338:$AF$417,'[13]Div 91 forecast'!P$337,FALSE)</f>
        <v>0</v>
      </c>
      <c r="O27" s="88">
        <f>VLOOKUP($B27,'[13]Div 91 forecast'!$D$338:$AF$417,'[13]Div 91 forecast'!Q$337,FALSE)</f>
        <v>0</v>
      </c>
      <c r="P27" s="95">
        <f t="shared" si="2"/>
        <v>0</v>
      </c>
      <c r="Q27" s="183"/>
      <c r="R27" s="711"/>
    </row>
    <row r="28" spans="1:18">
      <c r="A28" s="1036">
        <f t="shared" si="1"/>
        <v>15</v>
      </c>
      <c r="B28" s="314">
        <v>8700</v>
      </c>
      <c r="C28" s="172" t="s">
        <v>903</v>
      </c>
      <c r="D28" s="481">
        <f>'[12]DIV 091 IS Activity'!L27</f>
        <v>139345.71999999994</v>
      </c>
      <c r="E28" s="481">
        <f>'[12]DIV 091 IS Activity'!M27</f>
        <v>157717.82000000004</v>
      </c>
      <c r="F28" s="481">
        <f>'[12]DIV 091 IS Activity'!N27</f>
        <v>164992.21999999997</v>
      </c>
      <c r="G28" s="481">
        <f>'[12]DIV 091 IS Activity'!O27</f>
        <v>296232.22000000003</v>
      </c>
      <c r="H28" s="481">
        <f>'[12]DIV 091 IS Activity'!P27</f>
        <v>195538.02999999997</v>
      </c>
      <c r="I28" s="481">
        <f>'[12]DIV 091 IS Activity'!Q27</f>
        <v>158320.26</v>
      </c>
      <c r="J28" s="88">
        <f>VLOOKUP($B28,'[13]Div 91 forecast'!$D$338:$AF$417,'[13]Div 91 forecast'!L$337,FALSE)</f>
        <v>283249.14645465108</v>
      </c>
      <c r="K28" s="88">
        <f>VLOOKUP($B28,'[13]Div 91 forecast'!$D$338:$AF$417,'[13]Div 91 forecast'!M$337,FALSE)</f>
        <v>249293.38043922393</v>
      </c>
      <c r="L28" s="88">
        <f>VLOOKUP($B28,'[13]Div 91 forecast'!$D$338:$AF$417,'[13]Div 91 forecast'!N$337,FALSE)</f>
        <v>231059.85065718828</v>
      </c>
      <c r="M28" s="88">
        <f>VLOOKUP($B28,'[13]Div 91 forecast'!$D$338:$AF$417,'[13]Div 91 forecast'!O$337,FALSE)</f>
        <v>243123.65238771925</v>
      </c>
      <c r="N28" s="88">
        <f>VLOOKUP($B28,'[13]Div 91 forecast'!$D$338:$AF$417,'[13]Div 91 forecast'!P$337,FALSE)</f>
        <v>305307.61985556647</v>
      </c>
      <c r="O28" s="88">
        <f>VLOOKUP($B28,'[13]Div 91 forecast'!$D$338:$AF$417,'[13]Div 91 forecast'!Q$337,FALSE)</f>
        <v>217199.23360835653</v>
      </c>
      <c r="P28" s="95">
        <f t="shared" si="2"/>
        <v>2641379.1534027057</v>
      </c>
      <c r="Q28" s="183"/>
      <c r="R28" s="711"/>
    </row>
    <row r="29" spans="1:18">
      <c r="A29" s="1036">
        <f t="shared" si="1"/>
        <v>16</v>
      </c>
      <c r="B29" s="314">
        <v>8711</v>
      </c>
      <c r="C29" s="172" t="s">
        <v>188</v>
      </c>
      <c r="D29" s="481">
        <f>0</f>
        <v>0</v>
      </c>
      <c r="E29" s="481">
        <f>0</f>
        <v>0</v>
      </c>
      <c r="F29" s="481">
        <f>0</f>
        <v>0</v>
      </c>
      <c r="G29" s="481">
        <f>0</f>
        <v>0</v>
      </c>
      <c r="H29" s="481">
        <f>0</f>
        <v>0</v>
      </c>
      <c r="I29" s="481">
        <f>0</f>
        <v>0</v>
      </c>
      <c r="J29" s="88">
        <f>VLOOKUP($B29,'[13]Div 91 forecast'!$D$338:$AF$417,'[13]Div 91 forecast'!L$337,FALSE)</f>
        <v>0</v>
      </c>
      <c r="K29" s="88">
        <f>VLOOKUP($B29,'[13]Div 91 forecast'!$D$338:$AF$417,'[13]Div 91 forecast'!M$337,FALSE)</f>
        <v>0</v>
      </c>
      <c r="L29" s="88">
        <f>VLOOKUP($B29,'[13]Div 91 forecast'!$D$338:$AF$417,'[13]Div 91 forecast'!N$337,FALSE)</f>
        <v>0</v>
      </c>
      <c r="M29" s="88">
        <f>VLOOKUP($B29,'[13]Div 91 forecast'!$D$338:$AF$417,'[13]Div 91 forecast'!O$337,FALSE)</f>
        <v>0</v>
      </c>
      <c r="N29" s="88">
        <f>VLOOKUP($B29,'[13]Div 91 forecast'!$D$338:$AF$417,'[13]Div 91 forecast'!P$337,FALSE)</f>
        <v>0</v>
      </c>
      <c r="O29" s="88">
        <f>VLOOKUP($B29,'[13]Div 91 forecast'!$D$338:$AF$417,'[13]Div 91 forecast'!Q$337,FALSE)</f>
        <v>0</v>
      </c>
      <c r="P29" s="95">
        <f t="shared" si="2"/>
        <v>0</v>
      </c>
      <c r="Q29" s="183"/>
      <c r="R29" s="711"/>
    </row>
    <row r="30" spans="1:18">
      <c r="A30" s="1036">
        <f t="shared" si="1"/>
        <v>17</v>
      </c>
      <c r="B30" s="314">
        <v>8740</v>
      </c>
      <c r="C30" s="172" t="s">
        <v>905</v>
      </c>
      <c r="D30" s="481">
        <f>'[12]DIV 091 IS Activity'!L28</f>
        <v>7499.6599999999989</v>
      </c>
      <c r="E30" s="481">
        <f>'[12]DIV 091 IS Activity'!M28</f>
        <v>14106.130000000001</v>
      </c>
      <c r="F30" s="481">
        <f>'[12]DIV 091 IS Activity'!N28</f>
        <v>8495.9200000000019</v>
      </c>
      <c r="G30" s="481">
        <f>'[12]DIV 091 IS Activity'!O28</f>
        <v>15885.039999999997</v>
      </c>
      <c r="H30" s="481">
        <f>'[12]DIV 091 IS Activity'!P28</f>
        <v>10443.089999999998</v>
      </c>
      <c r="I30" s="481">
        <f>'[12]DIV 091 IS Activity'!Q28</f>
        <v>5713.2799999999988</v>
      </c>
      <c r="J30" s="88">
        <f>VLOOKUP($B30,'[13]Div 91 forecast'!$D$338:$AF$417,'[13]Div 91 forecast'!L$337,FALSE)</f>
        <v>4729.4956909398716</v>
      </c>
      <c r="K30" s="88">
        <f>VLOOKUP($B30,'[13]Div 91 forecast'!$D$338:$AF$417,'[13]Div 91 forecast'!M$337,FALSE)</f>
        <v>6902.0479677439189</v>
      </c>
      <c r="L30" s="88">
        <f>VLOOKUP($B30,'[13]Div 91 forecast'!$D$338:$AF$417,'[13]Div 91 forecast'!N$337,FALSE)</f>
        <v>6824.343338875542</v>
      </c>
      <c r="M30" s="88">
        <f>VLOOKUP($B30,'[13]Div 91 forecast'!$D$338:$AF$417,'[13]Div 91 forecast'!O$337,FALSE)</f>
        <v>7093.1690755857653</v>
      </c>
      <c r="N30" s="88">
        <f>VLOOKUP($B30,'[13]Div 91 forecast'!$D$338:$AF$417,'[13]Div 91 forecast'!P$337,FALSE)</f>
        <v>5694.8036200340321</v>
      </c>
      <c r="O30" s="88">
        <f>VLOOKUP($B30,'[13]Div 91 forecast'!$D$338:$AF$417,'[13]Div 91 forecast'!Q$337,FALSE)</f>
        <v>9046.0009470493969</v>
      </c>
      <c r="P30" s="95">
        <f t="shared" si="2"/>
        <v>102432.98064022852</v>
      </c>
      <c r="Q30" s="183"/>
      <c r="R30" s="711"/>
    </row>
    <row r="31" spans="1:18">
      <c r="A31" s="1036">
        <f t="shared" si="1"/>
        <v>18</v>
      </c>
      <c r="B31" s="314">
        <v>8750</v>
      </c>
      <c r="C31" s="172" t="s">
        <v>906</v>
      </c>
      <c r="D31" s="481">
        <f>'[12]DIV 091 IS Activity'!L29</f>
        <v>40385.42</v>
      </c>
      <c r="E31" s="481">
        <f>'[12]DIV 091 IS Activity'!M29</f>
        <v>33529.85</v>
      </c>
      <c r="F31" s="481">
        <f>'[12]DIV 091 IS Activity'!N29</f>
        <v>33354.81</v>
      </c>
      <c r="G31" s="481">
        <f>'[12]DIV 091 IS Activity'!O29</f>
        <v>39895.360000000001</v>
      </c>
      <c r="H31" s="481">
        <f>'[12]DIV 091 IS Activity'!P29</f>
        <v>47737.26</v>
      </c>
      <c r="I31" s="481">
        <f>'[12]DIV 091 IS Activity'!Q29</f>
        <v>42150.710000000006</v>
      </c>
      <c r="J31" s="88">
        <f>VLOOKUP($B31,'[13]Div 91 forecast'!$D$338:$AF$417,'[13]Div 91 forecast'!L$337,FALSE)</f>
        <v>26946.090837597414</v>
      </c>
      <c r="K31" s="88">
        <f>VLOOKUP($B31,'[13]Div 91 forecast'!$D$338:$AF$417,'[13]Div 91 forecast'!M$337,FALSE)</f>
        <v>25608.292416956025</v>
      </c>
      <c r="L31" s="88">
        <f>VLOOKUP($B31,'[13]Div 91 forecast'!$D$338:$AF$417,'[13]Div 91 forecast'!N$337,FALSE)</f>
        <v>28609.550372804424</v>
      </c>
      <c r="M31" s="88">
        <f>VLOOKUP($B31,'[13]Div 91 forecast'!$D$338:$AF$417,'[13]Div 91 forecast'!O$337,FALSE)</f>
        <v>28043.547717282891</v>
      </c>
      <c r="N31" s="88">
        <f>VLOOKUP($B31,'[13]Div 91 forecast'!$D$338:$AF$417,'[13]Div 91 forecast'!P$337,FALSE)</f>
        <v>26476.238883800383</v>
      </c>
      <c r="O31" s="88">
        <f>VLOOKUP($B31,'[13]Div 91 forecast'!$D$338:$AF$417,'[13]Div 91 forecast'!Q$337,FALSE)</f>
        <v>29672.216532054452</v>
      </c>
      <c r="P31" s="95">
        <f t="shared" si="2"/>
        <v>402409.34676049568</v>
      </c>
      <c r="Q31" s="183"/>
      <c r="R31" s="711"/>
    </row>
    <row r="32" spans="1:18">
      <c r="A32" s="1036">
        <f t="shared" si="1"/>
        <v>19</v>
      </c>
      <c r="B32" s="314">
        <v>8760</v>
      </c>
      <c r="C32" s="72" t="s">
        <v>907</v>
      </c>
      <c r="D32" s="481">
        <f>'[12]DIV 091 IS Activity'!L30</f>
        <v>14954.65</v>
      </c>
      <c r="E32" s="481">
        <f>'[12]DIV 091 IS Activity'!M30</f>
        <v>3501.5099999999998</v>
      </c>
      <c r="F32" s="481">
        <f>'[12]DIV 091 IS Activity'!N30</f>
        <v>6920.9599999999991</v>
      </c>
      <c r="G32" s="481">
        <f>'[12]DIV 091 IS Activity'!O30</f>
        <v>10664.21</v>
      </c>
      <c r="H32" s="481">
        <f>'[12]DIV 091 IS Activity'!P30</f>
        <v>17114.39</v>
      </c>
      <c r="I32" s="481">
        <f>'[12]DIV 091 IS Activity'!Q30</f>
        <v>17495.79</v>
      </c>
      <c r="J32" s="88">
        <f>VLOOKUP($B32,'[13]Div 91 forecast'!$D$338:$AF$417,'[13]Div 91 forecast'!L$337,FALSE)</f>
        <v>7731.2460865126932</v>
      </c>
      <c r="K32" s="88">
        <f>VLOOKUP($B32,'[13]Div 91 forecast'!$D$338:$AF$417,'[13]Div 91 forecast'!M$337,FALSE)</f>
        <v>7381.9161925183762</v>
      </c>
      <c r="L32" s="88">
        <f>VLOOKUP($B32,'[13]Div 91 forecast'!$D$338:$AF$417,'[13]Div 91 forecast'!N$337,FALSE)</f>
        <v>7731.2460865126932</v>
      </c>
      <c r="M32" s="88">
        <f>VLOOKUP($B32,'[13]Div 91 forecast'!$D$338:$AF$417,'[13]Div 91 forecast'!O$337,FALSE)</f>
        <v>7731.2460865126932</v>
      </c>
      <c r="N32" s="88">
        <f>VLOOKUP($B32,'[13]Div 91 forecast'!$D$338:$AF$417,'[13]Div 91 forecast'!P$337,FALSE)</f>
        <v>7731.2460865126932</v>
      </c>
      <c r="O32" s="88">
        <f>VLOOKUP($B32,'[13]Div 91 forecast'!$D$338:$AF$417,'[13]Div 91 forecast'!Q$337,FALSE)</f>
        <v>7742.1729297120237</v>
      </c>
      <c r="P32" s="95">
        <f t="shared" si="2"/>
        <v>116700.58346828117</v>
      </c>
      <c r="Q32" s="183"/>
      <c r="R32" s="711"/>
    </row>
    <row r="33" spans="1:18">
      <c r="A33" s="1036">
        <f t="shared" si="1"/>
        <v>20</v>
      </c>
      <c r="B33" s="314">
        <v>8770</v>
      </c>
      <c r="C33" s="172" t="s">
        <v>908</v>
      </c>
      <c r="D33" s="481">
        <f>'[12]DIV 091 IS Activity'!L31</f>
        <v>0</v>
      </c>
      <c r="E33" s="481">
        <f>'[12]DIV 091 IS Activity'!M31</f>
        <v>0</v>
      </c>
      <c r="F33" s="481">
        <f>'[12]DIV 091 IS Activity'!N31</f>
        <v>0</v>
      </c>
      <c r="G33" s="481">
        <f>'[12]DIV 091 IS Activity'!O31</f>
        <v>0</v>
      </c>
      <c r="H33" s="481">
        <f>'[12]DIV 091 IS Activity'!P31</f>
        <v>-594.27</v>
      </c>
      <c r="I33" s="481">
        <f>'[12]DIV 091 IS Activity'!Q31</f>
        <v>0</v>
      </c>
      <c r="J33" s="88">
        <f>VLOOKUP($B33,'[13]Div 91 forecast'!$D$338:$AF$417,'[13]Div 91 forecast'!L$337,FALSE)</f>
        <v>-348.59733882030184</v>
      </c>
      <c r="K33" s="88">
        <f>VLOOKUP($B33,'[13]Div 91 forecast'!$D$338:$AF$417,'[13]Div 91 forecast'!M$337,FALSE)</f>
        <v>-269.80818106995889</v>
      </c>
      <c r="L33" s="88">
        <f>VLOOKUP($B33,'[13]Div 91 forecast'!$D$338:$AF$417,'[13]Div 91 forecast'!N$337,FALSE)</f>
        <v>-768.80970256058538</v>
      </c>
      <c r="M33" s="88">
        <f>VLOOKUP($B33,'[13]Div 91 forecast'!$D$338:$AF$417,'[13]Div 91 forecast'!O$337,FALSE)</f>
        <v>-560.85143301326025</v>
      </c>
      <c r="N33" s="88">
        <f>VLOOKUP($B33,'[13]Div 91 forecast'!$D$338:$AF$417,'[13]Div 91 forecast'!P$337,FALSE)</f>
        <v>-267.42854481024239</v>
      </c>
      <c r="O33" s="88">
        <f>VLOOKUP($B33,'[13]Div 91 forecast'!$D$338:$AF$417,'[13]Div 91 forecast'!Q$337,FALSE)</f>
        <v>-1065.9517473708277</v>
      </c>
      <c r="P33" s="95">
        <f t="shared" si="2"/>
        <v>-3875.7169476451763</v>
      </c>
      <c r="Q33" s="183"/>
      <c r="R33" s="711"/>
    </row>
    <row r="34" spans="1:18">
      <c r="A34" s="1036">
        <f t="shared" si="1"/>
        <v>21</v>
      </c>
      <c r="B34" s="314">
        <v>8780</v>
      </c>
      <c r="C34" s="172" t="s">
        <v>909</v>
      </c>
      <c r="D34" s="481">
        <f>'[12]DIV 091 IS Activity'!L32</f>
        <v>-32.22</v>
      </c>
      <c r="E34" s="481">
        <f>'[12]DIV 091 IS Activity'!M32</f>
        <v>703.87</v>
      </c>
      <c r="F34" s="481">
        <f>'[12]DIV 091 IS Activity'!N32</f>
        <v>-31.360000000000014</v>
      </c>
      <c r="G34" s="481">
        <f>'[12]DIV 091 IS Activity'!O32</f>
        <v>-25.69</v>
      </c>
      <c r="H34" s="481">
        <f>'[12]DIV 091 IS Activity'!P32</f>
        <v>0</v>
      </c>
      <c r="I34" s="481">
        <f>'[12]DIV 091 IS Activity'!Q32</f>
        <v>86.52</v>
      </c>
      <c r="J34" s="88">
        <f>VLOOKUP($B34,'[13]Div 91 forecast'!$D$338:$AF$417,'[13]Div 91 forecast'!L$337,FALSE)</f>
        <v>76.722086423570829</v>
      </c>
      <c r="K34" s="88">
        <f>VLOOKUP($B34,'[13]Div 91 forecast'!$D$338:$AF$417,'[13]Div 91 forecast'!M$337,FALSE)</f>
        <v>73.25546305943756</v>
      </c>
      <c r="L34" s="88">
        <f>VLOOKUP($B34,'[13]Div 91 forecast'!$D$338:$AF$417,'[13]Div 91 forecast'!N$337,FALSE)</f>
        <v>76.722086423570829</v>
      </c>
      <c r="M34" s="88">
        <f>VLOOKUP($B34,'[13]Div 91 forecast'!$D$338:$AF$417,'[13]Div 91 forecast'!O$337,FALSE)</f>
        <v>76.722086423570829</v>
      </c>
      <c r="N34" s="88">
        <f>VLOOKUP($B34,'[13]Div 91 forecast'!$D$338:$AF$417,'[13]Div 91 forecast'!P$337,FALSE)</f>
        <v>76.722086423570829</v>
      </c>
      <c r="O34" s="88">
        <f>VLOOKUP($B34,'[13]Div 91 forecast'!$D$338:$AF$417,'[13]Div 91 forecast'!Q$337,FALSE)</f>
        <v>76.830520458510989</v>
      </c>
      <c r="P34" s="95">
        <f t="shared" ref="P34" si="3">SUM(D34:O34)</f>
        <v>1158.0943292122317</v>
      </c>
      <c r="Q34" s="183"/>
      <c r="R34" s="711"/>
    </row>
    <row r="35" spans="1:18">
      <c r="A35" s="1036">
        <f t="shared" si="1"/>
        <v>22</v>
      </c>
      <c r="B35" s="314">
        <v>8800</v>
      </c>
      <c r="C35" s="172" t="s">
        <v>911</v>
      </c>
      <c r="D35" s="481">
        <f>'[12]DIV 091 IS Activity'!L33</f>
        <v>62949.62</v>
      </c>
      <c r="E35" s="481">
        <f>'[12]DIV 091 IS Activity'!M33</f>
        <v>73531.02</v>
      </c>
      <c r="F35" s="481">
        <f>'[12]DIV 091 IS Activity'!N33</f>
        <v>65229.94</v>
      </c>
      <c r="G35" s="481">
        <f>'[12]DIV 091 IS Activity'!O33</f>
        <v>63613.43</v>
      </c>
      <c r="H35" s="481">
        <f>'[12]DIV 091 IS Activity'!P33</f>
        <v>54706.84</v>
      </c>
      <c r="I35" s="481">
        <f>'[12]DIV 091 IS Activity'!Q33</f>
        <v>75256.34</v>
      </c>
      <c r="J35" s="88">
        <f>VLOOKUP($B35,'[13]Div 91 forecast'!$D$338:$AF$417,'[13]Div 91 forecast'!L$337,FALSE)</f>
        <v>131929.79735325681</v>
      </c>
      <c r="K35" s="88">
        <f>VLOOKUP($B35,'[13]Div 91 forecast'!$D$338:$AF$417,'[13]Div 91 forecast'!M$337,FALSE)</f>
        <v>119963.70068846201</v>
      </c>
      <c r="L35" s="88">
        <f>VLOOKUP($B35,'[13]Div 91 forecast'!$D$338:$AF$417,'[13]Div 91 forecast'!N$337,FALSE)</f>
        <v>113657.60018490374</v>
      </c>
      <c r="M35" s="88">
        <f>VLOOKUP($B35,'[13]Div 91 forecast'!$D$338:$AF$417,'[13]Div 91 forecast'!O$337,FALSE)</f>
        <v>113013.40400661723</v>
      </c>
      <c r="N35" s="88">
        <f>VLOOKUP($B35,'[13]Div 91 forecast'!$D$338:$AF$417,'[13]Div 91 forecast'!P$337,FALSE)</f>
        <v>111792.94228969763</v>
      </c>
      <c r="O35" s="88">
        <f>VLOOKUP($B35,'[13]Div 91 forecast'!$D$338:$AF$417,'[13]Div 91 forecast'!Q$337,FALSE)</f>
        <v>141655.22858337953</v>
      </c>
      <c r="P35" s="95">
        <f t="shared" si="2"/>
        <v>1127299.8631063169</v>
      </c>
      <c r="Q35" s="183"/>
      <c r="R35" s="711"/>
    </row>
    <row r="36" spans="1:18">
      <c r="A36" s="1036">
        <f t="shared" si="1"/>
        <v>23</v>
      </c>
      <c r="B36" s="314">
        <v>8810</v>
      </c>
      <c r="C36" s="172" t="s">
        <v>912</v>
      </c>
      <c r="D36" s="481">
        <f>'[12]DIV 091 IS Activity'!L34</f>
        <v>27085.839999999986</v>
      </c>
      <c r="E36" s="481">
        <f>'[12]DIV 091 IS Activity'!M34</f>
        <v>26509.170000000006</v>
      </c>
      <c r="F36" s="481">
        <f>'[12]DIV 091 IS Activity'!N34</f>
        <v>26412.429999999993</v>
      </c>
      <c r="G36" s="481">
        <f>'[12]DIV 091 IS Activity'!O34</f>
        <v>29001.720000000027</v>
      </c>
      <c r="H36" s="481">
        <f>'[12]DIV 091 IS Activity'!P34</f>
        <v>27550.120000000014</v>
      </c>
      <c r="I36" s="481">
        <f>'[12]DIV 091 IS Activity'!Q34</f>
        <v>27016.200000000012</v>
      </c>
      <c r="J36" s="88">
        <f>VLOOKUP($B36,'[13]Div 91 forecast'!$D$338:$AF$417,'[13]Div 91 forecast'!L$337,FALSE)</f>
        <v>38554.645345558391</v>
      </c>
      <c r="K36" s="88">
        <f>VLOOKUP($B36,'[13]Div 91 forecast'!$D$338:$AF$417,'[13]Div 91 forecast'!M$337,FALSE)</f>
        <v>37953.715925397577</v>
      </c>
      <c r="L36" s="88">
        <f>VLOOKUP($B36,'[13]Div 91 forecast'!$D$338:$AF$417,'[13]Div 91 forecast'!N$337,FALSE)</f>
        <v>37796.861590941022</v>
      </c>
      <c r="M36" s="88">
        <f>VLOOKUP($B36,'[13]Div 91 forecast'!$D$338:$AF$417,'[13]Div 91 forecast'!O$337,FALSE)</f>
        <v>37174.944811939502</v>
      </c>
      <c r="N36" s="88">
        <f>VLOOKUP($B36,'[13]Div 91 forecast'!$D$338:$AF$417,'[13]Div 91 forecast'!P$337,FALSE)</f>
        <v>36963.131214123467</v>
      </c>
      <c r="O36" s="88">
        <f>VLOOKUP($B36,'[13]Div 91 forecast'!$D$338:$AF$417,'[13]Div 91 forecast'!Q$337,FALSE)</f>
        <v>37574.710972986977</v>
      </c>
      <c r="P36" s="95">
        <f t="shared" si="2"/>
        <v>389593.48986094695</v>
      </c>
      <c r="Q36" s="183"/>
      <c r="R36" s="711"/>
    </row>
    <row r="37" spans="1:18">
      <c r="A37" s="1036">
        <f t="shared" si="1"/>
        <v>24</v>
      </c>
      <c r="B37" s="314">
        <v>8870</v>
      </c>
      <c r="C37" s="172" t="s">
        <v>915</v>
      </c>
      <c r="D37" s="481">
        <f>'[12]DIV 091 IS Activity'!L35</f>
        <v>-73</v>
      </c>
      <c r="E37" s="481">
        <f>'[12]DIV 091 IS Activity'!M35</f>
        <v>0</v>
      </c>
      <c r="F37" s="481">
        <f>'[12]DIV 091 IS Activity'!N35</f>
        <v>0</v>
      </c>
      <c r="G37" s="481">
        <f>'[12]DIV 091 IS Activity'!O35</f>
        <v>0</v>
      </c>
      <c r="H37" s="481">
        <f>'[12]DIV 091 IS Activity'!P35</f>
        <v>0</v>
      </c>
      <c r="I37" s="481">
        <f>'[12]DIV 091 IS Activity'!Q35</f>
        <v>0</v>
      </c>
      <c r="J37" s="88">
        <f>VLOOKUP($B37,'[13]Div 91 forecast'!$D$338:$AF$417,'[13]Div 91 forecast'!L$337,FALSE)</f>
        <v>-7.988236405922911</v>
      </c>
      <c r="K37" s="88">
        <f>VLOOKUP($B37,'[13]Div 91 forecast'!$D$338:$AF$417,'[13]Div 91 forecast'!M$337,FALSE)</f>
        <v>-7.6272946190936528</v>
      </c>
      <c r="L37" s="88">
        <f>VLOOKUP($B37,'[13]Div 91 forecast'!$D$338:$AF$417,'[13]Div 91 forecast'!N$337,FALSE)</f>
        <v>-7.988236405922911</v>
      </c>
      <c r="M37" s="88">
        <f>VLOOKUP($B37,'[13]Div 91 forecast'!$D$338:$AF$417,'[13]Div 91 forecast'!O$337,FALSE)</f>
        <v>-7.988236405922911</v>
      </c>
      <c r="N37" s="88">
        <f>VLOOKUP($B37,'[13]Div 91 forecast'!$D$338:$AF$417,'[13]Div 91 forecast'!P$337,FALSE)</f>
        <v>-7.988236405922911</v>
      </c>
      <c r="O37" s="88">
        <f>VLOOKUP($B37,'[13]Div 91 forecast'!$D$338:$AF$417,'[13]Div 91 forecast'!Q$337,FALSE)</f>
        <v>-7.9995264626188129</v>
      </c>
      <c r="P37" s="95">
        <f t="shared" si="2"/>
        <v>-120.57976670540408</v>
      </c>
      <c r="Q37" s="183"/>
      <c r="R37" s="711"/>
    </row>
    <row r="38" spans="1:18">
      <c r="A38" s="1036">
        <f t="shared" si="1"/>
        <v>25</v>
      </c>
      <c r="B38" s="314">
        <v>8890</v>
      </c>
      <c r="C38" s="172" t="s">
        <v>916</v>
      </c>
      <c r="D38" s="481">
        <f>'[12]DIV 091 IS Activity'!L36</f>
        <v>5895.3899999999994</v>
      </c>
      <c r="E38" s="481">
        <f>'[12]DIV 091 IS Activity'!M36</f>
        <v>9768.17</v>
      </c>
      <c r="F38" s="481">
        <f>'[12]DIV 091 IS Activity'!N36</f>
        <v>4719.97</v>
      </c>
      <c r="G38" s="481">
        <f>'[12]DIV 091 IS Activity'!O36</f>
        <v>5505.8</v>
      </c>
      <c r="H38" s="481">
        <f>'[12]DIV 091 IS Activity'!P36</f>
        <v>12013.62</v>
      </c>
      <c r="I38" s="481">
        <f>'[12]DIV 091 IS Activity'!Q36</f>
        <v>16059.380000000001</v>
      </c>
      <c r="J38" s="88">
        <f>VLOOKUP($B38,'[13]Div 91 forecast'!$D$338:$AF$417,'[13]Div 91 forecast'!L$337,FALSE)</f>
        <v>5904.9842336222755</v>
      </c>
      <c r="K38" s="88">
        <f>VLOOKUP($B38,'[13]Div 91 forecast'!$D$338:$AF$417,'[13]Div 91 forecast'!M$337,FALSE)</f>
        <v>5638.1724553802196</v>
      </c>
      <c r="L38" s="88">
        <f>VLOOKUP($B38,'[13]Div 91 forecast'!$D$338:$AF$417,'[13]Div 91 forecast'!N$337,FALSE)</f>
        <v>5904.9842336222755</v>
      </c>
      <c r="M38" s="88">
        <f>VLOOKUP($B38,'[13]Div 91 forecast'!$D$338:$AF$417,'[13]Div 91 forecast'!O$337,FALSE)</f>
        <v>5904.9842336222755</v>
      </c>
      <c r="N38" s="88">
        <f>VLOOKUP($B38,'[13]Div 91 forecast'!$D$338:$AF$417,'[13]Div 91 forecast'!P$337,FALSE)</f>
        <v>5904.9842336222755</v>
      </c>
      <c r="O38" s="88">
        <f>VLOOKUP($B38,'[13]Div 91 forecast'!$D$338:$AF$417,'[13]Div 91 forecast'!Q$337,FALSE)</f>
        <v>5913.3299564324534</v>
      </c>
      <c r="P38" s="95">
        <f t="shared" si="2"/>
        <v>89133.769346301793</v>
      </c>
      <c r="Q38" s="183"/>
      <c r="R38" s="711"/>
    </row>
    <row r="39" spans="1:18">
      <c r="A39" s="1036">
        <f t="shared" si="1"/>
        <v>26</v>
      </c>
      <c r="B39" s="314">
        <v>8900</v>
      </c>
      <c r="C39" s="172" t="s">
        <v>917</v>
      </c>
      <c r="D39" s="481">
        <f>'[12]DIV 091 IS Activity'!L37</f>
        <v>-147</v>
      </c>
      <c r="E39" s="481">
        <f>'[12]DIV 091 IS Activity'!M37</f>
        <v>0</v>
      </c>
      <c r="F39" s="481">
        <f>'[12]DIV 091 IS Activity'!N37</f>
        <v>0</v>
      </c>
      <c r="G39" s="481">
        <f>'[12]DIV 091 IS Activity'!O37</f>
        <v>0</v>
      </c>
      <c r="H39" s="481">
        <f>'[12]DIV 091 IS Activity'!P37</f>
        <v>0</v>
      </c>
      <c r="I39" s="481">
        <f>'[12]DIV 091 IS Activity'!Q37</f>
        <v>0</v>
      </c>
      <c r="J39" s="88">
        <f>VLOOKUP($B39,'[13]Div 91 forecast'!$D$338:$AF$417,'[13]Div 91 forecast'!L$337,FALSE)</f>
        <v>-16.08590070781737</v>
      </c>
      <c r="K39" s="88">
        <f>VLOOKUP($B39,'[13]Div 91 forecast'!$D$338:$AF$417,'[13]Div 91 forecast'!M$337,FALSE)</f>
        <v>-15.359072726120099</v>
      </c>
      <c r="L39" s="88">
        <f>VLOOKUP($B39,'[13]Div 91 forecast'!$D$338:$AF$417,'[13]Div 91 forecast'!N$337,FALSE)</f>
        <v>-16.08590070781737</v>
      </c>
      <c r="M39" s="88">
        <f>VLOOKUP($B39,'[13]Div 91 forecast'!$D$338:$AF$417,'[13]Div 91 forecast'!O$337,FALSE)</f>
        <v>-16.08590070781737</v>
      </c>
      <c r="N39" s="88">
        <f>VLOOKUP($B39,'[13]Div 91 forecast'!$D$338:$AF$417,'[13]Div 91 forecast'!P$337,FALSE)</f>
        <v>-16.08590070781737</v>
      </c>
      <c r="O39" s="88">
        <f>VLOOKUP($B39,'[13]Div 91 forecast'!$D$338:$AF$417,'[13]Div 91 forecast'!Q$337,FALSE)</f>
        <v>-16.108635479520078</v>
      </c>
      <c r="P39" s="95">
        <f t="shared" si="2"/>
        <v>-242.81131103690961</v>
      </c>
      <c r="Q39" s="183"/>
      <c r="R39" s="711"/>
    </row>
    <row r="40" spans="1:18">
      <c r="A40" s="1036">
        <f t="shared" si="1"/>
        <v>27</v>
      </c>
      <c r="B40" s="314">
        <v>8910</v>
      </c>
      <c r="C40" s="172" t="s">
        <v>918</v>
      </c>
      <c r="D40" s="481">
        <f>'[12]DIV 091 IS Activity'!L38</f>
        <v>952.80000000000007</v>
      </c>
      <c r="E40" s="481">
        <f>'[12]DIV 091 IS Activity'!M38</f>
        <v>708.08999999999992</v>
      </c>
      <c r="F40" s="481">
        <f>'[12]DIV 091 IS Activity'!N38</f>
        <v>-373.89</v>
      </c>
      <c r="G40" s="481">
        <f>'[12]DIV 091 IS Activity'!O38</f>
        <v>347.63</v>
      </c>
      <c r="H40" s="481">
        <f>'[12]DIV 091 IS Activity'!P38</f>
        <v>1784.47</v>
      </c>
      <c r="I40" s="481">
        <f>'[12]DIV 091 IS Activity'!Q38</f>
        <v>-370.8</v>
      </c>
      <c r="J40" s="88">
        <f>VLOOKUP($B40,'[13]Div 91 forecast'!$D$338:$AF$417,'[13]Div 91 forecast'!L$337,FALSE)</f>
        <v>333.56905529006588</v>
      </c>
      <c r="K40" s="88">
        <f>VLOOKUP($B40,'[13]Div 91 forecast'!$D$338:$AF$417,'[13]Div 91 forecast'!M$337,FALSE)</f>
        <v>318.49701626552309</v>
      </c>
      <c r="L40" s="88">
        <f>VLOOKUP($B40,'[13]Div 91 forecast'!$D$338:$AF$417,'[13]Div 91 forecast'!N$337,FALSE)</f>
        <v>333.56905529006588</v>
      </c>
      <c r="M40" s="88">
        <f>VLOOKUP($B40,'[13]Div 91 forecast'!$D$338:$AF$417,'[13]Div 91 forecast'!O$337,FALSE)</f>
        <v>333.56905529006588</v>
      </c>
      <c r="N40" s="88">
        <f>VLOOKUP($B40,'[13]Div 91 forecast'!$D$338:$AF$417,'[13]Div 91 forecast'!P$337,FALSE)</f>
        <v>333.56905529006588</v>
      </c>
      <c r="O40" s="88">
        <f>VLOOKUP($B40,'[13]Div 91 forecast'!$D$338:$AF$417,'[13]Div 91 forecast'!Q$337,FALSE)</f>
        <v>334.04050021919079</v>
      </c>
      <c r="P40" s="95">
        <f t="shared" si="2"/>
        <v>5035.1137376449778</v>
      </c>
      <c r="Q40" s="183"/>
      <c r="R40" s="711"/>
    </row>
    <row r="41" spans="1:18">
      <c r="A41" s="1036">
        <f t="shared" si="1"/>
        <v>28</v>
      </c>
      <c r="B41" s="314">
        <v>9010</v>
      </c>
      <c r="C41" s="72" t="s">
        <v>180</v>
      </c>
      <c r="D41" s="481">
        <f>'[12]DIV 091 IS Activity'!L39</f>
        <v>11142.44</v>
      </c>
      <c r="E41" s="481">
        <f>'[12]DIV 091 IS Activity'!M39</f>
        <v>10759.199999999999</v>
      </c>
      <c r="F41" s="481">
        <f>'[12]DIV 091 IS Activity'!N39</f>
        <v>11714.829999999998</v>
      </c>
      <c r="G41" s="481">
        <f>'[12]DIV 091 IS Activity'!O39</f>
        <v>10696.17</v>
      </c>
      <c r="H41" s="481">
        <f>'[12]DIV 091 IS Activity'!P39</f>
        <v>10190.27</v>
      </c>
      <c r="I41" s="481">
        <f>'[12]DIV 091 IS Activity'!Q39</f>
        <v>10278.519999999999</v>
      </c>
      <c r="J41" s="88">
        <f>VLOOKUP($B41,'[13]Div 91 forecast'!$D$338:$AF$417,'[13]Div 91 forecast'!L$337,FALSE)</f>
        <v>7093.3621090385723</v>
      </c>
      <c r="K41" s="88">
        <f>VLOOKUP($B41,'[13]Div 91 forecast'!$D$338:$AF$417,'[13]Div 91 forecast'!M$337,FALSE)</f>
        <v>6774.0912593608537</v>
      </c>
      <c r="L41" s="88">
        <f>VLOOKUP($B41,'[13]Div 91 forecast'!$D$338:$AF$417,'[13]Div 91 forecast'!N$337,FALSE)</f>
        <v>7094.7120255324462</v>
      </c>
      <c r="M41" s="88">
        <f>VLOOKUP($B41,'[13]Div 91 forecast'!$D$338:$AF$417,'[13]Div 91 forecast'!O$337,FALSE)</f>
        <v>7093.2038242518083</v>
      </c>
      <c r="N41" s="88">
        <f>VLOOKUP($B41,'[13]Div 91 forecast'!$D$338:$AF$417,'[13]Div 91 forecast'!P$337,FALSE)</f>
        <v>7100.1400029373071</v>
      </c>
      <c r="O41" s="88">
        <f>VLOOKUP($B41,'[13]Div 91 forecast'!$D$338:$AF$417,'[13]Div 91 forecast'!Q$337,FALSE)</f>
        <v>7103.0424465872338</v>
      </c>
      <c r="P41" s="95">
        <f t="shared" si="2"/>
        <v>107039.98166770821</v>
      </c>
      <c r="Q41" s="183"/>
      <c r="R41" s="711"/>
    </row>
    <row r="42" spans="1:18">
      <c r="A42" s="1036">
        <f t="shared" si="1"/>
        <v>29</v>
      </c>
      <c r="B42" s="314">
        <v>9020</v>
      </c>
      <c r="C42" s="72" t="s">
        <v>922</v>
      </c>
      <c r="D42" s="481">
        <f>'[12]DIV 091 IS Activity'!L40</f>
        <v>46.349999999999994</v>
      </c>
      <c r="E42" s="481">
        <f>'[12]DIV 091 IS Activity'!M40</f>
        <v>32.449999999999996</v>
      </c>
      <c r="F42" s="481">
        <f>'[12]DIV 091 IS Activity'!N40</f>
        <v>18.019999999999996</v>
      </c>
      <c r="G42" s="481">
        <f>'[12]DIV 091 IS Activity'!O40</f>
        <v>-4.12</v>
      </c>
      <c r="H42" s="481">
        <f>'[12]DIV 091 IS Activity'!P40</f>
        <v>193.13</v>
      </c>
      <c r="I42" s="481">
        <f>'[12]DIV 091 IS Activity'!Q40</f>
        <v>-38.630000000000003</v>
      </c>
      <c r="J42" s="88">
        <f>VLOOKUP($B42,'[13]Div 91 forecast'!$D$338:$AF$417,'[13]Div 91 forecast'!L$337,FALSE)</f>
        <v>27.050575884166349</v>
      </c>
      <c r="K42" s="88">
        <f>VLOOKUP($B42,'[13]Div 91 forecast'!$D$338:$AF$417,'[13]Div 91 forecast'!M$337,FALSE)</f>
        <v>25.828318216985632</v>
      </c>
      <c r="L42" s="88">
        <f>VLOOKUP($B42,'[13]Div 91 forecast'!$D$338:$AF$417,'[13]Div 91 forecast'!N$337,FALSE)</f>
        <v>27.050575884166349</v>
      </c>
      <c r="M42" s="88">
        <f>VLOOKUP($B42,'[13]Div 91 forecast'!$D$338:$AF$417,'[13]Div 91 forecast'!O$337,FALSE)</f>
        <v>27.050575884166349</v>
      </c>
      <c r="N42" s="88">
        <f>VLOOKUP($B42,'[13]Div 91 forecast'!$D$338:$AF$417,'[13]Div 91 forecast'!P$337,FALSE)</f>
        <v>27.050575884166349</v>
      </c>
      <c r="O42" s="88">
        <f>VLOOKUP($B42,'[13]Div 91 forecast'!$D$338:$AF$417,'[13]Div 91 forecast'!Q$337,FALSE)</f>
        <v>27.088807418621514</v>
      </c>
      <c r="P42" s="95">
        <f t="shared" si="2"/>
        <v>408.31942917227246</v>
      </c>
      <c r="Q42" s="183"/>
      <c r="R42" s="711"/>
    </row>
    <row r="43" spans="1:18">
      <c r="A43" s="1036">
        <f t="shared" si="1"/>
        <v>30</v>
      </c>
      <c r="B43" s="314">
        <v>9030</v>
      </c>
      <c r="C43" s="172" t="s">
        <v>926</v>
      </c>
      <c r="D43" s="481">
        <f>'[12]DIV 091 IS Activity'!L41</f>
        <v>178386.68</v>
      </c>
      <c r="E43" s="481">
        <f>'[12]DIV 091 IS Activity'!M41</f>
        <v>137704.55000000002</v>
      </c>
      <c r="F43" s="481">
        <f>'[12]DIV 091 IS Activity'!N41</f>
        <v>172860.59000000003</v>
      </c>
      <c r="G43" s="481">
        <f>'[12]DIV 091 IS Activity'!O41</f>
        <v>176651.31999999998</v>
      </c>
      <c r="H43" s="481">
        <f>'[12]DIV 091 IS Activity'!P41</f>
        <v>198238.99</v>
      </c>
      <c r="I43" s="481">
        <f>'[12]DIV 091 IS Activity'!Q41</f>
        <v>186086.76</v>
      </c>
      <c r="J43" s="88">
        <f>VLOOKUP($B43,'[13]Div 91 forecast'!$D$338:$AF$417,'[13]Div 91 forecast'!L$337,FALSE)</f>
        <v>258521.12144462971</v>
      </c>
      <c r="K43" s="88">
        <f>VLOOKUP($B43,'[13]Div 91 forecast'!$D$338:$AF$417,'[13]Div 91 forecast'!M$337,FALSE)</f>
        <v>237577.27647655143</v>
      </c>
      <c r="L43" s="88">
        <f>VLOOKUP($B43,'[13]Div 91 forecast'!$D$338:$AF$417,'[13]Div 91 forecast'!N$337,FALSE)</f>
        <v>229755.61778642883</v>
      </c>
      <c r="M43" s="88">
        <f>VLOOKUP($B43,'[13]Div 91 forecast'!$D$338:$AF$417,'[13]Div 91 forecast'!O$337,FALSE)</f>
        <v>228256.79780761179</v>
      </c>
      <c r="N43" s="88">
        <f>VLOOKUP($B43,'[13]Div 91 forecast'!$D$338:$AF$417,'[13]Div 91 forecast'!P$337,FALSE)</f>
        <v>228296.10088012979</v>
      </c>
      <c r="O43" s="88">
        <f>VLOOKUP($B43,'[13]Div 91 forecast'!$D$338:$AF$417,'[13]Div 91 forecast'!Q$337,FALSE)</f>
        <v>274215.23985273071</v>
      </c>
      <c r="P43" s="95">
        <f t="shared" si="2"/>
        <v>2506551.0442480827</v>
      </c>
      <c r="Q43" s="183"/>
      <c r="R43" s="711"/>
    </row>
    <row r="44" spans="1:18">
      <c r="A44" s="1036">
        <f t="shared" si="1"/>
        <v>31</v>
      </c>
      <c r="B44" s="314">
        <v>9040</v>
      </c>
      <c r="C44" s="172" t="s">
        <v>927</v>
      </c>
      <c r="D44" s="481">
        <f>0</f>
        <v>0</v>
      </c>
      <c r="E44" s="481">
        <f>0</f>
        <v>0</v>
      </c>
      <c r="F44" s="481">
        <f>0</f>
        <v>0</v>
      </c>
      <c r="G44" s="481">
        <f>0</f>
        <v>0</v>
      </c>
      <c r="H44" s="481">
        <f>0</f>
        <v>0</v>
      </c>
      <c r="I44" s="481">
        <f>0</f>
        <v>0</v>
      </c>
      <c r="J44" s="88">
        <f>VLOOKUP($B44,'[13]Div 91 forecast'!$D$338:$AF$417,'[13]Div 91 forecast'!L$337,FALSE)</f>
        <v>34584</v>
      </c>
      <c r="K44" s="88">
        <f>VLOOKUP($B44,'[13]Div 91 forecast'!$D$338:$AF$417,'[13]Div 91 forecast'!M$337,FALSE)</f>
        <v>29522</v>
      </c>
      <c r="L44" s="88">
        <f>VLOOKUP($B44,'[13]Div 91 forecast'!$D$338:$AF$417,'[13]Div 91 forecast'!N$337,FALSE)</f>
        <v>27679</v>
      </c>
      <c r="M44" s="88">
        <f>VLOOKUP($B44,'[13]Div 91 forecast'!$D$338:$AF$417,'[13]Div 91 forecast'!O$337,FALSE)</f>
        <v>27994</v>
      </c>
      <c r="N44" s="88">
        <f>VLOOKUP($B44,'[13]Div 91 forecast'!$D$338:$AF$417,'[13]Div 91 forecast'!P$337,FALSE)</f>
        <v>28469</v>
      </c>
      <c r="O44" s="88">
        <f>VLOOKUP($B44,'[13]Div 91 forecast'!$D$338:$AF$417,'[13]Div 91 forecast'!Q$337,FALSE)</f>
        <v>30223</v>
      </c>
      <c r="P44" s="95">
        <f t="shared" si="2"/>
        <v>178471</v>
      </c>
      <c r="Q44" s="183"/>
      <c r="R44" s="711"/>
    </row>
    <row r="45" spans="1:18">
      <c r="A45" s="1036">
        <f t="shared" si="1"/>
        <v>32</v>
      </c>
      <c r="B45" s="314">
        <v>9090</v>
      </c>
      <c r="C45" s="172" t="s">
        <v>928</v>
      </c>
      <c r="D45" s="481">
        <f>'[12]DIV 091 IS Activity'!L42</f>
        <v>36687.96</v>
      </c>
      <c r="E45" s="481">
        <f>'[12]DIV 091 IS Activity'!M42</f>
        <v>-14057.98</v>
      </c>
      <c r="F45" s="481">
        <f>'[12]DIV 091 IS Activity'!N42</f>
        <v>22866.559999999998</v>
      </c>
      <c r="G45" s="481">
        <f>'[12]DIV 091 IS Activity'!O42</f>
        <v>13091.859999999999</v>
      </c>
      <c r="H45" s="481">
        <f>'[12]DIV 091 IS Activity'!P42</f>
        <v>13695.55</v>
      </c>
      <c r="I45" s="481">
        <f>'[12]DIV 091 IS Activity'!Q42</f>
        <v>15666.96</v>
      </c>
      <c r="J45" s="88">
        <f>VLOOKUP($B45,'[13]Div 91 forecast'!$D$338:$AF$417,'[13]Div 91 forecast'!L$337,FALSE)</f>
        <v>16376.870615001135</v>
      </c>
      <c r="K45" s="88">
        <f>VLOOKUP($B45,'[13]Div 91 forecast'!$D$338:$AF$417,'[13]Div 91 forecast'!M$337,FALSE)</f>
        <v>17366.25855018212</v>
      </c>
      <c r="L45" s="88">
        <f>VLOOKUP($B45,'[13]Div 91 forecast'!$D$338:$AF$417,'[13]Div 91 forecast'!N$337,FALSE)</f>
        <v>18012.793989560563</v>
      </c>
      <c r="M45" s="88">
        <f>VLOOKUP($B45,'[13]Div 91 forecast'!$D$338:$AF$417,'[13]Div 91 forecast'!O$337,FALSE)</f>
        <v>16162.313437126752</v>
      </c>
      <c r="N45" s="88">
        <f>VLOOKUP($B45,'[13]Div 91 forecast'!$D$338:$AF$417,'[13]Div 91 forecast'!P$337,FALSE)</f>
        <v>25629.077936648489</v>
      </c>
      <c r="O45" s="88">
        <f>VLOOKUP($B45,'[13]Div 91 forecast'!$D$338:$AF$417,'[13]Div 91 forecast'!Q$337,FALSE)</f>
        <v>16044.357190870076</v>
      </c>
      <c r="P45" s="95">
        <f t="shared" ref="P45" si="4">SUM(D45:O45)</f>
        <v>197542.5817193891</v>
      </c>
      <c r="Q45" s="183"/>
      <c r="R45" s="711"/>
    </row>
    <row r="46" spans="1:18">
      <c r="A46" s="1036">
        <f t="shared" si="1"/>
        <v>33</v>
      </c>
      <c r="B46" s="314">
        <v>9100</v>
      </c>
      <c r="C46" s="172" t="s">
        <v>929</v>
      </c>
      <c r="D46" s="481">
        <f>'[12]DIV 091 IS Activity'!L43</f>
        <v>60.36</v>
      </c>
      <c r="E46" s="481">
        <f>'[12]DIV 091 IS Activity'!M43</f>
        <v>25.3</v>
      </c>
      <c r="F46" s="481">
        <f>'[12]DIV 091 IS Activity'!N43</f>
        <v>2.4700000000000002</v>
      </c>
      <c r="G46" s="481">
        <f>'[12]DIV 091 IS Activity'!O43</f>
        <v>53.07</v>
      </c>
      <c r="H46" s="481">
        <f>'[12]DIV 091 IS Activity'!P43</f>
        <v>27.77</v>
      </c>
      <c r="I46" s="481">
        <f>'[12]DIV 091 IS Activity'!Q43</f>
        <v>30.24</v>
      </c>
      <c r="J46" s="88">
        <f>VLOOKUP($B46,'[13]Div 91 forecast'!$D$338:$AF$417,'[13]Div 91 forecast'!L$337,FALSE)</f>
        <v>129.02696619298069</v>
      </c>
      <c r="K46" s="88">
        <f>VLOOKUP($B46,'[13]Div 91 forecast'!$D$338:$AF$417,'[13]Div 91 forecast'!M$337,FALSE)</f>
        <v>38.257488121778209</v>
      </c>
      <c r="L46" s="88">
        <f>VLOOKUP($B46,'[13]Div 91 forecast'!$D$338:$AF$417,'[13]Div 91 forecast'!N$337,FALSE)</f>
        <v>17.385083530633022</v>
      </c>
      <c r="M46" s="88">
        <f>VLOOKUP($B46,'[13]Div 91 forecast'!$D$338:$AF$417,'[13]Div 91 forecast'!O$337,FALSE)</f>
        <v>45.996623483081038</v>
      </c>
      <c r="N46" s="88">
        <f>VLOOKUP($B46,'[13]Div 91 forecast'!$D$338:$AF$417,'[13]Div 91 forecast'!P$337,FALSE)</f>
        <v>65.885041940601383</v>
      </c>
      <c r="O46" s="88">
        <f>VLOOKUP($B46,'[13]Div 91 forecast'!$D$338:$AF$417,'[13]Div 91 forecast'!Q$337,FALSE)</f>
        <v>16.416459725628012</v>
      </c>
      <c r="P46" s="95">
        <f t="shared" si="2"/>
        <v>512.17766299470236</v>
      </c>
      <c r="Q46" s="183"/>
      <c r="R46" s="711"/>
    </row>
    <row r="47" spans="1:18">
      <c r="A47" s="1036">
        <f t="shared" si="1"/>
        <v>34</v>
      </c>
      <c r="B47" s="314">
        <v>9110</v>
      </c>
      <c r="C47" s="172" t="s">
        <v>930</v>
      </c>
      <c r="D47" s="481">
        <f>'[12]DIV 091 IS Activity'!L44</f>
        <v>10915.16</v>
      </c>
      <c r="E47" s="481">
        <f>'[12]DIV 091 IS Activity'!M44</f>
        <v>14058</v>
      </c>
      <c r="F47" s="481">
        <f>'[12]DIV 091 IS Activity'!N44</f>
        <v>11574.8</v>
      </c>
      <c r="G47" s="481">
        <f>'[12]DIV 091 IS Activity'!O44</f>
        <v>10256.56</v>
      </c>
      <c r="H47" s="481">
        <f>'[12]DIV 091 IS Activity'!P44</f>
        <v>11003.880000000001</v>
      </c>
      <c r="I47" s="481">
        <f>'[12]DIV 091 IS Activity'!Q44</f>
        <v>12875.32</v>
      </c>
      <c r="J47" s="88">
        <f>VLOOKUP($B47,'[13]Div 91 forecast'!$D$338:$AF$417,'[13]Div 91 forecast'!L$337,FALSE)</f>
        <v>13423.578331425388</v>
      </c>
      <c r="K47" s="88">
        <f>VLOOKUP($B47,'[13]Div 91 forecast'!$D$338:$AF$417,'[13]Div 91 forecast'!M$337,FALSE)</f>
        <v>11063.929708844513</v>
      </c>
      <c r="L47" s="88">
        <f>VLOOKUP($B47,'[13]Div 91 forecast'!$D$338:$AF$417,'[13]Div 91 forecast'!N$337,FALSE)</f>
        <v>11759.546718464173</v>
      </c>
      <c r="M47" s="88">
        <f>VLOOKUP($B47,'[13]Div 91 forecast'!$D$338:$AF$417,'[13]Div 91 forecast'!O$337,FALSE)</f>
        <v>11663.550948535498</v>
      </c>
      <c r="N47" s="88">
        <f>VLOOKUP($B47,'[13]Div 91 forecast'!$D$338:$AF$417,'[13]Div 91 forecast'!P$337,FALSE)</f>
        <v>14428.360526127435</v>
      </c>
      <c r="O47" s="88">
        <f>VLOOKUP($B47,'[13]Div 91 forecast'!$D$338:$AF$417,'[13]Div 91 forecast'!Q$337,FALSE)</f>
        <v>11587.751799166768</v>
      </c>
      <c r="P47" s="95">
        <f t="shared" si="2"/>
        <v>144610.43803256378</v>
      </c>
      <c r="Q47" s="183"/>
      <c r="R47" s="711"/>
    </row>
    <row r="48" spans="1:18">
      <c r="A48" s="1036">
        <f t="shared" si="1"/>
        <v>35</v>
      </c>
      <c r="B48" s="314">
        <v>9120</v>
      </c>
      <c r="C48" s="172" t="s">
        <v>931</v>
      </c>
      <c r="D48" s="481">
        <f>'[12]DIV 091 IS Activity'!L45</f>
        <v>0</v>
      </c>
      <c r="E48" s="481">
        <f>'[12]DIV 091 IS Activity'!M45</f>
        <v>0</v>
      </c>
      <c r="F48" s="481">
        <f>'[12]DIV 091 IS Activity'!N45</f>
        <v>0</v>
      </c>
      <c r="G48" s="481">
        <f>'[12]DIV 091 IS Activity'!O45</f>
        <v>0</v>
      </c>
      <c r="H48" s="481">
        <f>'[12]DIV 091 IS Activity'!P45</f>
        <v>0</v>
      </c>
      <c r="I48" s="481">
        <f>'[12]DIV 091 IS Activity'!Q45</f>
        <v>0</v>
      </c>
      <c r="J48" s="88">
        <f>VLOOKUP($B48,'[13]Div 91 forecast'!$D$338:$AF$417,'[13]Div 91 forecast'!L$337,FALSE)</f>
        <v>0</v>
      </c>
      <c r="K48" s="88">
        <f>VLOOKUP($B48,'[13]Div 91 forecast'!$D$338:$AF$417,'[13]Div 91 forecast'!M$337,FALSE)</f>
        <v>0</v>
      </c>
      <c r="L48" s="88">
        <f>VLOOKUP($B48,'[13]Div 91 forecast'!$D$338:$AF$417,'[13]Div 91 forecast'!N$337,FALSE)</f>
        <v>0</v>
      </c>
      <c r="M48" s="88">
        <f>VLOOKUP($B48,'[13]Div 91 forecast'!$D$338:$AF$417,'[13]Div 91 forecast'!O$337,FALSE)</f>
        <v>0</v>
      </c>
      <c r="N48" s="88">
        <f>VLOOKUP($B48,'[13]Div 91 forecast'!$D$338:$AF$417,'[13]Div 91 forecast'!P$337,FALSE)</f>
        <v>0</v>
      </c>
      <c r="O48" s="88">
        <f>VLOOKUP($B48,'[13]Div 91 forecast'!$D$338:$AF$417,'[13]Div 91 forecast'!Q$337,FALSE)</f>
        <v>0</v>
      </c>
      <c r="P48" s="95">
        <f t="shared" si="2"/>
        <v>0</v>
      </c>
      <c r="Q48" s="183"/>
      <c r="R48" s="711"/>
    </row>
    <row r="49" spans="1:18">
      <c r="A49" s="1036">
        <f t="shared" si="1"/>
        <v>36</v>
      </c>
      <c r="B49" s="314">
        <v>9130</v>
      </c>
      <c r="C49" s="172" t="s">
        <v>932</v>
      </c>
      <c r="D49" s="481">
        <f>'[12]DIV 091 IS Activity'!L46</f>
        <v>0</v>
      </c>
      <c r="E49" s="481">
        <f>'[12]DIV 091 IS Activity'!M46</f>
        <v>0</v>
      </c>
      <c r="F49" s="481">
        <f>'[12]DIV 091 IS Activity'!N46</f>
        <v>0</v>
      </c>
      <c r="G49" s="481">
        <f>'[12]DIV 091 IS Activity'!O46</f>
        <v>0</v>
      </c>
      <c r="H49" s="481">
        <f>'[12]DIV 091 IS Activity'!P46</f>
        <v>381.56</v>
      </c>
      <c r="I49" s="481">
        <f>'[12]DIV 091 IS Activity'!Q46</f>
        <v>0</v>
      </c>
      <c r="J49" s="88">
        <f>VLOOKUP($B49,'[13]Div 91 forecast'!$D$338:$AF$417,'[13]Div 91 forecast'!L$337,FALSE)</f>
        <v>247.13382471057531</v>
      </c>
      <c r="K49" s="88">
        <f>VLOOKUP($B49,'[13]Div 91 forecast'!$D$338:$AF$417,'[13]Div 91 forecast'!M$337,FALSE)</f>
        <v>73.277080305936906</v>
      </c>
      <c r="L49" s="88">
        <f>VLOOKUP($B49,'[13]Div 91 forecast'!$D$338:$AF$417,'[13]Div 91 forecast'!N$337,FALSE)</f>
        <v>33.298792590474051</v>
      </c>
      <c r="M49" s="88">
        <f>VLOOKUP($B49,'[13]Div 91 forecast'!$D$338:$AF$417,'[13]Div 91 forecast'!O$337,FALSE)</f>
        <v>88.100354682015961</v>
      </c>
      <c r="N49" s="88">
        <f>VLOOKUP($B49,'[13]Div 91 forecast'!$D$338:$AF$417,'[13]Div 91 forecast'!P$337,FALSE)</f>
        <v>126.19394911327676</v>
      </c>
      <c r="O49" s="88">
        <f>VLOOKUP($B49,'[13]Div 91 forecast'!$D$338:$AF$417,'[13]Div 91 forecast'!Q$337,FALSE)</f>
        <v>31.443523783497938</v>
      </c>
      <c r="P49" s="95">
        <f t="shared" si="2"/>
        <v>981.00752518577679</v>
      </c>
      <c r="Q49" s="183"/>
      <c r="R49" s="711"/>
    </row>
    <row r="50" spans="1:18">
      <c r="A50" s="1036">
        <f t="shared" si="1"/>
        <v>37</v>
      </c>
      <c r="B50" s="314">
        <v>9200</v>
      </c>
      <c r="C50" s="172" t="s">
        <v>181</v>
      </c>
      <c r="D50" s="481">
        <f>'[12]DIV 091 IS Activity'!L47</f>
        <v>-23430.54</v>
      </c>
      <c r="E50" s="481">
        <f>'[12]DIV 091 IS Activity'!M47</f>
        <v>-6224.37</v>
      </c>
      <c r="F50" s="481">
        <f>'[12]DIV 091 IS Activity'!N47</f>
        <v>-6352.92</v>
      </c>
      <c r="G50" s="481">
        <f>'[12]DIV 091 IS Activity'!O47</f>
        <v>-6289.33</v>
      </c>
      <c r="H50" s="481">
        <f>'[12]DIV 091 IS Activity'!P47</f>
        <v>-37620.61</v>
      </c>
      <c r="I50" s="481">
        <f>'[12]DIV 091 IS Activity'!Q47</f>
        <v>-26547.97</v>
      </c>
      <c r="J50" s="88">
        <f>VLOOKUP($B50,'[13]Div 91 forecast'!$D$338:$AF$417,'[13]Div 91 forecast'!L$337,FALSE)</f>
        <v>722.48917817524341</v>
      </c>
      <c r="K50" s="88">
        <f>VLOOKUP($B50,'[13]Div 91 forecast'!$D$338:$AF$417,'[13]Div 91 forecast'!M$337,FALSE)</f>
        <v>634.05721022233718</v>
      </c>
      <c r="L50" s="88">
        <f>VLOOKUP($B50,'[13]Div 91 forecast'!$D$338:$AF$417,'[13]Div 91 forecast'!N$337,FALSE)</f>
        <v>634.05721022233718</v>
      </c>
      <c r="M50" s="88">
        <f>VLOOKUP($B50,'[13]Div 91 forecast'!$D$338:$AF$417,'[13]Div 91 forecast'!O$337,FALSE)</f>
        <v>722.48917817524341</v>
      </c>
      <c r="N50" s="88">
        <f>VLOOKUP($B50,'[13]Div 91 forecast'!$D$338:$AF$417,'[13]Div 91 forecast'!P$337,FALSE)</f>
        <v>4171.3359283385835</v>
      </c>
      <c r="O50" s="88">
        <f>VLOOKUP($B50,'[13]Div 91 forecast'!$D$338:$AF$417,'[13]Div 91 forecast'!Q$337,FALSE)</f>
        <v>630.51993150422095</v>
      </c>
      <c r="P50" s="95">
        <f t="shared" si="2"/>
        <v>-98950.791363362048</v>
      </c>
      <c r="Q50" s="183"/>
      <c r="R50" s="711"/>
    </row>
    <row r="51" spans="1:18">
      <c r="A51" s="1036">
        <f t="shared" si="1"/>
        <v>38</v>
      </c>
      <c r="B51" s="314">
        <v>9210</v>
      </c>
      <c r="C51" s="172" t="s">
        <v>933</v>
      </c>
      <c r="D51" s="481">
        <f>'[12]DIV 091 IS Activity'!L48</f>
        <v>0</v>
      </c>
      <c r="E51" s="481">
        <f>'[12]DIV 091 IS Activity'!M48</f>
        <v>0</v>
      </c>
      <c r="F51" s="481">
        <f>'[12]DIV 091 IS Activity'!N48</f>
        <v>0</v>
      </c>
      <c r="G51" s="481">
        <f>'[12]DIV 091 IS Activity'!O48</f>
        <v>-70000</v>
      </c>
      <c r="H51" s="481">
        <f>'[12]DIV 091 IS Activity'!P48</f>
        <v>20.420000000000002</v>
      </c>
      <c r="I51" s="481">
        <f>'[12]DIV 091 IS Activity'!Q48</f>
        <v>0</v>
      </c>
      <c r="J51" s="88">
        <f>VLOOKUP($B51,'[13]Div 91 forecast'!$D$338:$AF$417,'[13]Div 91 forecast'!L$337,FALSE)</f>
        <v>-23355.209229556684</v>
      </c>
      <c r="K51" s="88">
        <f>VLOOKUP($B51,'[13]Div 91 forecast'!$D$338:$AF$417,'[13]Div 91 forecast'!M$337,FALSE)</f>
        <v>-21238.322788437697</v>
      </c>
      <c r="L51" s="88">
        <f>VLOOKUP($B51,'[13]Div 91 forecast'!$D$338:$AF$417,'[13]Div 91 forecast'!N$337,FALSE)</f>
        <v>-20121.863699611444</v>
      </c>
      <c r="M51" s="88">
        <f>VLOOKUP($B51,'[13]Div 91 forecast'!$D$338:$AF$417,'[13]Div 91 forecast'!O$337,FALSE)</f>
        <v>-20005.453417163812</v>
      </c>
      <c r="N51" s="88">
        <f>VLOOKUP($B51,'[13]Div 91 forecast'!$D$338:$AF$417,'[13]Div 91 forecast'!P$337,FALSE)</f>
        <v>-19639.345451173482</v>
      </c>
      <c r="O51" s="88">
        <f>VLOOKUP($B51,'[13]Div 91 forecast'!$D$338:$AF$417,'[13]Div 91 forecast'!Q$337,FALSE)</f>
        <v>-25079.828733861097</v>
      </c>
      <c r="P51" s="95">
        <f t="shared" si="2"/>
        <v>-199419.60331980421</v>
      </c>
      <c r="Q51" s="183"/>
      <c r="R51" s="183"/>
    </row>
    <row r="52" spans="1:18">
      <c r="A52" s="1036">
        <f t="shared" si="1"/>
        <v>39</v>
      </c>
      <c r="B52" s="314">
        <v>9220</v>
      </c>
      <c r="C52" s="172" t="s">
        <v>934</v>
      </c>
      <c r="D52" s="481">
        <f>'[12]DIV 091 IS Activity'!L49</f>
        <v>-712627.73999999976</v>
      </c>
      <c r="E52" s="481">
        <f>'[12]DIV 091 IS Activity'!M49</f>
        <v>-559667.31000000006</v>
      </c>
      <c r="F52" s="481">
        <f>'[12]DIV 091 IS Activity'!N49</f>
        <v>-721663.96</v>
      </c>
      <c r="G52" s="481">
        <f>'[12]DIV 091 IS Activity'!O49</f>
        <v>-853891.54999999993</v>
      </c>
      <c r="H52" s="481">
        <f>'[12]DIV 091 IS Activity'!P49</f>
        <v>-727663.9</v>
      </c>
      <c r="I52" s="481">
        <f>'[12]DIV 091 IS Activity'!Q49</f>
        <v>-806851.44000000076</v>
      </c>
      <c r="J52" s="88">
        <f t="shared" ref="J52:O52" si="5">-(SUM(J14:J51,J53:J59))</f>
        <v>-1042061</v>
      </c>
      <c r="K52" s="88">
        <f t="shared" si="5"/>
        <v>-1045619.6599999999</v>
      </c>
      <c r="L52" s="88">
        <f t="shared" si="5"/>
        <v>-936142.69</v>
      </c>
      <c r="M52" s="88">
        <f t="shared" si="5"/>
        <v>-1076013.46</v>
      </c>
      <c r="N52" s="88">
        <f t="shared" si="5"/>
        <v>-959906.65</v>
      </c>
      <c r="O52" s="88">
        <f t="shared" si="5"/>
        <v>-940048.1399999999</v>
      </c>
      <c r="P52" s="95">
        <f t="shared" si="2"/>
        <v>-10382157.500000002</v>
      </c>
      <c r="Q52" s="544"/>
      <c r="R52" s="183"/>
    </row>
    <row r="53" spans="1:18">
      <c r="A53" s="1036">
        <f t="shared" si="1"/>
        <v>40</v>
      </c>
      <c r="B53" s="314">
        <v>9230</v>
      </c>
      <c r="C53" s="172" t="s">
        <v>935</v>
      </c>
      <c r="D53" s="481">
        <f>'[12]DIV 091 IS Activity'!L50</f>
        <v>20248.73</v>
      </c>
      <c r="E53" s="481">
        <f>'[12]DIV 091 IS Activity'!M50</f>
        <v>16646.03</v>
      </c>
      <c r="F53" s="481">
        <f>'[12]DIV 091 IS Activity'!N50</f>
        <v>20939.349999999999</v>
      </c>
      <c r="G53" s="481">
        <f>'[12]DIV 091 IS Activity'!O50</f>
        <v>4528.18</v>
      </c>
      <c r="H53" s="481">
        <f>'[12]DIV 091 IS Activity'!P50</f>
        <v>1752.05</v>
      </c>
      <c r="I53" s="481">
        <f>'[12]DIV 091 IS Activity'!Q50</f>
        <v>-12642.050000000001</v>
      </c>
      <c r="J53" s="88">
        <f>VLOOKUP($B53,'[13]Div 91 forecast'!$D$338:$AF$417,'[13]Div 91 forecast'!L$337,FALSE)</f>
        <v>17179.228067087293</v>
      </c>
      <c r="K53" s="88">
        <f>VLOOKUP($B53,'[13]Div 91 forecast'!$D$338:$AF$417,'[13]Div 91 forecast'!M$337,FALSE)</f>
        <v>15621.063741806853</v>
      </c>
      <c r="L53" s="88">
        <f>VLOOKUP($B53,'[13]Div 91 forecast'!$D$338:$AF$417,'[13]Div 91 forecast'!N$337,FALSE)</f>
        <v>14799.915366398338</v>
      </c>
      <c r="M53" s="88">
        <f>VLOOKUP($B53,'[13]Div 91 forecast'!$D$338:$AF$417,'[13]Div 91 forecast'!O$337,FALSE)</f>
        <v>14716.031412289794</v>
      </c>
      <c r="N53" s="88">
        <f>VLOOKUP($B53,'[13]Div 91 forecast'!$D$338:$AF$417,'[13]Div 91 forecast'!P$337,FALSE)</f>
        <v>14557.109086911167</v>
      </c>
      <c r="O53" s="88">
        <f>VLOOKUP($B53,'[13]Div 91 forecast'!$D$338:$AF$417,'[13]Div 91 forecast'!Q$337,FALSE)</f>
        <v>18445.624321041116</v>
      </c>
      <c r="P53" s="95">
        <f t="shared" si="2"/>
        <v>146791.26199553453</v>
      </c>
      <c r="Q53" s="183"/>
      <c r="R53" s="183"/>
    </row>
    <row r="54" spans="1:18">
      <c r="A54" s="1036">
        <f t="shared" si="1"/>
        <v>41</v>
      </c>
      <c r="B54" s="314">
        <v>9240</v>
      </c>
      <c r="C54" s="172" t="s">
        <v>936</v>
      </c>
      <c r="D54" s="481">
        <f>'[12]DIV 091 IS Activity'!L51</f>
        <v>42.389999999999986</v>
      </c>
      <c r="E54" s="481">
        <f>'[12]DIV 091 IS Activity'!M51</f>
        <v>34.639999999999986</v>
      </c>
      <c r="F54" s="481">
        <f>'[12]DIV 091 IS Activity'!N51</f>
        <v>42.480000000000018</v>
      </c>
      <c r="G54" s="481">
        <f>'[12]DIV 091 IS Activity'!O51</f>
        <v>-44.129999999999995</v>
      </c>
      <c r="H54" s="481">
        <f>'[12]DIV 091 IS Activity'!P51</f>
        <v>51.660000000000025</v>
      </c>
      <c r="I54" s="481">
        <f>'[12]DIV 091 IS Activity'!Q51</f>
        <v>16.599999999999966</v>
      </c>
      <c r="J54" s="88">
        <f>VLOOKUP($B54,'[13]Div 91 forecast'!$D$338:$AF$417,'[13]Div 91 forecast'!L$337,FALSE)</f>
        <v>3213.2073019931631</v>
      </c>
      <c r="K54" s="88">
        <f>VLOOKUP($B54,'[13]Div 91 forecast'!$D$338:$AF$417,'[13]Div 91 forecast'!M$337,FALSE)</f>
        <v>3265.4896569069097</v>
      </c>
      <c r="L54" s="88">
        <f>VLOOKUP($B54,'[13]Div 91 forecast'!$D$338:$AF$417,'[13]Div 91 forecast'!N$337,FALSE)</f>
        <v>3355.6039653763</v>
      </c>
      <c r="M54" s="88">
        <f>VLOOKUP($B54,'[13]Div 91 forecast'!$D$338:$AF$417,'[13]Div 91 forecast'!O$337,FALSE)</f>
        <v>4325.7878565589926</v>
      </c>
      <c r="N54" s="88">
        <f>VLOOKUP($B54,'[13]Div 91 forecast'!$D$338:$AF$417,'[13]Div 91 forecast'!P$337,FALSE)</f>
        <v>3765.232703875241</v>
      </c>
      <c r="O54" s="88">
        <f>VLOOKUP($B54,'[13]Div 91 forecast'!$D$338:$AF$417,'[13]Div 91 forecast'!Q$337,FALSE)</f>
        <v>3755.3984029509666</v>
      </c>
      <c r="P54" s="95">
        <f t="shared" si="2"/>
        <v>21824.359887661572</v>
      </c>
      <c r="Q54" s="183"/>
      <c r="R54" s="183"/>
    </row>
    <row r="55" spans="1:18">
      <c r="A55" s="1036">
        <f t="shared" si="1"/>
        <v>42</v>
      </c>
      <c r="B55" s="314">
        <v>9250</v>
      </c>
      <c r="C55" s="172" t="s">
        <v>937</v>
      </c>
      <c r="D55" s="481">
        <f>'[12]DIV 091 IS Activity'!L52</f>
        <v>5206.2899999999991</v>
      </c>
      <c r="E55" s="481">
        <f>'[12]DIV 091 IS Activity'!M52</f>
        <v>12893.57</v>
      </c>
      <c r="F55" s="481">
        <f>'[12]DIV 091 IS Activity'!N52</f>
        <v>-27443.61</v>
      </c>
      <c r="G55" s="481">
        <f>'[12]DIV 091 IS Activity'!O52</f>
        <v>11921.480000000001</v>
      </c>
      <c r="H55" s="481">
        <f>'[12]DIV 091 IS Activity'!P52</f>
        <v>9251.3599999999988</v>
      </c>
      <c r="I55" s="481">
        <f>'[12]DIV 091 IS Activity'!Q52</f>
        <v>2300.2699999999986</v>
      </c>
      <c r="J55" s="88">
        <f>VLOOKUP($B55,'[13]Div 91 forecast'!$D$338:$AF$417,'[13]Div 91 forecast'!L$337,FALSE)</f>
        <v>28011.077205683534</v>
      </c>
      <c r="K55" s="88">
        <f>VLOOKUP($B55,'[13]Div 91 forecast'!$D$338:$AF$417,'[13]Div 91 forecast'!M$337,FALSE)</f>
        <v>28309.497680325352</v>
      </c>
      <c r="L55" s="88">
        <f>VLOOKUP($B55,'[13]Div 91 forecast'!$D$338:$AF$417,'[13]Div 91 forecast'!N$337,FALSE)</f>
        <v>29120.302519801618</v>
      </c>
      <c r="M55" s="88">
        <f>VLOOKUP($B55,'[13]Div 91 forecast'!$D$338:$AF$417,'[13]Div 91 forecast'!O$337,FALSE)</f>
        <v>36691.197108234017</v>
      </c>
      <c r="N55" s="88">
        <f>VLOOKUP($B55,'[13]Div 91 forecast'!$D$338:$AF$417,'[13]Div 91 forecast'!P$337,FALSE)</f>
        <v>32313.645669648362</v>
      </c>
      <c r="O55" s="88">
        <f>VLOOKUP($B55,'[13]Div 91 forecast'!$D$338:$AF$417,'[13]Div 91 forecast'!Q$337,FALSE)</f>
        <v>32228.693465106044</v>
      </c>
      <c r="P55" s="95">
        <f t="shared" si="2"/>
        <v>200803.77364879893</v>
      </c>
      <c r="Q55" s="183"/>
      <c r="R55" s="183"/>
    </row>
    <row r="56" spans="1:18">
      <c r="A56" s="1036">
        <f t="shared" si="1"/>
        <v>43</v>
      </c>
      <c r="B56" s="712">
        <v>9260</v>
      </c>
      <c r="C56" s="172" t="s">
        <v>938</v>
      </c>
      <c r="D56" s="481">
        <f>'[12]DIV 091 IS Activity'!L53</f>
        <v>173178.98000000004</v>
      </c>
      <c r="E56" s="481">
        <f>'[12]DIV 091 IS Activity'!M53</f>
        <v>41923.419999999969</v>
      </c>
      <c r="F56" s="481">
        <f>'[12]DIV 091 IS Activity'!N53</f>
        <v>202335.10000000003</v>
      </c>
      <c r="G56" s="481">
        <f>'[12]DIV 091 IS Activity'!O53</f>
        <v>237507.75</v>
      </c>
      <c r="H56" s="481">
        <f>'[12]DIV 091 IS Activity'!P53</f>
        <v>151157.51999999999</v>
      </c>
      <c r="I56" s="481">
        <f>'[12]DIV 091 IS Activity'!Q53</f>
        <v>275863.81</v>
      </c>
      <c r="J56" s="88">
        <f>VLOOKUP($B56,'[13]Div 91 forecast'!$D$338:$AF$417,'[13]Div 91 forecast'!L$337,FALSE)</f>
        <v>170705.54558730475</v>
      </c>
      <c r="K56" s="88">
        <f>VLOOKUP($B56,'[13]Div 91 forecast'!$D$338:$AF$417,'[13]Div 91 forecast'!M$337,FALSE)</f>
        <v>247612.19901966926</v>
      </c>
      <c r="L56" s="88">
        <f>VLOOKUP($B56,'[13]Div 91 forecast'!$D$338:$AF$417,'[13]Div 91 forecast'!N$337,FALSE)</f>
        <v>167508.5245858909</v>
      </c>
      <c r="M56" s="88">
        <f>VLOOKUP($B56,'[13]Div 91 forecast'!$D$338:$AF$417,'[13]Div 91 forecast'!O$337,FALSE)</f>
        <v>289469.95383382338</v>
      </c>
      <c r="N56" s="88">
        <f>VLOOKUP($B56,'[13]Div 91 forecast'!$D$338:$AF$417,'[13]Div 91 forecast'!P$337,FALSE)</f>
        <v>104991.91034681172</v>
      </c>
      <c r="O56" s="88">
        <f>VLOOKUP($B56,'[13]Div 91 forecast'!$D$338:$AF$417,'[13]Div 91 forecast'!Q$337,FALSE)</f>
        <v>104083.6486260135</v>
      </c>
      <c r="P56" s="95">
        <f t="shared" si="2"/>
        <v>2166338.3619995136</v>
      </c>
      <c r="Q56" s="183"/>
      <c r="R56" s="183"/>
    </row>
    <row r="57" spans="1:18">
      <c r="A57" s="1036">
        <f t="shared" si="1"/>
        <v>44</v>
      </c>
      <c r="B57" s="712">
        <v>9280</v>
      </c>
      <c r="C57" s="72" t="s">
        <v>940</v>
      </c>
      <c r="D57" s="481">
        <f>0</f>
        <v>0</v>
      </c>
      <c r="E57" s="481">
        <f>0</f>
        <v>0</v>
      </c>
      <c r="F57" s="481">
        <f>0</f>
        <v>0</v>
      </c>
      <c r="G57" s="481">
        <f>0</f>
        <v>0</v>
      </c>
      <c r="H57" s="481">
        <f>0</f>
        <v>0</v>
      </c>
      <c r="I57" s="481">
        <f>0</f>
        <v>0</v>
      </c>
      <c r="J57" s="88">
        <f>VLOOKUP($B57,'[13]Div 91 forecast'!$D$338:$AF$417,'[13]Div 91 forecast'!L$337,FALSE)</f>
        <v>0</v>
      </c>
      <c r="K57" s="88">
        <f>VLOOKUP($B57,'[13]Div 91 forecast'!$D$338:$AF$417,'[13]Div 91 forecast'!M$337,FALSE)</f>
        <v>0</v>
      </c>
      <c r="L57" s="88">
        <f>VLOOKUP($B57,'[13]Div 91 forecast'!$D$338:$AF$417,'[13]Div 91 forecast'!N$337,FALSE)</f>
        <v>0</v>
      </c>
      <c r="M57" s="88">
        <f>VLOOKUP($B57,'[13]Div 91 forecast'!$D$338:$AF$417,'[13]Div 91 forecast'!O$337,FALSE)</f>
        <v>0</v>
      </c>
      <c r="N57" s="88">
        <f>VLOOKUP($B57,'[13]Div 91 forecast'!$D$338:$AF$417,'[13]Div 91 forecast'!P$337,FALSE)</f>
        <v>0</v>
      </c>
      <c r="O57" s="88">
        <f>VLOOKUP($B57,'[13]Div 91 forecast'!$D$338:$AF$417,'[13]Div 91 forecast'!Q$337,FALSE)</f>
        <v>0</v>
      </c>
      <c r="P57" s="95">
        <f t="shared" si="2"/>
        <v>0</v>
      </c>
      <c r="Q57" s="183"/>
      <c r="R57" s="183"/>
    </row>
    <row r="58" spans="1:18">
      <c r="A58" s="1036">
        <f t="shared" si="1"/>
        <v>45</v>
      </c>
      <c r="B58" s="314">
        <v>9302</v>
      </c>
      <c r="C58" s="172" t="s">
        <v>849</v>
      </c>
      <c r="D58" s="481">
        <f>'[12]DIV 091 IS Activity'!L54</f>
        <v>0</v>
      </c>
      <c r="E58" s="481">
        <f>'[12]DIV 091 IS Activity'!M54</f>
        <v>0</v>
      </c>
      <c r="F58" s="481">
        <f>'[12]DIV 091 IS Activity'!N54</f>
        <v>0</v>
      </c>
      <c r="G58" s="481">
        <f>'[12]DIV 091 IS Activity'!O54</f>
        <v>0</v>
      </c>
      <c r="H58" s="481">
        <f>'[12]DIV 091 IS Activity'!P54</f>
        <v>0</v>
      </c>
      <c r="I58" s="481">
        <f>'[12]DIV 091 IS Activity'!Q54</f>
        <v>0</v>
      </c>
      <c r="J58" s="88">
        <f>VLOOKUP($B58,'[13]Div 91 forecast'!$D$338:$AF$417,'[13]Div 91 forecast'!L$337,FALSE)</f>
        <v>0</v>
      </c>
      <c r="K58" s="88">
        <f>VLOOKUP($B58,'[13]Div 91 forecast'!$D$338:$AF$417,'[13]Div 91 forecast'!M$337,FALSE)</f>
        <v>0</v>
      </c>
      <c r="L58" s="88">
        <f>VLOOKUP($B58,'[13]Div 91 forecast'!$D$338:$AF$417,'[13]Div 91 forecast'!N$337,FALSE)</f>
        <v>0</v>
      </c>
      <c r="M58" s="88">
        <f>VLOOKUP($B58,'[13]Div 91 forecast'!$D$338:$AF$417,'[13]Div 91 forecast'!O$337,FALSE)</f>
        <v>0</v>
      </c>
      <c r="N58" s="88">
        <f>VLOOKUP($B58,'[13]Div 91 forecast'!$D$338:$AF$417,'[13]Div 91 forecast'!P$337,FALSE)</f>
        <v>0</v>
      </c>
      <c r="O58" s="88">
        <f>VLOOKUP($B58,'[13]Div 91 forecast'!$D$338:$AF$417,'[13]Div 91 forecast'!Q$337,FALSE)</f>
        <v>0</v>
      </c>
      <c r="P58" s="95">
        <f t="shared" si="2"/>
        <v>0</v>
      </c>
      <c r="Q58" s="183"/>
      <c r="R58" s="183"/>
    </row>
    <row r="59" spans="1:18">
      <c r="A59" s="1036">
        <f t="shared" si="1"/>
        <v>46</v>
      </c>
      <c r="B59" s="314">
        <v>9310</v>
      </c>
      <c r="C59" s="172" t="s">
        <v>183</v>
      </c>
      <c r="D59" s="481">
        <f>0</f>
        <v>0</v>
      </c>
      <c r="E59" s="481">
        <f>0</f>
        <v>0</v>
      </c>
      <c r="F59" s="481">
        <f>0</f>
        <v>0</v>
      </c>
      <c r="G59" s="481">
        <f>0</f>
        <v>0</v>
      </c>
      <c r="H59" s="481">
        <f>0</f>
        <v>0</v>
      </c>
      <c r="I59" s="481">
        <f>0</f>
        <v>0</v>
      </c>
      <c r="J59" s="88">
        <f>VLOOKUP($B59,'[13]Div 91 forecast'!$D$338:$AF$417,'[13]Div 91 forecast'!L$337,FALSE)</f>
        <v>0</v>
      </c>
      <c r="K59" s="88">
        <f>VLOOKUP($B59,'[13]Div 91 forecast'!$D$338:$AF$417,'[13]Div 91 forecast'!M$337,FALSE)</f>
        <v>0</v>
      </c>
      <c r="L59" s="88">
        <f>VLOOKUP($B59,'[13]Div 91 forecast'!$D$338:$AF$417,'[13]Div 91 forecast'!N$337,FALSE)</f>
        <v>0</v>
      </c>
      <c r="M59" s="88">
        <f>VLOOKUP($B59,'[13]Div 91 forecast'!$D$338:$AF$417,'[13]Div 91 forecast'!O$337,FALSE)</f>
        <v>0</v>
      </c>
      <c r="N59" s="88">
        <f>VLOOKUP($B59,'[13]Div 91 forecast'!$D$338:$AF$417,'[13]Div 91 forecast'!P$337,FALSE)</f>
        <v>0</v>
      </c>
      <c r="O59" s="88">
        <f>VLOOKUP($B59,'[13]Div 91 forecast'!$D$338:$AF$417,'[13]Div 91 forecast'!Q$337,FALSE)</f>
        <v>0</v>
      </c>
      <c r="P59" s="95">
        <f t="shared" si="2"/>
        <v>0</v>
      </c>
      <c r="Q59" s="183"/>
      <c r="R59" s="183"/>
    </row>
    <row r="60" spans="1:18">
      <c r="A60" s="1036">
        <f t="shared" si="1"/>
        <v>47</v>
      </c>
      <c r="B60" s="183"/>
      <c r="C60" s="705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88"/>
      <c r="P60" s="188"/>
      <c r="Q60" s="188"/>
      <c r="R60" s="188"/>
    </row>
    <row r="61" spans="1:18" ht="15.75" thickBot="1">
      <c r="A61" s="1036">
        <f t="shared" si="1"/>
        <v>48</v>
      </c>
      <c r="B61" s="188" t="s">
        <v>728</v>
      </c>
      <c r="C61" s="705"/>
      <c r="D61" s="1131">
        <f t="shared" ref="D61:P61" si="6">SUM(D14:D60)</f>
        <v>-9.9999997764825821E-3</v>
      </c>
      <c r="E61" s="1131">
        <f t="shared" si="6"/>
        <v>-3.0000000035215635E-2</v>
      </c>
      <c r="F61" s="1131">
        <f t="shared" si="6"/>
        <v>1.1641532182693481E-10</v>
      </c>
      <c r="G61" s="1131">
        <f t="shared" si="6"/>
        <v>-9.9999999220017344E-3</v>
      </c>
      <c r="H61" s="1131">
        <f t="shared" si="6"/>
        <v>1.0000000125728548E-2</v>
      </c>
      <c r="I61" s="1131">
        <f t="shared" si="6"/>
        <v>-8.149072527885437E-10</v>
      </c>
      <c r="J61" s="1131">
        <f t="shared" si="6"/>
        <v>2.9103830456733704E-11</v>
      </c>
      <c r="K61" s="1131">
        <f t="shared" si="6"/>
        <v>-5.8207660913467407E-11</v>
      </c>
      <c r="L61" s="1131">
        <f t="shared" si="6"/>
        <v>2.9103830456733704E-11</v>
      </c>
      <c r="M61" s="1131">
        <f t="shared" si="6"/>
        <v>-1.7462298274040222E-10</v>
      </c>
      <c r="N61" s="1131">
        <f t="shared" si="6"/>
        <v>-2.9103830456733704E-11</v>
      </c>
      <c r="O61" s="1131">
        <f t="shared" si="6"/>
        <v>-1.3096723705530167E-10</v>
      </c>
      <c r="P61" s="1131">
        <f t="shared" si="6"/>
        <v>-4.000000236555934E-2</v>
      </c>
      <c r="Q61" s="188"/>
      <c r="R61" s="188"/>
    </row>
    <row r="62" spans="1:18" ht="15.75" thickTop="1">
      <c r="A62" s="1036">
        <f t="shared" si="1"/>
        <v>49</v>
      </c>
      <c r="B62" s="188"/>
      <c r="C62" s="705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</row>
    <row r="63" spans="1:18">
      <c r="A63" s="1036">
        <f t="shared" si="1"/>
        <v>50</v>
      </c>
      <c r="B63" s="1132">
        <f>B52</f>
        <v>9220</v>
      </c>
      <c r="C63" s="364" t="str">
        <f>C52</f>
        <v>A&amp;G-Administrative expense transferred-Credit</v>
      </c>
      <c r="D63" s="574">
        <f t="shared" ref="D63:H63" si="7">-(D61-D52)</f>
        <v>-712627.73</v>
      </c>
      <c r="E63" s="574">
        <f t="shared" si="7"/>
        <v>-559667.28</v>
      </c>
      <c r="F63" s="574">
        <f t="shared" si="7"/>
        <v>-721663.96000000008</v>
      </c>
      <c r="G63" s="574">
        <f t="shared" si="7"/>
        <v>-853891.54</v>
      </c>
      <c r="H63" s="574">
        <f t="shared" si="7"/>
        <v>-727663.91000000015</v>
      </c>
      <c r="I63" s="574">
        <f>I52</f>
        <v>-806851.44000000076</v>
      </c>
      <c r="J63" s="574">
        <f t="shared" ref="J63:O63" si="8">J52</f>
        <v>-1042061</v>
      </c>
      <c r="K63" s="574">
        <f t="shared" si="8"/>
        <v>-1045619.6599999999</v>
      </c>
      <c r="L63" s="574">
        <f t="shared" si="8"/>
        <v>-936142.69</v>
      </c>
      <c r="M63" s="574">
        <f t="shared" si="8"/>
        <v>-1076013.46</v>
      </c>
      <c r="N63" s="574">
        <f t="shared" si="8"/>
        <v>-959906.65</v>
      </c>
      <c r="O63" s="574">
        <f t="shared" si="8"/>
        <v>-940048.1399999999</v>
      </c>
      <c r="P63" s="95">
        <f t="shared" ref="P63" si="9">SUM(D63:O63)</f>
        <v>-10382157.460000003</v>
      </c>
      <c r="Q63" s="574"/>
      <c r="R63" s="188"/>
    </row>
    <row r="64" spans="1:18">
      <c r="A64" s="1036">
        <f t="shared" si="1"/>
        <v>51</v>
      </c>
      <c r="B64" s="188"/>
      <c r="C64" s="315" t="s">
        <v>194</v>
      </c>
      <c r="D64" s="1133">
        <f>D65/D63</f>
        <v>0.504199997942825</v>
      </c>
      <c r="E64" s="1133">
        <f t="shared" ref="E64:I64" si="10">E65/E63</f>
        <v>0.50420001326502417</v>
      </c>
      <c r="F64" s="1133">
        <f t="shared" si="10"/>
        <v>0.50420000189561898</v>
      </c>
      <c r="G64" s="1133">
        <f t="shared" si="10"/>
        <v>0.50420000647857455</v>
      </c>
      <c r="H64" s="1133">
        <f t="shared" si="10"/>
        <v>0.50419999529727944</v>
      </c>
      <c r="I64" s="1133">
        <f t="shared" si="10"/>
        <v>0.50420000489805117</v>
      </c>
      <c r="J64" s="1133">
        <f>Allocation!$I$17</f>
        <v>0.50419999999999998</v>
      </c>
      <c r="K64" s="1133">
        <f>Allocation!$I$17</f>
        <v>0.50419999999999998</v>
      </c>
      <c r="L64" s="1133">
        <f>Allocation!$I$17</f>
        <v>0.50419999999999998</v>
      </c>
      <c r="M64" s="1133">
        <f>Allocation!$I$17</f>
        <v>0.50419999999999998</v>
      </c>
      <c r="N64" s="1133">
        <f>Allocation!$I$17</f>
        <v>0.50419999999999998</v>
      </c>
      <c r="O64" s="1133">
        <f>Allocation!$I$17</f>
        <v>0.50419999999999998</v>
      </c>
      <c r="P64" s="1133">
        <f t="shared" ref="P64" si="11">P65/P63</f>
        <v>0.50420000128951981</v>
      </c>
      <c r="Q64" s="188"/>
      <c r="R64" s="188"/>
    </row>
    <row r="65" spans="1:18">
      <c r="A65" s="1036">
        <f t="shared" si="1"/>
        <v>52</v>
      </c>
      <c r="B65" s="188"/>
      <c r="C65" s="188" t="s">
        <v>209</v>
      </c>
      <c r="D65" s="95">
        <f>-'[16]WP C 2.2'!H3</f>
        <v>-359306.9</v>
      </c>
      <c r="E65" s="95">
        <f>-'[16]WP C 2.2'!I3</f>
        <v>-282184.25</v>
      </c>
      <c r="F65" s="95">
        <f>-'[16]WP C 2.2'!J3</f>
        <v>-363862.97</v>
      </c>
      <c r="G65" s="95">
        <f>-'[16]WP C 2.2'!K3</f>
        <v>-430532.12</v>
      </c>
      <c r="H65" s="95">
        <f>-'[16]WP C 2.2'!L3</f>
        <v>-366888.14</v>
      </c>
      <c r="I65" s="95">
        <f>-'[16]WP C 2.2'!M3</f>
        <v>-406814.5</v>
      </c>
      <c r="J65" s="95">
        <f t="shared" ref="J65:O65" si="12">J63*J64</f>
        <v>-525407.15619999997</v>
      </c>
      <c r="K65" s="95">
        <f t="shared" si="12"/>
        <v>-527201.43257199996</v>
      </c>
      <c r="L65" s="95">
        <f t="shared" si="12"/>
        <v>-472003.14429799997</v>
      </c>
      <c r="M65" s="95">
        <f t="shared" si="12"/>
        <v>-542525.98653200001</v>
      </c>
      <c r="N65" s="95">
        <f t="shared" si="12"/>
        <v>-483984.93293000001</v>
      </c>
      <c r="O65" s="95">
        <f t="shared" si="12"/>
        <v>-473972.27218799992</v>
      </c>
      <c r="P65" s="95">
        <f>SUM(D65:O65)</f>
        <v>-5234683.8047199994</v>
      </c>
      <c r="Q65" s="188"/>
      <c r="R65" s="188"/>
    </row>
    <row r="66" spans="1:18">
      <c r="A66" s="188"/>
      <c r="B66" s="188"/>
      <c r="C66" s="705"/>
      <c r="D66" s="528"/>
      <c r="E66" s="528"/>
      <c r="F66" s="528"/>
      <c r="G66" s="528"/>
      <c r="H66" s="528"/>
      <c r="I66" s="528"/>
      <c r="J66" s="191"/>
      <c r="K66" s="191"/>
      <c r="L66" s="191"/>
      <c r="M66" s="191"/>
      <c r="N66" s="191"/>
      <c r="O66" s="191"/>
      <c r="P66" s="191"/>
      <c r="Q66" s="188"/>
      <c r="R66" s="188"/>
    </row>
    <row r="67" spans="1:18">
      <c r="A67" s="188"/>
      <c r="B67" s="188"/>
      <c r="C67" s="705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91"/>
      <c r="O67" s="191"/>
      <c r="P67" s="188"/>
      <c r="Q67" s="188"/>
      <c r="R67" s="188"/>
    </row>
    <row r="68" spans="1:18">
      <c r="A68" s="188"/>
      <c r="B68" s="188" t="s">
        <v>557</v>
      </c>
      <c r="C68" s="705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91"/>
      <c r="O68" s="191"/>
      <c r="P68" s="188"/>
      <c r="Q68" s="188"/>
      <c r="R68" s="188"/>
    </row>
    <row r="69" spans="1:18">
      <c r="A69" s="188"/>
      <c r="B69" s="188"/>
      <c r="C69" s="705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91"/>
      <c r="O69" s="191"/>
      <c r="P69" s="188"/>
      <c r="Q69" s="188"/>
      <c r="R69" s="188"/>
    </row>
    <row r="70" spans="1:18">
      <c r="A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Q70" s="188"/>
      <c r="R70" s="188"/>
    </row>
    <row r="71" spans="1:18">
      <c r="A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</row>
    <row r="72" spans="1:18">
      <c r="A72" s="188"/>
      <c r="C72" s="188"/>
      <c r="D72" s="95">
        <f t="shared" ref="D72:O72" si="13">D52</f>
        <v>-712627.73999999976</v>
      </c>
      <c r="E72" s="95">
        <f t="shared" si="13"/>
        <v>-559667.31000000006</v>
      </c>
      <c r="F72" s="95">
        <f t="shared" si="13"/>
        <v>-721663.96</v>
      </c>
      <c r="G72" s="95">
        <f t="shared" si="13"/>
        <v>-853891.54999999993</v>
      </c>
      <c r="H72" s="95">
        <f t="shared" si="13"/>
        <v>-727663.9</v>
      </c>
      <c r="I72" s="95">
        <f t="shared" si="13"/>
        <v>-806851.44000000076</v>
      </c>
      <c r="J72" s="95">
        <f t="shared" si="13"/>
        <v>-1042061</v>
      </c>
      <c r="K72" s="95">
        <f t="shared" si="13"/>
        <v>-1045619.6599999999</v>
      </c>
      <c r="L72" s="95">
        <f t="shared" si="13"/>
        <v>-936142.69</v>
      </c>
      <c r="M72" s="95">
        <f t="shared" si="13"/>
        <v>-1076013.46</v>
      </c>
      <c r="N72" s="95">
        <f t="shared" si="13"/>
        <v>-959906.65</v>
      </c>
      <c r="O72" s="95">
        <f t="shared" si="13"/>
        <v>-940048.1399999999</v>
      </c>
      <c r="P72" s="95"/>
      <c r="Q72" s="617"/>
      <c r="R72" s="188"/>
    </row>
    <row r="73" spans="1:18">
      <c r="A73" s="188"/>
      <c r="C73" s="188"/>
      <c r="D73" s="95">
        <f>'[13]Div 91 forecast'!F326</f>
        <v>712627.74000000011</v>
      </c>
      <c r="E73" s="95">
        <f>'[13]Div 91 forecast'!G326</f>
        <v>559667.29999999993</v>
      </c>
      <c r="F73" s="95">
        <f>'[13]Div 91 forecast'!H326</f>
        <v>721663.95</v>
      </c>
      <c r="G73" s="95">
        <f>'[13]Div 91 forecast'!I326</f>
        <v>853891.54999999993</v>
      </c>
      <c r="H73" s="95">
        <f>'[13]Div 91 forecast'!J326</f>
        <v>727663.90000000014</v>
      </c>
      <c r="I73" s="95">
        <f>'[13]Div 91 forecast'!K326</f>
        <v>806851.44000000041</v>
      </c>
      <c r="J73" s="95">
        <f>'[13]Div 91 forecast'!L326</f>
        <v>1042061.0000000001</v>
      </c>
      <c r="K73" s="95">
        <f>'[13]Div 91 forecast'!M326</f>
        <v>1045619.6600000001</v>
      </c>
      <c r="L73" s="95">
        <f>'[13]Div 91 forecast'!N326</f>
        <v>936142.69000000018</v>
      </c>
      <c r="M73" s="95">
        <f>'[13]Div 91 forecast'!O326</f>
        <v>1076013.46</v>
      </c>
      <c r="N73" s="95">
        <f>'[13]Div 91 forecast'!P326</f>
        <v>959906.65</v>
      </c>
      <c r="O73" s="95">
        <f>'[13]Div 91 forecast'!Q326</f>
        <v>940048.1399999999</v>
      </c>
      <c r="P73" s="188"/>
      <c r="Q73" s="188"/>
      <c r="R73" s="188"/>
    </row>
    <row r="74" spans="1:18">
      <c r="A74" s="188"/>
      <c r="B74" s="188"/>
      <c r="C74" s="188"/>
      <c r="D74" s="95">
        <f>D72+D73</f>
        <v>0</v>
      </c>
      <c r="E74" s="95">
        <f t="shared" ref="E74:O74" si="14">E72+E73</f>
        <v>-1.0000000125728548E-2</v>
      </c>
      <c r="F74" s="95">
        <f t="shared" si="14"/>
        <v>-1.0000000009313226E-2</v>
      </c>
      <c r="G74" s="95">
        <f t="shared" si="14"/>
        <v>0</v>
      </c>
      <c r="H74" s="95">
        <f t="shared" si="14"/>
        <v>0</v>
      </c>
      <c r="I74" s="95">
        <f t="shared" si="14"/>
        <v>0</v>
      </c>
      <c r="J74" s="95">
        <f t="shared" si="14"/>
        <v>0</v>
      </c>
      <c r="K74" s="95">
        <f t="shared" si="14"/>
        <v>0</v>
      </c>
      <c r="L74" s="95">
        <f t="shared" si="14"/>
        <v>0</v>
      </c>
      <c r="M74" s="95">
        <f t="shared" si="14"/>
        <v>0</v>
      </c>
      <c r="N74" s="95">
        <f t="shared" si="14"/>
        <v>0</v>
      </c>
      <c r="O74" s="95">
        <f t="shared" si="14"/>
        <v>0</v>
      </c>
      <c r="P74" s="188"/>
      <c r="Q74" s="188"/>
      <c r="R74" s="188"/>
    </row>
    <row r="75" spans="1:18">
      <c r="A75" s="188"/>
      <c r="B75" s="188" t="s">
        <v>942</v>
      </c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50"/>
      <c r="P75" s="188"/>
      <c r="Q75" s="188"/>
      <c r="R75" s="188"/>
    </row>
    <row r="76" spans="1:18">
      <c r="A76" s="188"/>
      <c r="B76" s="188" t="s">
        <v>1580</v>
      </c>
      <c r="C76" s="544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50"/>
      <c r="P76" s="188"/>
      <c r="Q76" s="544"/>
      <c r="R76" s="188"/>
    </row>
    <row r="77" spans="1:18">
      <c r="A77" s="188"/>
      <c r="B77" s="72" t="s">
        <v>1582</v>
      </c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331"/>
      <c r="P77" s="188"/>
      <c r="Q77" s="188"/>
      <c r="R77" s="188"/>
    </row>
    <row r="78" spans="1:18">
      <c r="A78" s="188"/>
      <c r="B78" s="73" t="s">
        <v>1571</v>
      </c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50"/>
      <c r="P78" s="188"/>
      <c r="Q78" s="188"/>
      <c r="R78" s="188"/>
    </row>
    <row r="79" spans="1:18">
      <c r="A79" s="188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50"/>
      <c r="P79" s="188"/>
      <c r="Q79" s="188"/>
      <c r="R79" s="188"/>
    </row>
    <row r="80" spans="1:18">
      <c r="A80" s="188"/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</row>
    <row r="81" spans="1:18">
      <c r="A81" s="188"/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</row>
    <row r="83" spans="1:18">
      <c r="C83" s="544"/>
    </row>
  </sheetData>
  <mergeCells count="4">
    <mergeCell ref="A1:P1"/>
    <mergeCell ref="A2:P2"/>
    <mergeCell ref="A3:P3"/>
    <mergeCell ref="A4:P4"/>
  </mergeCells>
  <phoneticPr fontId="21" type="noConversion"/>
  <printOptions horizontalCentered="1"/>
  <pageMargins left="0.5" right="0.5" top="0.75" bottom="0.59" header="0.5" footer="0.25"/>
  <pageSetup scale="50" fitToHeight="2" orientation="landscape" verticalDpi="300" r:id="rId1"/>
  <headerFooter alignWithMargins="0">
    <oddFooter>&amp;RSchedule &amp;A
Page &amp;P of &amp;N</oddFooter>
  </headerFooter>
  <rowBreaks count="1" manualBreakCount="1">
    <brk id="6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transitionEntry="1" codeName="Sheet2">
    <pageSetUpPr fitToPage="1"/>
  </sheetPr>
  <dimension ref="A1:Q51"/>
  <sheetViews>
    <sheetView view="pageBreakPreview" zoomScale="80" zoomScaleNormal="80" zoomScaleSheetLayoutView="80" workbookViewId="0">
      <selection sqref="A1:G1"/>
    </sheetView>
  </sheetViews>
  <sheetFormatPr defaultColWidth="9.6640625" defaultRowHeight="15"/>
  <cols>
    <col min="1" max="1" width="4.6640625" style="36" customWidth="1"/>
    <col min="2" max="2" width="40" style="36" customWidth="1"/>
    <col min="3" max="3" width="20.5546875" style="36" customWidth="1"/>
    <col min="4" max="4" width="1.77734375" style="36" customWidth="1"/>
    <col min="5" max="5" width="16" style="36" bestFit="1" customWidth="1"/>
    <col min="6" max="6" width="3" style="36" customWidth="1"/>
    <col min="7" max="7" width="17.33203125" style="36" bestFit="1" customWidth="1"/>
    <col min="8" max="8" width="3" style="36" customWidth="1"/>
    <col min="9" max="9" width="2.109375" style="36" customWidth="1"/>
    <col min="10" max="10" width="11.77734375" style="36" customWidth="1"/>
    <col min="11" max="11" width="2.21875" style="36" customWidth="1"/>
    <col min="12" max="12" width="12.44140625" style="36" customWidth="1"/>
    <col min="13" max="13" width="5.6640625" style="36" customWidth="1"/>
    <col min="14" max="14" width="11.44140625" style="36" customWidth="1"/>
    <col min="15" max="15" width="1.77734375" style="36" customWidth="1"/>
    <col min="16" max="16" width="12" style="36" customWidth="1"/>
    <col min="17" max="17" width="15.6640625" style="36" customWidth="1"/>
    <col min="18" max="18" width="18.6640625" style="36" customWidth="1"/>
    <col min="19" max="19" width="11.6640625" style="36" customWidth="1"/>
    <col min="20" max="20" width="9.6640625" style="36"/>
    <col min="21" max="21" width="23.6640625" style="36" customWidth="1"/>
    <col min="22" max="22" width="14.6640625" style="36" customWidth="1"/>
    <col min="23" max="23" width="18.6640625" style="36" customWidth="1"/>
    <col min="24" max="24" width="13.6640625" style="36" customWidth="1"/>
    <col min="25" max="25" width="29.6640625" style="36" customWidth="1"/>
    <col min="26" max="26" width="9.6640625" style="36"/>
    <col min="27" max="27" width="14.6640625" style="36" customWidth="1"/>
    <col min="28" max="28" width="13.6640625" style="36" customWidth="1"/>
    <col min="29" max="29" width="11.6640625" style="36" customWidth="1"/>
    <col min="30" max="30" width="9.6640625" style="36"/>
    <col min="31" max="31" width="4.6640625" style="36" customWidth="1"/>
    <col min="32" max="32" width="48.6640625" style="36" customWidth="1"/>
    <col min="33" max="33" width="9.6640625" style="36"/>
    <col min="34" max="37" width="10.6640625" style="36" customWidth="1"/>
    <col min="38" max="39" width="9.6640625" style="36"/>
    <col min="40" max="40" width="4.6640625" style="36" customWidth="1"/>
    <col min="41" max="41" width="50.6640625" style="36" customWidth="1"/>
    <col min="42" max="42" width="9.6640625" style="36"/>
    <col min="43" max="43" width="11.6640625" style="36" customWidth="1"/>
    <col min="44" max="44" width="9.6640625" style="36"/>
    <col min="45" max="46" width="4.6640625" style="36" customWidth="1"/>
    <col min="47" max="47" width="40.6640625" style="36" customWidth="1"/>
    <col min="48" max="48" width="1.6640625" style="36" customWidth="1"/>
    <col min="49" max="52" width="11.6640625" style="36" customWidth="1"/>
    <col min="53" max="54" width="9.6640625" style="36"/>
    <col min="55" max="55" width="4.6640625" style="36" customWidth="1"/>
    <col min="56" max="56" width="30.6640625" style="36" customWidth="1"/>
    <col min="57" max="65" width="9.6640625" style="36"/>
    <col min="66" max="66" width="14.6640625" style="36" customWidth="1"/>
    <col min="67" max="68" width="9.6640625" style="36"/>
    <col min="69" max="69" width="12.6640625" style="36" customWidth="1"/>
    <col min="70" max="70" width="10.6640625" style="36" customWidth="1"/>
    <col min="71" max="16384" width="9.6640625" style="36"/>
  </cols>
  <sheetData>
    <row r="1" spans="1:16" s="1" customFormat="1">
      <c r="A1" s="1257" t="str">
        <f>'Table of Contents'!A1:C1</f>
        <v>Atmos Energy Corporation, Kentucky/Mid-States Division</v>
      </c>
      <c r="B1" s="1257"/>
      <c r="C1" s="1257"/>
      <c r="D1" s="1257"/>
      <c r="E1" s="1257"/>
      <c r="F1" s="1257"/>
      <c r="G1" s="1257"/>
      <c r="H1" s="26"/>
    </row>
    <row r="2" spans="1:16" s="1" customFormat="1">
      <c r="A2" s="1257" t="str">
        <f>'Table of Contents'!A2:C2</f>
        <v>Kentucky Jurisdiction Case No. 2021-00214</v>
      </c>
      <c r="B2" s="1257"/>
      <c r="C2" s="1257"/>
      <c r="D2" s="1257"/>
      <c r="E2" s="1257"/>
      <c r="F2" s="1257"/>
      <c r="G2" s="1257"/>
      <c r="H2" s="26"/>
    </row>
    <row r="3" spans="1:16" s="1" customFormat="1">
      <c r="A3" s="1258" t="s">
        <v>987</v>
      </c>
      <c r="B3" s="1258"/>
      <c r="C3" s="1258"/>
      <c r="D3" s="1258"/>
      <c r="E3" s="1258"/>
      <c r="F3" s="1258"/>
      <c r="G3" s="1258"/>
      <c r="H3" s="26"/>
    </row>
    <row r="4" spans="1:16" s="1" customFormat="1">
      <c r="A4" s="1257" t="str">
        <f>'Table of Contents'!A4:C4</f>
        <v>Forecasted Test Period: Twelve Months Ended December 31, 2022</v>
      </c>
      <c r="B4" s="1257"/>
      <c r="C4" s="1257"/>
      <c r="D4" s="1257"/>
      <c r="E4" s="1257"/>
      <c r="F4" s="1257"/>
      <c r="G4" s="1257"/>
      <c r="H4" s="26"/>
    </row>
    <row r="5" spans="1:16" s="1" customFormat="1">
      <c r="A5" s="27"/>
      <c r="B5" s="26"/>
      <c r="C5" s="26"/>
      <c r="D5" s="26"/>
      <c r="E5" s="26"/>
      <c r="F5" s="26"/>
      <c r="G5" s="26"/>
      <c r="H5" s="26"/>
    </row>
    <row r="6" spans="1:16" s="1" customFormat="1">
      <c r="D6" s="3"/>
      <c r="E6" s="3"/>
      <c r="F6" s="3"/>
    </row>
    <row r="7" spans="1:16" s="1" customFormat="1">
      <c r="A7" s="4" t="s">
        <v>407</v>
      </c>
      <c r="G7" s="322" t="s">
        <v>1348</v>
      </c>
      <c r="H7" s="4"/>
      <c r="I7" s="622"/>
    </row>
    <row r="8" spans="1:16" s="1" customFormat="1">
      <c r="A8" s="4" t="s">
        <v>610</v>
      </c>
      <c r="G8" s="413" t="s">
        <v>56</v>
      </c>
      <c r="H8" s="4"/>
      <c r="I8" s="622"/>
    </row>
    <row r="9" spans="1:16" s="1" customFormat="1">
      <c r="A9" s="5" t="s">
        <v>363</v>
      </c>
      <c r="B9" s="6"/>
      <c r="C9" s="6"/>
      <c r="D9" s="7"/>
      <c r="E9" s="7"/>
      <c r="F9" s="7"/>
      <c r="G9" s="453" t="s">
        <v>1620</v>
      </c>
      <c r="H9" s="42"/>
      <c r="I9" s="623"/>
    </row>
    <row r="10" spans="1:16" s="1" customFormat="1">
      <c r="D10" s="8"/>
      <c r="E10" s="2" t="s">
        <v>43</v>
      </c>
      <c r="F10" s="8"/>
      <c r="G10" s="2" t="s">
        <v>42</v>
      </c>
      <c r="H10" s="31"/>
      <c r="I10" s="622"/>
    </row>
    <row r="11" spans="1:16" s="1" customFormat="1">
      <c r="C11" s="2" t="s">
        <v>1166</v>
      </c>
      <c r="D11" s="8"/>
      <c r="E11" s="2" t="s">
        <v>96</v>
      </c>
      <c r="F11" s="8"/>
      <c r="G11" s="2" t="s">
        <v>96</v>
      </c>
      <c r="H11" s="31"/>
      <c r="I11" s="622"/>
    </row>
    <row r="12" spans="1:16" s="1" customFormat="1">
      <c r="A12" s="2" t="s">
        <v>92</v>
      </c>
      <c r="C12" s="2" t="s">
        <v>57</v>
      </c>
      <c r="D12" s="8"/>
      <c r="E12" s="2" t="s">
        <v>590</v>
      </c>
      <c r="F12" s="8"/>
      <c r="G12" s="2" t="s">
        <v>590</v>
      </c>
      <c r="H12" s="31"/>
      <c r="I12" s="622"/>
      <c r="J12" s="593"/>
      <c r="K12" s="594"/>
      <c r="L12" s="593"/>
      <c r="M12" s="593"/>
      <c r="N12" s="593"/>
      <c r="O12" s="593"/>
      <c r="P12" s="593"/>
    </row>
    <row r="13" spans="1:16" s="1" customFormat="1">
      <c r="A13" s="9" t="s">
        <v>98</v>
      </c>
      <c r="B13" s="368" t="s">
        <v>972</v>
      </c>
      <c r="C13" s="368" t="s">
        <v>100</v>
      </c>
      <c r="D13" s="822"/>
      <c r="E13" s="368" t="s">
        <v>978</v>
      </c>
      <c r="F13" s="822"/>
      <c r="G13" s="368" t="s">
        <v>978</v>
      </c>
      <c r="H13" s="31"/>
      <c r="I13" s="623"/>
      <c r="J13" s="593"/>
      <c r="K13" s="593"/>
      <c r="L13" s="593"/>
      <c r="M13" s="593"/>
      <c r="N13" s="593"/>
      <c r="O13" s="593"/>
      <c r="P13" s="593"/>
    </row>
    <row r="14" spans="1:16" s="1" customFormat="1">
      <c r="B14" s="823" t="s">
        <v>743</v>
      </c>
      <c r="C14" s="823" t="s">
        <v>744</v>
      </c>
      <c r="D14" s="824"/>
      <c r="E14" s="823" t="s">
        <v>408</v>
      </c>
      <c r="F14" s="824"/>
      <c r="G14" s="823" t="s">
        <v>745</v>
      </c>
      <c r="H14" s="31"/>
      <c r="I14" s="622"/>
      <c r="J14" s="595"/>
      <c r="K14" s="596"/>
      <c r="L14" s="595"/>
      <c r="M14" s="593"/>
      <c r="N14" s="595"/>
      <c r="O14" s="596"/>
      <c r="P14" s="595"/>
    </row>
    <row r="15" spans="1:16" s="1" customFormat="1">
      <c r="B15" s="73"/>
      <c r="C15" s="73"/>
      <c r="D15" s="824"/>
      <c r="E15" s="824"/>
      <c r="F15" s="824"/>
      <c r="G15" s="65"/>
      <c r="H15" s="38"/>
      <c r="I15" s="624"/>
      <c r="J15" s="593"/>
      <c r="K15" s="593"/>
      <c r="L15" s="593"/>
      <c r="M15" s="593"/>
      <c r="N15" s="593"/>
      <c r="O15" s="593"/>
      <c r="P15" s="593"/>
    </row>
    <row r="16" spans="1:16" s="1" customFormat="1">
      <c r="A16" s="2">
        <v>1</v>
      </c>
      <c r="B16" s="80" t="s">
        <v>269</v>
      </c>
      <c r="C16" s="687" t="s">
        <v>365</v>
      </c>
      <c r="D16" s="73"/>
      <c r="E16" s="304">
        <f>'B.1 B'!F27</f>
        <v>547733497.68499041</v>
      </c>
      <c r="F16" s="73"/>
      <c r="G16" s="275">
        <f>'B.1 F '!F27</f>
        <v>596130007.08261716</v>
      </c>
      <c r="H16" s="10"/>
      <c r="I16" s="623"/>
      <c r="J16" s="593"/>
      <c r="K16" s="593"/>
      <c r="L16" s="593"/>
      <c r="M16" s="593"/>
      <c r="N16" s="593"/>
      <c r="O16" s="593"/>
      <c r="P16" s="593"/>
    </row>
    <row r="17" spans="1:17" s="1" customFormat="1">
      <c r="B17" s="73"/>
      <c r="C17" s="73"/>
      <c r="D17" s="73"/>
      <c r="E17" s="73"/>
      <c r="F17" s="73"/>
      <c r="G17" s="65"/>
      <c r="H17" s="10"/>
      <c r="I17" s="623"/>
      <c r="J17" s="593"/>
      <c r="K17" s="593"/>
      <c r="L17" s="593"/>
      <c r="M17" s="593"/>
      <c r="N17" s="593"/>
      <c r="O17" s="593"/>
      <c r="P17" s="593"/>
    </row>
    <row r="18" spans="1:17" s="1" customFormat="1">
      <c r="A18" s="2">
        <v>2</v>
      </c>
      <c r="B18" s="80" t="s">
        <v>123</v>
      </c>
      <c r="C18" s="687" t="s">
        <v>367</v>
      </c>
      <c r="D18" s="73"/>
      <c r="E18" s="275">
        <f>'C.1'!D26</f>
        <v>29211510.567838371</v>
      </c>
      <c r="F18" s="73"/>
      <c r="G18" s="275">
        <f>'C.1'!F26</f>
        <v>29418391.696365148</v>
      </c>
      <c r="H18" s="10"/>
      <c r="I18" s="625"/>
      <c r="J18" s="593"/>
      <c r="K18" s="593"/>
      <c r="L18" s="593"/>
      <c r="M18" s="593"/>
      <c r="N18" s="593"/>
      <c r="O18" s="593"/>
      <c r="P18" s="593"/>
    </row>
    <row r="19" spans="1:17" s="1" customFormat="1">
      <c r="B19" s="73"/>
      <c r="C19" s="73"/>
      <c r="D19" s="73"/>
      <c r="E19" s="73"/>
      <c r="F19" s="73"/>
      <c r="G19" s="65"/>
      <c r="H19" s="10"/>
      <c r="I19" s="623"/>
      <c r="J19" s="593"/>
      <c r="K19" s="593"/>
      <c r="L19" s="593"/>
      <c r="M19" s="593"/>
      <c r="N19" s="593"/>
      <c r="O19" s="593"/>
      <c r="P19" s="593"/>
    </row>
    <row r="20" spans="1:17" s="1" customFormat="1">
      <c r="A20" s="2">
        <v>3</v>
      </c>
      <c r="B20" s="80" t="s">
        <v>409</v>
      </c>
      <c r="C20" s="689" t="s">
        <v>141</v>
      </c>
      <c r="D20" s="73"/>
      <c r="E20" s="466">
        <f>ROUND(E18/E16,4)</f>
        <v>5.33E-2</v>
      </c>
      <c r="F20" s="73"/>
      <c r="G20" s="466">
        <f>ROUND(G18/G16,4)</f>
        <v>4.9299999999999997E-2</v>
      </c>
      <c r="H20" s="11"/>
      <c r="I20" s="626"/>
      <c r="J20" s="593"/>
      <c r="K20" s="593"/>
      <c r="L20" s="593"/>
      <c r="M20" s="593"/>
      <c r="N20" s="593"/>
      <c r="O20" s="593"/>
      <c r="P20" s="593"/>
    </row>
    <row r="21" spans="1:17" s="1" customFormat="1">
      <c r="B21" s="73"/>
      <c r="C21" s="73"/>
      <c r="D21" s="73"/>
      <c r="E21" s="73"/>
      <c r="F21" s="73"/>
      <c r="G21" s="65"/>
      <c r="H21" s="10"/>
      <c r="I21" s="623"/>
      <c r="J21" s="593"/>
      <c r="K21" s="593"/>
      <c r="L21" s="593"/>
      <c r="M21" s="593"/>
      <c r="N21" s="593"/>
      <c r="O21" s="593"/>
      <c r="P21" s="593"/>
    </row>
    <row r="22" spans="1:17" s="1" customFormat="1">
      <c r="A22" s="2">
        <v>4</v>
      </c>
      <c r="B22" s="80" t="s">
        <v>285</v>
      </c>
      <c r="C22" s="687" t="s">
        <v>1115</v>
      </c>
      <c r="D22" s="73"/>
      <c r="E22" s="665">
        <f>'J-1 Base'!M27</f>
        <v>7.8399999999999997E-2</v>
      </c>
      <c r="F22" s="73"/>
      <c r="G22" s="466">
        <f>'J-1 F'!M28</f>
        <v>7.6600000000000001E-2</v>
      </c>
      <c r="H22" s="11"/>
      <c r="I22" s="627"/>
      <c r="J22" s="597"/>
      <c r="K22" s="593"/>
      <c r="L22" s="597"/>
      <c r="M22" s="593"/>
      <c r="N22" s="597"/>
      <c r="O22" s="593"/>
      <c r="P22" s="597"/>
      <c r="Q22" s="477"/>
    </row>
    <row r="23" spans="1:17" s="1" customFormat="1">
      <c r="B23" s="73"/>
      <c r="C23" s="73"/>
      <c r="D23" s="73"/>
      <c r="E23" s="73"/>
      <c r="F23" s="73"/>
      <c r="G23" s="65"/>
      <c r="H23" s="10"/>
      <c r="I23" s="623"/>
      <c r="J23" s="593"/>
      <c r="K23" s="593"/>
      <c r="L23" s="593"/>
      <c r="M23" s="593"/>
      <c r="N23" s="593"/>
      <c r="O23" s="593"/>
      <c r="P23" s="593"/>
    </row>
    <row r="24" spans="1:17" s="1" customFormat="1">
      <c r="A24" s="2">
        <v>5</v>
      </c>
      <c r="B24" s="80" t="s">
        <v>410</v>
      </c>
      <c r="C24" s="689" t="s">
        <v>367</v>
      </c>
      <c r="D24" s="73"/>
      <c r="E24" s="275">
        <f>ROUND(E16*E22,0)</f>
        <v>42942306</v>
      </c>
      <c r="F24" s="73"/>
      <c r="G24" s="275">
        <f>ROUND(G16*G22,0)</f>
        <v>45663559</v>
      </c>
      <c r="H24" s="10"/>
      <c r="I24" s="625"/>
      <c r="J24" s="593"/>
      <c r="K24" s="593"/>
      <c r="L24" s="593"/>
      <c r="M24" s="593"/>
      <c r="N24" s="593"/>
      <c r="O24" s="593"/>
      <c r="P24" s="593"/>
    </row>
    <row r="25" spans="1:17" s="1" customFormat="1">
      <c r="B25" s="73"/>
      <c r="C25" s="73"/>
      <c r="D25" s="73"/>
      <c r="E25" s="73"/>
      <c r="F25" s="73"/>
      <c r="G25" s="65"/>
      <c r="H25" s="10"/>
      <c r="I25" s="623"/>
      <c r="J25" s="593"/>
      <c r="K25" s="593"/>
      <c r="L25" s="593"/>
      <c r="M25" s="593"/>
      <c r="N25" s="593"/>
      <c r="O25" s="593"/>
      <c r="P25" s="593"/>
    </row>
    <row r="26" spans="1:17" s="1" customFormat="1">
      <c r="A26" s="2">
        <v>6</v>
      </c>
      <c r="B26" s="80" t="s">
        <v>411</v>
      </c>
      <c r="C26" s="689" t="s">
        <v>367</v>
      </c>
      <c r="D26" s="73"/>
      <c r="E26" s="275">
        <f>(E24-E18)</f>
        <v>13730795.432161629</v>
      </c>
      <c r="F26" s="73"/>
      <c r="G26" s="275">
        <f>(G24-G18)</f>
        <v>16245167.303634852</v>
      </c>
      <c r="H26" s="10"/>
      <c r="I26" s="625"/>
      <c r="J26" s="593"/>
      <c r="K26" s="593"/>
      <c r="L26" s="593"/>
      <c r="M26" s="593"/>
      <c r="N26" s="593"/>
      <c r="O26" s="593"/>
      <c r="P26" s="593"/>
    </row>
    <row r="27" spans="1:17" s="1" customFormat="1">
      <c r="B27" s="73"/>
      <c r="C27" s="73"/>
      <c r="D27" s="73"/>
      <c r="E27" s="73"/>
      <c r="F27" s="73"/>
      <c r="G27" s="65"/>
      <c r="H27" s="10"/>
      <c r="I27" s="623"/>
      <c r="J27" s="593"/>
      <c r="K27" s="593"/>
      <c r="L27" s="593"/>
      <c r="M27" s="593"/>
      <c r="N27" s="593"/>
      <c r="O27" s="593"/>
      <c r="P27" s="593"/>
    </row>
    <row r="28" spans="1:17" s="1" customFormat="1">
      <c r="A28" s="2">
        <v>7</v>
      </c>
      <c r="B28" s="80" t="s">
        <v>125</v>
      </c>
      <c r="C28" s="687" t="s">
        <v>373</v>
      </c>
      <c r="D28" s="73"/>
      <c r="E28" s="1054">
        <f>H.1!D34</f>
        <v>1.341839</v>
      </c>
      <c r="F28" s="73"/>
      <c r="G28" s="1054">
        <f>H.1!E34</f>
        <v>1.341839</v>
      </c>
      <c r="H28" s="10"/>
      <c r="I28" s="628"/>
      <c r="J28" s="593"/>
      <c r="K28" s="593"/>
      <c r="L28" s="593"/>
      <c r="M28" s="593"/>
      <c r="N28" s="593"/>
      <c r="O28" s="593"/>
      <c r="P28" s="593"/>
    </row>
    <row r="29" spans="1:17" s="1" customFormat="1">
      <c r="E29" s="73"/>
      <c r="F29" s="73"/>
      <c r="G29" s="65"/>
      <c r="H29" s="10"/>
      <c r="I29" s="623"/>
      <c r="J29" s="593"/>
      <c r="K29" s="593"/>
      <c r="L29" s="593"/>
      <c r="M29" s="593"/>
      <c r="N29" s="593"/>
      <c r="O29" s="593"/>
      <c r="P29" s="593"/>
    </row>
    <row r="30" spans="1:17" ht="15.75">
      <c r="A30" s="2">
        <v>8</v>
      </c>
      <c r="B30" s="23" t="s">
        <v>412</v>
      </c>
      <c r="C30" s="70" t="s">
        <v>367</v>
      </c>
      <c r="E30" s="1055">
        <f>ROUND(E26*E28,0)</f>
        <v>18424517</v>
      </c>
      <c r="F30" s="172"/>
      <c r="G30" s="1055">
        <f>ROUND(G26*G28,0)</f>
        <v>21798399</v>
      </c>
      <c r="I30" s="629"/>
      <c r="J30" s="593"/>
      <c r="K30" s="593"/>
      <c r="L30" s="593"/>
      <c r="M30" s="598"/>
      <c r="N30" s="593"/>
      <c r="O30" s="593"/>
      <c r="P30" s="593"/>
    </row>
    <row r="31" spans="1:17">
      <c r="H31" s="165"/>
      <c r="I31" s="630"/>
      <c r="J31" s="593"/>
      <c r="K31" s="593"/>
      <c r="L31" s="593"/>
      <c r="M31" s="593"/>
      <c r="N31" s="593"/>
      <c r="O31" s="593"/>
      <c r="P31" s="593"/>
    </row>
    <row r="32" spans="1:17">
      <c r="A32" s="930">
        <v>9</v>
      </c>
      <c r="B32" s="36" t="s">
        <v>1690</v>
      </c>
      <c r="E32" s="172"/>
      <c r="F32" s="172"/>
      <c r="G32" s="195">
        <v>-1855</v>
      </c>
      <c r="H32" s="165"/>
      <c r="I32" s="630"/>
      <c r="J32" s="593"/>
      <c r="K32" s="593"/>
      <c r="L32" s="593"/>
      <c r="M32" s="593"/>
      <c r="N32" s="593"/>
      <c r="O32" s="593"/>
      <c r="P32" s="593"/>
    </row>
    <row r="33" spans="1:16">
      <c r="E33" s="172"/>
      <c r="F33" s="172"/>
      <c r="G33" s="195"/>
      <c r="H33" s="165"/>
      <c r="I33" s="630"/>
      <c r="J33" s="593"/>
      <c r="K33" s="593"/>
      <c r="L33" s="593"/>
      <c r="M33" s="593"/>
      <c r="N33" s="593"/>
      <c r="O33" s="593"/>
      <c r="P33" s="593"/>
    </row>
    <row r="34" spans="1:16">
      <c r="A34" s="70">
        <v>10</v>
      </c>
      <c r="B34" s="36" t="s">
        <v>1527</v>
      </c>
      <c r="C34" s="389" t="s">
        <v>1650</v>
      </c>
      <c r="E34" s="95">
        <f>-'WP B.5 B1'!E23</f>
        <v>-1463766.1361715582</v>
      </c>
      <c r="F34" s="172"/>
      <c r="G34" s="100">
        <f>-'WP B.5 F1'!E13</f>
        <v>-5406739.6866572108</v>
      </c>
      <c r="H34" s="165"/>
      <c r="I34" s="630"/>
      <c r="J34" s="593"/>
      <c r="K34" s="593"/>
      <c r="L34" s="593"/>
      <c r="M34" s="593"/>
      <c r="N34" s="593"/>
      <c r="O34" s="593"/>
      <c r="P34" s="593"/>
    </row>
    <row r="35" spans="1:16">
      <c r="E35" s="172"/>
      <c r="F35" s="172"/>
      <c r="G35" s="195"/>
      <c r="H35" s="165"/>
      <c r="I35" s="630"/>
      <c r="J35" s="593"/>
      <c r="K35" s="593"/>
      <c r="L35" s="593"/>
      <c r="M35" s="593"/>
      <c r="N35" s="593"/>
      <c r="O35" s="593"/>
      <c r="P35" s="593"/>
    </row>
    <row r="36" spans="1:16" ht="15.75">
      <c r="A36" s="70">
        <v>11</v>
      </c>
      <c r="B36" s="1226" t="s">
        <v>1691</v>
      </c>
      <c r="C36" s="172"/>
      <c r="D36" s="172"/>
      <c r="E36" s="1056">
        <f>E30+E34</f>
        <v>16960750.863828443</v>
      </c>
      <c r="F36" s="1056"/>
      <c r="G36" s="1056">
        <f>G30+G34+G32</f>
        <v>16389804.313342789</v>
      </c>
      <c r="H36" s="165"/>
      <c r="I36" s="630"/>
      <c r="J36" s="593"/>
      <c r="K36" s="593"/>
      <c r="L36" s="593"/>
      <c r="M36" s="593"/>
      <c r="N36" s="593"/>
      <c r="O36" s="593"/>
      <c r="P36" s="593"/>
    </row>
    <row r="37" spans="1:16">
      <c r="B37" s="172"/>
      <c r="C37" s="172"/>
      <c r="D37" s="172"/>
      <c r="E37" s="172"/>
      <c r="F37" s="172"/>
      <c r="G37" s="195"/>
      <c r="H37" s="165"/>
      <c r="I37" s="630"/>
      <c r="J37" s="593"/>
      <c r="K37" s="593"/>
      <c r="L37" s="593"/>
      <c r="M37" s="593"/>
      <c r="N37" s="593"/>
      <c r="O37" s="593"/>
      <c r="P37" s="593"/>
    </row>
    <row r="38" spans="1:16">
      <c r="A38" s="70">
        <v>12</v>
      </c>
      <c r="B38" s="172" t="s">
        <v>1645</v>
      </c>
      <c r="C38" s="389" t="s">
        <v>1625</v>
      </c>
      <c r="D38" s="172"/>
      <c r="E38" s="172"/>
      <c r="F38" s="172"/>
      <c r="G38" s="100">
        <f>-F.12!J61</f>
        <v>-9862441.0786000006</v>
      </c>
      <c r="H38" s="165"/>
      <c r="I38" s="630"/>
      <c r="J38" s="593"/>
      <c r="K38" s="593"/>
      <c r="L38" s="593"/>
      <c r="M38" s="593"/>
      <c r="N38" s="593"/>
      <c r="O38" s="593"/>
      <c r="P38" s="593"/>
    </row>
    <row r="39" spans="1:16">
      <c r="E39" s="172"/>
      <c r="F39" s="172"/>
      <c r="G39" s="195"/>
      <c r="H39" s="165"/>
      <c r="I39" s="630"/>
      <c r="J39" s="593"/>
      <c r="K39" s="593"/>
      <c r="L39" s="593"/>
      <c r="M39" s="593"/>
      <c r="N39" s="593"/>
      <c r="O39" s="593"/>
      <c r="P39" s="593"/>
    </row>
    <row r="40" spans="1:16" ht="15.75">
      <c r="A40" s="166">
        <v>13</v>
      </c>
      <c r="B40" s="931" t="s">
        <v>1094</v>
      </c>
      <c r="C40" s="213" t="s">
        <v>367</v>
      </c>
      <c r="D40" s="94"/>
      <c r="E40" s="764"/>
      <c r="F40" s="764"/>
      <c r="G40" s="1056">
        <f>G36+G38</f>
        <v>6527363.2347427886</v>
      </c>
      <c r="H40" s="165"/>
      <c r="I40" s="630"/>
      <c r="J40" s="593"/>
      <c r="K40" s="593"/>
      <c r="L40" s="593"/>
      <c r="M40" s="593"/>
      <c r="N40" s="593"/>
      <c r="O40" s="593"/>
      <c r="P40" s="593"/>
    </row>
    <row r="41" spans="1:16">
      <c r="E41" s="172"/>
      <c r="F41" s="172"/>
      <c r="G41" s="195"/>
      <c r="H41" s="165"/>
      <c r="I41" s="630"/>
      <c r="J41" s="593"/>
      <c r="K41" s="593"/>
      <c r="L41" s="593"/>
      <c r="M41" s="593"/>
      <c r="N41" s="593"/>
      <c r="O41" s="593"/>
      <c r="P41" s="593"/>
    </row>
    <row r="42" spans="1:16">
      <c r="A42" s="166">
        <v>14</v>
      </c>
      <c r="B42" s="159" t="s">
        <v>1167</v>
      </c>
      <c r="C42" s="166" t="s">
        <v>367</v>
      </c>
      <c r="E42" s="172"/>
      <c r="F42" s="172"/>
      <c r="G42" s="275">
        <f>'C.1'!F15</f>
        <v>173466922.94966945</v>
      </c>
      <c r="H42" s="165"/>
      <c r="I42" s="630"/>
      <c r="J42" s="593"/>
      <c r="K42" s="593"/>
      <c r="L42" s="593"/>
      <c r="M42" s="593"/>
      <c r="N42" s="593"/>
      <c r="O42" s="593"/>
      <c r="P42" s="593"/>
    </row>
    <row r="43" spans="1:16">
      <c r="E43"/>
      <c r="F43" s="172"/>
      <c r="G43" s="195"/>
      <c r="H43" s="165"/>
      <c r="I43" s="630"/>
      <c r="J43" s="593"/>
      <c r="K43" s="593"/>
      <c r="L43" s="593"/>
      <c r="M43" s="593"/>
      <c r="N43" s="593"/>
      <c r="O43" s="593"/>
      <c r="P43" s="593"/>
    </row>
    <row r="44" spans="1:16" ht="15.75">
      <c r="A44" s="166">
        <v>15</v>
      </c>
      <c r="B44" s="931" t="s">
        <v>1649</v>
      </c>
      <c r="C44" s="166" t="s">
        <v>367</v>
      </c>
      <c r="E44"/>
      <c r="F44" s="172"/>
      <c r="G44" s="1056">
        <f>G40+G42</f>
        <v>179994286.18441224</v>
      </c>
      <c r="H44" s="165"/>
      <c r="I44" s="630"/>
      <c r="J44" s="593" t="s">
        <v>321</v>
      </c>
      <c r="K44" s="593"/>
      <c r="L44" s="593"/>
      <c r="M44" s="593"/>
      <c r="N44" s="593"/>
      <c r="O44" s="593"/>
      <c r="P44" s="593"/>
    </row>
    <row r="45" spans="1:16">
      <c r="G45" s="172"/>
      <c r="I45" s="169"/>
      <c r="J45" s="169"/>
      <c r="K45" s="171"/>
    </row>
    <row r="46" spans="1:16">
      <c r="I46" s="169"/>
      <c r="J46" s="169"/>
      <c r="K46" s="169"/>
    </row>
    <row r="47" spans="1:16">
      <c r="A47" s="169"/>
      <c r="B47" s="196"/>
      <c r="C47" s="197"/>
      <c r="G47" s="593"/>
      <c r="I47" s="169"/>
      <c r="J47" s="169"/>
      <c r="K47" s="169"/>
    </row>
    <row r="48" spans="1:16">
      <c r="A48" s="169"/>
      <c r="B48" s="169"/>
      <c r="C48" s="169"/>
      <c r="G48" s="593"/>
      <c r="H48" s="593"/>
      <c r="I48" s="169"/>
      <c r="J48" s="169"/>
      <c r="K48" s="169"/>
    </row>
    <row r="49" spans="1:8">
      <c r="A49" s="169"/>
      <c r="B49" s="169"/>
      <c r="C49" s="169"/>
      <c r="G49" s="593"/>
      <c r="H49" s="593"/>
    </row>
    <row r="50" spans="1:8">
      <c r="G50" s="593"/>
    </row>
    <row r="51" spans="1:8">
      <c r="G51" s="593"/>
    </row>
  </sheetData>
  <mergeCells count="4">
    <mergeCell ref="A4:G4"/>
    <mergeCell ref="A3:G3"/>
    <mergeCell ref="A2:G2"/>
    <mergeCell ref="A1:G1"/>
  </mergeCells>
  <phoneticPr fontId="21" type="noConversion"/>
  <printOptions horizontalCentered="1"/>
  <pageMargins left="0.8" right="0.6" top="0.75" bottom="0.94" header="0.5" footer="0.37"/>
  <pageSetup scale="73" orientation="portrait" verticalDpi="300" r:id="rId1"/>
  <headerFooter alignWithMargins="0">
    <oddFooter>&amp;RSchedule &amp;A
Page 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6"/>
  <dimension ref="A1:Y131"/>
  <sheetViews>
    <sheetView view="pageBreakPreview" topLeftCell="C1" zoomScale="80" zoomScaleNormal="100" zoomScaleSheetLayoutView="80" workbookViewId="0">
      <selection sqref="A1:P1"/>
    </sheetView>
  </sheetViews>
  <sheetFormatPr defaultColWidth="7.109375" defaultRowHeight="15"/>
  <cols>
    <col min="1" max="1" width="4.6640625" style="72" customWidth="1"/>
    <col min="2" max="2" width="9.109375" style="72" customWidth="1"/>
    <col min="3" max="3" width="42" style="72" customWidth="1"/>
    <col min="4" max="4" width="12.44140625" style="72" bestFit="1" customWidth="1"/>
    <col min="5" max="6" width="11.109375" style="72" customWidth="1"/>
    <col min="7" max="7" width="11.77734375" style="72" bestFit="1" customWidth="1"/>
    <col min="8" max="8" width="11.33203125" style="72" bestFit="1" customWidth="1"/>
    <col min="9" max="9" width="15.21875" style="72" customWidth="1"/>
    <col min="10" max="10" width="12.5546875" style="72" customWidth="1"/>
    <col min="11" max="11" width="11.33203125" style="72" bestFit="1" customWidth="1"/>
    <col min="12" max="13" width="12.44140625" style="72" bestFit="1" customWidth="1"/>
    <col min="14" max="14" width="11.33203125" style="72" bestFit="1" customWidth="1"/>
    <col min="15" max="15" width="12.44140625" style="72" customWidth="1"/>
    <col min="16" max="16" width="13.44140625" style="72" bestFit="1" customWidth="1"/>
    <col min="17" max="17" width="12.44140625" style="72" customWidth="1"/>
    <col min="18" max="18" width="10" style="72" customWidth="1"/>
    <col min="19" max="19" width="13.109375" style="72" customWidth="1"/>
    <col min="20" max="20" width="11.21875" style="72" customWidth="1"/>
    <col min="21" max="16384" width="7.109375" style="72"/>
  </cols>
  <sheetData>
    <row r="1" spans="1:19">
      <c r="A1" s="1270" t="str">
        <f>'Table of Contents'!A1:C1</f>
        <v>Atmos Energy Corporation, Kentucky/Mid-States Division</v>
      </c>
      <c r="B1" s="1270"/>
      <c r="C1" s="1270"/>
      <c r="D1" s="1270"/>
      <c r="E1" s="1270"/>
      <c r="F1" s="1270"/>
      <c r="G1" s="1270"/>
      <c r="H1" s="1270"/>
      <c r="I1" s="1270"/>
      <c r="J1" s="1270"/>
      <c r="K1" s="1270"/>
      <c r="L1" s="1270"/>
      <c r="M1" s="1270"/>
      <c r="N1" s="1270"/>
      <c r="O1" s="1270"/>
      <c r="P1" s="1270"/>
      <c r="Q1" s="73"/>
      <c r="R1" s="73"/>
      <c r="S1" s="73"/>
    </row>
    <row r="2" spans="1:19">
      <c r="A2" s="1270" t="str">
        <f>'Table of Contents'!A2:C2</f>
        <v>Kentucky Jurisdiction Case No. 2021-00214</v>
      </c>
      <c r="B2" s="1270"/>
      <c r="C2" s="1270"/>
      <c r="D2" s="1270"/>
      <c r="E2" s="1270"/>
      <c r="F2" s="1270"/>
      <c r="G2" s="1270"/>
      <c r="H2" s="1270"/>
      <c r="I2" s="1270"/>
      <c r="J2" s="1270"/>
      <c r="K2" s="1270"/>
      <c r="L2" s="1270"/>
      <c r="M2" s="1270"/>
      <c r="N2" s="1270"/>
      <c r="O2" s="1270"/>
      <c r="P2" s="1270"/>
      <c r="R2" s="955"/>
      <c r="S2" s="955"/>
    </row>
    <row r="3" spans="1:19">
      <c r="A3" s="1271" t="s">
        <v>415</v>
      </c>
      <c r="B3" s="1271"/>
      <c r="C3" s="1271"/>
      <c r="D3" s="1271"/>
      <c r="E3" s="1271"/>
      <c r="F3" s="1271"/>
      <c r="G3" s="1271"/>
      <c r="H3" s="1271"/>
      <c r="I3" s="1271"/>
      <c r="J3" s="1271"/>
      <c r="K3" s="1271"/>
      <c r="L3" s="1271"/>
      <c r="M3" s="1271"/>
      <c r="N3" s="1271"/>
      <c r="O3" s="1271"/>
      <c r="P3" s="1271"/>
      <c r="Q3" s="73"/>
      <c r="R3" s="955"/>
      <c r="S3" s="955"/>
    </row>
    <row r="4" spans="1:19">
      <c r="A4" s="1270" t="str">
        <f>'Table of Contents'!A4:C4</f>
        <v>Forecasted Test Period: Twelve Months Ended December 31, 2022</v>
      </c>
      <c r="B4" s="1270"/>
      <c r="C4" s="1270"/>
      <c r="D4" s="1270"/>
      <c r="E4" s="1270"/>
      <c r="F4" s="1270"/>
      <c r="G4" s="1270"/>
      <c r="H4" s="1270"/>
      <c r="I4" s="1270"/>
      <c r="J4" s="1270"/>
      <c r="K4" s="1270"/>
      <c r="L4" s="1270"/>
      <c r="M4" s="1270"/>
      <c r="N4" s="1270"/>
      <c r="O4" s="1270"/>
      <c r="P4" s="1270"/>
      <c r="Q4" s="73"/>
      <c r="R4" s="955"/>
      <c r="S4" s="955"/>
    </row>
    <row r="5" spans="1:19">
      <c r="A5" s="684"/>
      <c r="B5" s="684"/>
      <c r="C5" s="684"/>
      <c r="D5" s="713"/>
      <c r="E5" s="714"/>
      <c r="F5" s="713"/>
      <c r="G5" s="715"/>
      <c r="H5" s="715"/>
      <c r="I5" s="715"/>
      <c r="J5" s="715"/>
      <c r="K5" s="715"/>
      <c r="L5" s="713"/>
      <c r="M5" s="716"/>
      <c r="N5" s="713"/>
      <c r="O5" s="714"/>
      <c r="P5" s="684"/>
      <c r="Q5" s="73"/>
      <c r="R5" s="955"/>
      <c r="S5" s="955"/>
    </row>
    <row r="6" spans="1:19">
      <c r="A6" s="472" t="str">
        <f>'C.2.1 F'!A6</f>
        <v>Data:________Base Period___X____Forecasted Period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150" t="s">
        <v>1373</v>
      </c>
      <c r="Q6" s="73"/>
      <c r="R6" s="955"/>
      <c r="S6" s="955"/>
    </row>
    <row r="7" spans="1:19">
      <c r="A7" s="472" t="str">
        <f>'C.2.1 F'!A7</f>
        <v>Type of Filing:___X____Original________Updated ________Revised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428" t="s">
        <v>36</v>
      </c>
      <c r="Q7" s="73"/>
      <c r="R7" s="955"/>
      <c r="S7" s="955"/>
    </row>
    <row r="8" spans="1:19">
      <c r="A8" s="1061" t="str">
        <f>'C.2.1 F'!A8</f>
        <v>Workpaper Reference No(s).____________________</v>
      </c>
      <c r="B8" s="73"/>
      <c r="C8" s="73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1126" t="str">
        <f>'C.2.2 B 09'!P8</f>
        <v>Witness: Christian, Densman</v>
      </c>
      <c r="Q8" s="73"/>
      <c r="R8" s="955"/>
      <c r="S8" s="955"/>
    </row>
    <row r="9" spans="1:19">
      <c r="A9" s="717" t="s">
        <v>92</v>
      </c>
      <c r="B9" s="718" t="s">
        <v>99</v>
      </c>
      <c r="C9" s="719"/>
      <c r="D9" s="720" t="s">
        <v>42</v>
      </c>
      <c r="E9" s="681" t="s">
        <v>42</v>
      </c>
      <c r="F9" s="681" t="s">
        <v>42</v>
      </c>
      <c r="G9" s="681" t="s">
        <v>42</v>
      </c>
      <c r="H9" s="681" t="s">
        <v>42</v>
      </c>
      <c r="I9" s="681" t="s">
        <v>42</v>
      </c>
      <c r="J9" s="681" t="s">
        <v>42</v>
      </c>
      <c r="K9" s="681" t="s">
        <v>42</v>
      </c>
      <c r="L9" s="681" t="s">
        <v>42</v>
      </c>
      <c r="M9" s="681" t="s">
        <v>42</v>
      </c>
      <c r="N9" s="681" t="s">
        <v>42</v>
      </c>
      <c r="O9" s="681" t="s">
        <v>42</v>
      </c>
      <c r="P9" s="721"/>
      <c r="Q9" s="684"/>
      <c r="R9" s="955"/>
      <c r="S9" s="955"/>
    </row>
    <row r="10" spans="1:19">
      <c r="A10" s="722" t="s">
        <v>98</v>
      </c>
      <c r="B10" s="436" t="s">
        <v>98</v>
      </c>
      <c r="C10" s="723" t="s">
        <v>941</v>
      </c>
      <c r="D10" s="494">
        <v>44562</v>
      </c>
      <c r="E10" s="1098">
        <f>EOMONTH(D10,0)+1</f>
        <v>44593</v>
      </c>
      <c r="F10" s="1098">
        <f t="shared" ref="F10:O10" si="0">EOMONTH(E10,0)+1</f>
        <v>44621</v>
      </c>
      <c r="G10" s="1098">
        <f t="shared" si="0"/>
        <v>44652</v>
      </c>
      <c r="H10" s="1098">
        <f t="shared" si="0"/>
        <v>44682</v>
      </c>
      <c r="I10" s="1098">
        <f t="shared" si="0"/>
        <v>44713</v>
      </c>
      <c r="J10" s="1098">
        <f t="shared" si="0"/>
        <v>44743</v>
      </c>
      <c r="K10" s="1098">
        <f t="shared" si="0"/>
        <v>44774</v>
      </c>
      <c r="L10" s="1098">
        <f t="shared" si="0"/>
        <v>44805</v>
      </c>
      <c r="M10" s="1098">
        <f t="shared" si="0"/>
        <v>44835</v>
      </c>
      <c r="N10" s="1098">
        <f t="shared" si="0"/>
        <v>44866</v>
      </c>
      <c r="O10" s="1098">
        <f t="shared" si="0"/>
        <v>44896</v>
      </c>
      <c r="P10" s="724" t="s">
        <v>95</v>
      </c>
      <c r="Q10" s="68"/>
      <c r="R10" s="684"/>
      <c r="S10" s="684"/>
    </row>
    <row r="11" spans="1:19">
      <c r="A11" s="73"/>
      <c r="B11" s="73"/>
      <c r="C11" s="73"/>
      <c r="D11" s="682" t="s">
        <v>145</v>
      </c>
      <c r="E11" s="682" t="s">
        <v>145</v>
      </c>
      <c r="F11" s="682" t="s">
        <v>145</v>
      </c>
      <c r="G11" s="682" t="s">
        <v>145</v>
      </c>
      <c r="H11" s="682" t="s">
        <v>145</v>
      </c>
      <c r="I11" s="682" t="s">
        <v>145</v>
      </c>
      <c r="J11" s="682" t="s">
        <v>145</v>
      </c>
      <c r="K11" s="682" t="s">
        <v>145</v>
      </c>
      <c r="L11" s="682" t="s">
        <v>145</v>
      </c>
      <c r="M11" s="682" t="s">
        <v>145</v>
      </c>
      <c r="N11" s="682" t="s">
        <v>145</v>
      </c>
      <c r="O11" s="682" t="s">
        <v>145</v>
      </c>
      <c r="P11" s="682" t="s">
        <v>145</v>
      </c>
      <c r="Q11" s="682"/>
      <c r="R11" s="73"/>
      <c r="S11" s="73"/>
    </row>
    <row r="12" spans="1:19">
      <c r="A12" s="684">
        <v>1</v>
      </c>
      <c r="B12" s="570">
        <v>4091</v>
      </c>
      <c r="C12" s="673" t="s">
        <v>663</v>
      </c>
      <c r="D12" s="339">
        <f>E!$G$23/12</f>
        <v>524203.06080921408</v>
      </c>
      <c r="E12" s="339">
        <f>E!$G$23/12</f>
        <v>524203.06080921408</v>
      </c>
      <c r="F12" s="339">
        <f>E!$G$23/12</f>
        <v>524203.06080921408</v>
      </c>
      <c r="G12" s="339">
        <f>E!$G$23/12</f>
        <v>524203.06080921408</v>
      </c>
      <c r="H12" s="339">
        <f>E!$G$23/12</f>
        <v>524203.06080921408</v>
      </c>
      <c r="I12" s="339">
        <f>E!$G$23/12</f>
        <v>524203.06080921408</v>
      </c>
      <c r="J12" s="339">
        <f>E!$G$23/12</f>
        <v>524203.06080921408</v>
      </c>
      <c r="K12" s="339">
        <f>E!$G$23/12</f>
        <v>524203.06080921408</v>
      </c>
      <c r="L12" s="339">
        <f>E!$G$23/12</f>
        <v>524203.06080921408</v>
      </c>
      <c r="M12" s="339">
        <f>E!$G$23/12</f>
        <v>524203.06080921408</v>
      </c>
      <c r="N12" s="339">
        <f>E!$G$23/12</f>
        <v>524203.06080921408</v>
      </c>
      <c r="O12" s="339">
        <f>E!$G$23/12</f>
        <v>524203.06080921408</v>
      </c>
      <c r="P12" s="95">
        <f>SUM(D12:O12)</f>
        <v>6290436.7297105677</v>
      </c>
      <c r="Q12" s="544"/>
      <c r="S12" s="544"/>
    </row>
    <row r="13" spans="1:19">
      <c r="A13" s="1036">
        <f>A12+1</f>
        <v>2</v>
      </c>
      <c r="B13" s="570"/>
      <c r="C13" s="673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73"/>
      <c r="Q13" s="73"/>
      <c r="S13" s="73"/>
    </row>
    <row r="14" spans="1:19">
      <c r="A14" s="1036">
        <f t="shared" ref="A14:A79" si="1">A13+1</f>
        <v>3</v>
      </c>
      <c r="B14" s="570">
        <v>4030</v>
      </c>
      <c r="C14" s="73" t="s">
        <v>90</v>
      </c>
      <c r="D14" s="88">
        <f>'B.3.1 F'!$H$264/12</f>
        <v>1712891.5187810378</v>
      </c>
      <c r="E14" s="88">
        <f>'B.3.1 F'!$H$264/12</f>
        <v>1712891.5187810378</v>
      </c>
      <c r="F14" s="88">
        <f>'B.3.1 F'!$H$264/12</f>
        <v>1712891.5187810378</v>
      </c>
      <c r="G14" s="88">
        <f>'B.3.1 F'!$H$264/12</f>
        <v>1712891.5187810378</v>
      </c>
      <c r="H14" s="88">
        <f>'B.3.1 F'!$H$264/12</f>
        <v>1712891.5187810378</v>
      </c>
      <c r="I14" s="88">
        <f>'B.3.1 F'!$H$264/12</f>
        <v>1712891.5187810378</v>
      </c>
      <c r="J14" s="88">
        <f>'B.3.1 F'!$H$264/12</f>
        <v>1712891.5187810378</v>
      </c>
      <c r="K14" s="88">
        <f>'B.3.1 F'!$H$264/12</f>
        <v>1712891.5187810378</v>
      </c>
      <c r="L14" s="88">
        <f>'B.3.1 F'!$H$264/12</f>
        <v>1712891.5187810378</v>
      </c>
      <c r="M14" s="88">
        <f>'B.3.1 F'!$H$264/12</f>
        <v>1712891.5187810378</v>
      </c>
      <c r="N14" s="88">
        <f>'B.3.1 F'!$H$264/12</f>
        <v>1712891.5187810378</v>
      </c>
      <c r="O14" s="88">
        <f>'B.3.1 F'!$H$264/12</f>
        <v>1712891.5187810378</v>
      </c>
      <c r="P14" s="95">
        <f t="shared" ref="P14:P23" si="2">SUM(D14:O14)</f>
        <v>20554698.225372449</v>
      </c>
      <c r="Q14" s="544"/>
      <c r="S14" s="544"/>
    </row>
    <row r="15" spans="1:19">
      <c r="A15" s="1036">
        <f t="shared" si="1"/>
        <v>4</v>
      </c>
      <c r="B15" s="570">
        <v>4060</v>
      </c>
      <c r="C15" s="73" t="s">
        <v>853</v>
      </c>
      <c r="D15" s="88">
        <f>'C.2.2 B 09'!O15</f>
        <v>4145.7299999999996</v>
      </c>
      <c r="E15" s="88">
        <f>D15</f>
        <v>4145.7299999999996</v>
      </c>
      <c r="F15" s="88">
        <f t="shared" ref="F15:O15" si="3">E15</f>
        <v>4145.7299999999996</v>
      </c>
      <c r="G15" s="88">
        <f t="shared" si="3"/>
        <v>4145.7299999999996</v>
      </c>
      <c r="H15" s="88">
        <f t="shared" si="3"/>
        <v>4145.7299999999996</v>
      </c>
      <c r="I15" s="88">
        <f t="shared" si="3"/>
        <v>4145.7299999999996</v>
      </c>
      <c r="J15" s="88">
        <f t="shared" si="3"/>
        <v>4145.7299999999996</v>
      </c>
      <c r="K15" s="88">
        <f t="shared" si="3"/>
        <v>4145.7299999999996</v>
      </c>
      <c r="L15" s="88">
        <f t="shared" si="3"/>
        <v>4145.7299999999996</v>
      </c>
      <c r="M15" s="88">
        <f t="shared" si="3"/>
        <v>4145.7299999999996</v>
      </c>
      <c r="N15" s="88">
        <f t="shared" si="3"/>
        <v>4145.7299999999996</v>
      </c>
      <c r="O15" s="88">
        <f t="shared" si="3"/>
        <v>4145.7299999999996</v>
      </c>
      <c r="P15" s="95">
        <f t="shared" si="2"/>
        <v>49748.75999999998</v>
      </c>
      <c r="Q15" s="73"/>
      <c r="S15" s="73"/>
    </row>
    <row r="16" spans="1:19">
      <c r="A16" s="1036">
        <f t="shared" si="1"/>
        <v>5</v>
      </c>
      <c r="B16" s="570">
        <v>4081</v>
      </c>
      <c r="C16" s="183" t="s">
        <v>854</v>
      </c>
      <c r="D16" s="88">
        <f>'C.2.3 F'!C25</f>
        <v>865158.94232834142</v>
      </c>
      <c r="E16" s="88">
        <f>'C.2.3 F'!D25</f>
        <v>841308.70232834143</v>
      </c>
      <c r="F16" s="88">
        <f>'C.2.3 F'!E25</f>
        <v>999450.22232834145</v>
      </c>
      <c r="G16" s="88">
        <f>'C.2.3 F'!F25</f>
        <v>837277.32232834143</v>
      </c>
      <c r="H16" s="88">
        <f>'C.2.3 F'!G25</f>
        <v>842697.91232834139</v>
      </c>
      <c r="I16" s="88">
        <f>'C.2.3 F'!H25</f>
        <v>836077.33232834144</v>
      </c>
      <c r="J16" s="88">
        <f>'C.2.3 F'!I25</f>
        <v>853603.03232834139</v>
      </c>
      <c r="K16" s="88">
        <f>'C.2.3 F'!J25</f>
        <v>832483.48232834134</v>
      </c>
      <c r="L16" s="88">
        <f>'C.2.3 F'!K25</f>
        <v>853597.20232834143</v>
      </c>
      <c r="M16" s="88">
        <f>'C.2.3 F'!L25</f>
        <v>837547.37232834136</v>
      </c>
      <c r="N16" s="88">
        <f>'C.2.3 F'!M25</f>
        <v>902356.91232834139</v>
      </c>
      <c r="O16" s="88">
        <f>'C.2.3 F'!N25</f>
        <v>824828.5423283414</v>
      </c>
      <c r="P16" s="95">
        <f t="shared" si="2"/>
        <v>10326386.977940097</v>
      </c>
      <c r="Q16" s="544"/>
      <c r="S16" s="544"/>
    </row>
    <row r="17" spans="1:21">
      <c r="A17" s="1036">
        <f t="shared" si="1"/>
        <v>6</v>
      </c>
      <c r="B17" s="570">
        <v>4800</v>
      </c>
      <c r="C17" s="312" t="s">
        <v>855</v>
      </c>
      <c r="D17" s="88">
        <f>-'[9]Summary of Revenue'!Z11</f>
        <v>-14970552.79164907</v>
      </c>
      <c r="E17" s="88">
        <f>-'[9]Summary of Revenue'!AA11</f>
        <v>-15164795.983976707</v>
      </c>
      <c r="F17" s="88">
        <f>-'[9]Summary of Revenue'!AB11</f>
        <v>-11593054.840880413</v>
      </c>
      <c r="G17" s="88">
        <f>-'[9]Summary of Revenue'!AC11</f>
        <v>-8577097.0028528776</v>
      </c>
      <c r="H17" s="88">
        <f>-'[9]Summary of Revenue'!AD11</f>
        <v>-5847698.3067320213</v>
      </c>
      <c r="I17" s="88">
        <f>-'[9]Summary of Revenue'!AE11</f>
        <v>-4533786.9594352394</v>
      </c>
      <c r="J17" s="88">
        <f>-'[9]Summary of Revenue'!AF11</f>
        <v>-4268017.710158715</v>
      </c>
      <c r="K17" s="88">
        <f>-'[9]Summary of Revenue'!AG11</f>
        <v>-4254976.5445450349</v>
      </c>
      <c r="L17" s="88">
        <f>-'[9]Summary of Revenue'!AH11</f>
        <v>-4278837.0782184144</v>
      </c>
      <c r="M17" s="88">
        <f>-'[9]Summary of Revenue'!AI11</f>
        <v>-5244766.8609234449</v>
      </c>
      <c r="N17" s="88">
        <f>-'[9]Summary of Revenue'!AJ11</f>
        <v>-8885342.4384247288</v>
      </c>
      <c r="O17" s="88">
        <f>-'[9]Summary of Revenue'!AK11</f>
        <v>-12577585.431862455</v>
      </c>
      <c r="P17" s="88">
        <f t="shared" si="2"/>
        <v>-100196511.94965912</v>
      </c>
    </row>
    <row r="18" spans="1:21">
      <c r="A18" s="1036">
        <f t="shared" si="1"/>
        <v>7</v>
      </c>
      <c r="B18" s="570">
        <v>4805</v>
      </c>
      <c r="C18" s="312" t="s">
        <v>1266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1:21">
      <c r="A19" s="1036">
        <f t="shared" si="1"/>
        <v>8</v>
      </c>
      <c r="B19" s="570">
        <v>4811</v>
      </c>
      <c r="C19" s="312" t="s">
        <v>1336</v>
      </c>
      <c r="D19" s="88">
        <f>-'[9]Summary of Revenue'!Z12</f>
        <v>-6051198.0017698472</v>
      </c>
      <c r="E19" s="88">
        <f>-'[9]Summary of Revenue'!AA12</f>
        <v>-6085291.2204172183</v>
      </c>
      <c r="F19" s="88">
        <f>-'[9]Summary of Revenue'!AB12</f>
        <v>-4783842.0434332788</v>
      </c>
      <c r="G19" s="88">
        <f>-'[9]Summary of Revenue'!AC12</f>
        <v>-3643758.8805144792</v>
      </c>
      <c r="H19" s="88">
        <f>-'[9]Summary of Revenue'!AD12</f>
        <v>-2642357.9481225568</v>
      </c>
      <c r="I19" s="88">
        <f>-'[9]Summary of Revenue'!AE12</f>
        <v>-2125049.4324413068</v>
      </c>
      <c r="J19" s="88">
        <f>-'[9]Summary of Revenue'!AF12</f>
        <v>-2014762.1405936407</v>
      </c>
      <c r="K19" s="88">
        <f>-'[9]Summary of Revenue'!AG12</f>
        <v>-1994545.9842292438</v>
      </c>
      <c r="L19" s="88">
        <f>-'[9]Summary of Revenue'!AH12</f>
        <v>-1990985.8917896666</v>
      </c>
      <c r="M19" s="88">
        <f>-'[9]Summary of Revenue'!AI12</f>
        <v>-2352046.853715959</v>
      </c>
      <c r="N19" s="88">
        <f>-'[9]Summary of Revenue'!AJ12</f>
        <v>-3722007.0041212994</v>
      </c>
      <c r="O19" s="88">
        <f>-'[9]Summary of Revenue'!AK12</f>
        <v>-5117701.4177494003</v>
      </c>
      <c r="P19" s="88">
        <f t="shared" si="2"/>
        <v>-42523546.818897888</v>
      </c>
    </row>
    <row r="20" spans="1:21">
      <c r="A20" s="1036">
        <f t="shared" si="1"/>
        <v>9</v>
      </c>
      <c r="B20" s="570">
        <v>4812</v>
      </c>
      <c r="C20" s="73" t="s">
        <v>1337</v>
      </c>
      <c r="D20" s="88">
        <f>-'[9]Summary of Revenue'!Z13</f>
        <v>-802230.8969210505</v>
      </c>
      <c r="E20" s="88">
        <f>-'[9]Summary of Revenue'!AA13</f>
        <v>-854748.00074260146</v>
      </c>
      <c r="F20" s="88">
        <f>-'[9]Summary of Revenue'!AB13</f>
        <v>-584990.58022239548</v>
      </c>
      <c r="G20" s="88">
        <f>-'[9]Summary of Revenue'!AC13</f>
        <v>-454891.45838505053</v>
      </c>
      <c r="H20" s="88">
        <f>-'[9]Summary of Revenue'!AD13</f>
        <v>-256743.72842891328</v>
      </c>
      <c r="I20" s="88">
        <f>-'[9]Summary of Revenue'!AE13</f>
        <v>-132085.82737316296</v>
      </c>
      <c r="J20" s="88">
        <f>-'[9]Summary of Revenue'!AF13</f>
        <v>-156452.79343032092</v>
      </c>
      <c r="K20" s="88">
        <f>-'[9]Summary of Revenue'!AG13</f>
        <v>-181437.36160189708</v>
      </c>
      <c r="L20" s="88">
        <f>-'[9]Summary of Revenue'!AH13</f>
        <v>-415603.3178603173</v>
      </c>
      <c r="M20" s="88">
        <f>-'[9]Summary of Revenue'!AI13</f>
        <v>-222146.88316450547</v>
      </c>
      <c r="N20" s="88">
        <f>-'[9]Summary of Revenue'!AJ13</f>
        <v>-319271.88682987925</v>
      </c>
      <c r="O20" s="88">
        <f>-'[9]Summary of Revenue'!AK13</f>
        <v>-560922.19664614846</v>
      </c>
      <c r="P20" s="88">
        <f t="shared" si="2"/>
        <v>-4941524.9316062424</v>
      </c>
      <c r="Q20" s="73"/>
      <c r="R20" s="544"/>
    </row>
    <row r="21" spans="1:21">
      <c r="A21" s="1036">
        <f t="shared" si="1"/>
        <v>10</v>
      </c>
      <c r="B21" s="669">
        <v>4815</v>
      </c>
      <c r="C21" s="183" t="s">
        <v>1267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73"/>
      <c r="R21" s="544"/>
    </row>
    <row r="22" spans="1:21">
      <c r="A22" s="1036">
        <f t="shared" si="1"/>
        <v>11</v>
      </c>
      <c r="B22" s="669">
        <v>4816</v>
      </c>
      <c r="C22" s="183" t="s">
        <v>1297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73"/>
      <c r="R22" s="544"/>
    </row>
    <row r="23" spans="1:21" ht="15.75">
      <c r="A23" s="1036">
        <f t="shared" si="1"/>
        <v>12</v>
      </c>
      <c r="B23" s="570">
        <v>4820</v>
      </c>
      <c r="C23" s="73" t="s">
        <v>856</v>
      </c>
      <c r="D23" s="88">
        <f>-'[9]Summary of Revenue'!Z14</f>
        <v>-1038861.1527565103</v>
      </c>
      <c r="E23" s="88">
        <f>-'[9]Summary of Revenue'!AA14</f>
        <v>-1050503.7232320802</v>
      </c>
      <c r="F23" s="88">
        <f>-'[9]Summary of Revenue'!AB14</f>
        <v>-785907.6559522734</v>
      </c>
      <c r="G23" s="88">
        <f>-'[9]Summary of Revenue'!AC14</f>
        <v>-549222.82053652592</v>
      </c>
      <c r="H23" s="88">
        <f>-'[9]Summary of Revenue'!AD14</f>
        <v>-347104.58630935603</v>
      </c>
      <c r="I23" s="88">
        <f>-'[9]Summary of Revenue'!AE14</f>
        <v>-247015.31894093612</v>
      </c>
      <c r="J23" s="88">
        <f>-'[9]Summary of Revenue'!AF14</f>
        <v>-222227.13660663267</v>
      </c>
      <c r="K23" s="88">
        <f>-'[9]Summary of Revenue'!AG14</f>
        <v>-222972.82117807245</v>
      </c>
      <c r="L23" s="88">
        <f>-'[9]Summary of Revenue'!AH14</f>
        <v>-224955.60983850414</v>
      </c>
      <c r="M23" s="88">
        <f>-'[9]Summary of Revenue'!AI14</f>
        <v>-296980.69651942438</v>
      </c>
      <c r="N23" s="88">
        <f>-'[9]Summary of Revenue'!AJ14</f>
        <v>-573686.27476820699</v>
      </c>
      <c r="O23" s="88">
        <f>-'[9]Summary of Revenue'!AK14</f>
        <v>-853414.26339149673</v>
      </c>
      <c r="P23" s="88">
        <f t="shared" si="2"/>
        <v>-6412852.0600300189</v>
      </c>
      <c r="Q23" s="73"/>
      <c r="R23" s="963"/>
    </row>
    <row r="24" spans="1:21" ht="15.75">
      <c r="A24" s="1036">
        <f t="shared" si="1"/>
        <v>13</v>
      </c>
      <c r="B24" s="669">
        <v>4825</v>
      </c>
      <c r="C24" s="183" t="s">
        <v>1268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73"/>
      <c r="R24" s="963"/>
    </row>
    <row r="25" spans="1:21">
      <c r="A25" s="1036">
        <f t="shared" si="1"/>
        <v>14</v>
      </c>
      <c r="B25" s="570">
        <v>4870</v>
      </c>
      <c r="C25" s="73" t="s">
        <v>229</v>
      </c>
      <c r="D25" s="88">
        <f>-'[9]Summary of Revenue'!Z18</f>
        <v>-164747.73437851624</v>
      </c>
      <c r="E25" s="88">
        <f>-'[9]Summary of Revenue'!AA18</f>
        <v>-191837.44082492081</v>
      </c>
      <c r="F25" s="88">
        <f>-'[9]Summary of Revenue'!AB18</f>
        <v>-193882.27953630488</v>
      </c>
      <c r="G25" s="88">
        <f>-'[9]Summary of Revenue'!AC18</f>
        <v>-149224.67845336147</v>
      </c>
      <c r="H25" s="88">
        <f>-'[9]Summary of Revenue'!AD18</f>
        <v>-111035.39680227943</v>
      </c>
      <c r="I25" s="88">
        <f>-'[9]Summary of Revenue'!AE18</f>
        <v>-76826.48538212695</v>
      </c>
      <c r="J25" s="88">
        <f>-'[9]Summary of Revenue'!AF18</f>
        <v>-60067.552651024758</v>
      </c>
      <c r="K25" s="88">
        <f>-'[9]Summary of Revenue'!AG18</f>
        <v>-56585.604229702934</v>
      </c>
      <c r="L25" s="88">
        <f>-'[9]Summary of Revenue'!AH18</f>
        <v>-56302.760425728316</v>
      </c>
      <c r="M25" s="88">
        <f>-'[9]Summary of Revenue'!AI18</f>
        <v>-56496.617066283536</v>
      </c>
      <c r="N25" s="88">
        <f>-'[9]Summary of Revenue'!AJ18</f>
        <v>-68651.583294319717</v>
      </c>
      <c r="O25" s="88">
        <f>-'[9]Summary of Revenue'!AK18</f>
        <v>-114621.93815149483</v>
      </c>
      <c r="P25" s="88">
        <f t="shared" ref="P25:P58" si="4">SUM(D25:O25)</f>
        <v>-1300280.0711960639</v>
      </c>
      <c r="Q25" s="73"/>
      <c r="R25" s="73"/>
    </row>
    <row r="26" spans="1:21">
      <c r="A26" s="1036">
        <f t="shared" si="1"/>
        <v>15</v>
      </c>
      <c r="B26" s="570">
        <v>4880</v>
      </c>
      <c r="C26" s="73" t="s">
        <v>857</v>
      </c>
      <c r="D26" s="88">
        <f>-'[9]Summary of Revenue'!Z19</f>
        <v>-13265</v>
      </c>
      <c r="E26" s="88">
        <f>-'[9]Summary of Revenue'!AA19</f>
        <v>-12790</v>
      </c>
      <c r="F26" s="88">
        <f>-'[9]Summary of Revenue'!AB19</f>
        <v>-11209</v>
      </c>
      <c r="G26" s="88">
        <f>-'[9]Summary of Revenue'!AC19</f>
        <v>-25716</v>
      </c>
      <c r="H26" s="88">
        <f>-'[9]Summary of Revenue'!AD19</f>
        <v>-22720</v>
      </c>
      <c r="I26" s="88">
        <f>-'[9]Summary of Revenue'!AE19</f>
        <v>-22154</v>
      </c>
      <c r="J26" s="88">
        <f>-'[9]Summary of Revenue'!AF19</f>
        <v>-24641</v>
      </c>
      <c r="K26" s="88">
        <f>-'[9]Summary of Revenue'!AG19</f>
        <v>-21821</v>
      </c>
      <c r="L26" s="88">
        <f>-'[9]Summary of Revenue'!AH19</f>
        <v>-25606</v>
      </c>
      <c r="M26" s="88">
        <f>-'[9]Summary of Revenue'!AI19</f>
        <v>-21842</v>
      </c>
      <c r="N26" s="88">
        <f>-'[9]Summary of Revenue'!AJ19</f>
        <v>-14779</v>
      </c>
      <c r="O26" s="88">
        <f>-'[9]Summary of Revenue'!AK19</f>
        <v>-17743</v>
      </c>
      <c r="P26" s="88">
        <f t="shared" si="4"/>
        <v>-234286</v>
      </c>
      <c r="Q26" s="73"/>
      <c r="R26" s="73"/>
    </row>
    <row r="27" spans="1:21">
      <c r="A27" s="1036">
        <f t="shared" si="1"/>
        <v>16</v>
      </c>
      <c r="B27" s="570">
        <v>4893</v>
      </c>
      <c r="C27" s="73" t="s">
        <v>858</v>
      </c>
      <c r="D27" s="88">
        <f>-'[9]Summary of Revenue'!Z20</f>
        <v>-1488404.3186487432</v>
      </c>
      <c r="E27" s="88">
        <f>-'[9]Summary of Revenue'!AA20</f>
        <v>-1606598.7430583681</v>
      </c>
      <c r="F27" s="88">
        <f>-'[9]Summary of Revenue'!AB20</f>
        <v>-1495291.1014271798</v>
      </c>
      <c r="G27" s="88">
        <f>-'[9]Summary of Revenue'!AC20</f>
        <v>-1357994.5022640678</v>
      </c>
      <c r="H27" s="88">
        <f>-'[9]Summary of Revenue'!AD20</f>
        <v>-1081436.5486016322</v>
      </c>
      <c r="I27" s="88">
        <f>-'[9]Summary of Revenue'!AE20</f>
        <v>-1034624.873093004</v>
      </c>
      <c r="J27" s="88">
        <f>-'[9]Summary of Revenue'!AF20</f>
        <v>-1090091.8344202503</v>
      </c>
      <c r="K27" s="88">
        <f>-'[9]Summary of Revenue'!AG20</f>
        <v>-1047844.1722117214</v>
      </c>
      <c r="L27" s="88">
        <f>-'[9]Summary of Revenue'!AH20</f>
        <v>-1108166.7260969775</v>
      </c>
      <c r="M27" s="88">
        <f>-'[9]Summary of Revenue'!AI20</f>
        <v>-1183910.3312195495</v>
      </c>
      <c r="N27" s="88">
        <f>-'[9]Summary of Revenue'!AJ20</f>
        <v>-1308191.6369802393</v>
      </c>
      <c r="O27" s="88">
        <f>-'[9]Summary of Revenue'!AK20</f>
        <v>-1341954.6782184043</v>
      </c>
      <c r="P27" s="88">
        <f t="shared" si="4"/>
        <v>-15144509.466240136</v>
      </c>
      <c r="Q27" s="672"/>
    </row>
    <row r="28" spans="1:21">
      <c r="A28" s="1036">
        <f t="shared" si="1"/>
        <v>17</v>
      </c>
      <c r="B28" s="570">
        <v>4950</v>
      </c>
      <c r="C28" s="73" t="s">
        <v>657</v>
      </c>
      <c r="D28" s="88">
        <f>-'[9]Summary of Revenue'!Z21</f>
        <v>-277652.61830034037</v>
      </c>
      <c r="E28" s="88">
        <f>-'[9]Summary of Revenue'!AA21</f>
        <v>-287785.20660424954</v>
      </c>
      <c r="F28" s="88">
        <f>-'[9]Summary of Revenue'!AB21</f>
        <v>-246528.349326519</v>
      </c>
      <c r="G28" s="88">
        <f>-'[9]Summary of Revenue'!AC21</f>
        <v>-225674.54204125135</v>
      </c>
      <c r="H28" s="88">
        <f>-'[9]Summary of Revenue'!AD21</f>
        <v>-187767.63651166504</v>
      </c>
      <c r="I28" s="88">
        <f>-'[9]Summary of Revenue'!AE21</f>
        <v>-158597.09419894399</v>
      </c>
      <c r="J28" s="88">
        <f>-'[9]Summary of Revenue'!AF21</f>
        <v>-191773.06385539868</v>
      </c>
      <c r="K28" s="88">
        <f>-'[9]Summary of Revenue'!AG21</f>
        <v>-212032.54771866949</v>
      </c>
      <c r="L28" s="88">
        <f>-'[9]Summary of Revenue'!AH21</f>
        <v>-247033.27126557243</v>
      </c>
      <c r="M28" s="88">
        <f>-'[9]Summary of Revenue'!AI21</f>
        <v>-205897.74607028044</v>
      </c>
      <c r="N28" s="88">
        <f>-'[9]Summary of Revenue'!AJ21</f>
        <v>-225331.5533237058</v>
      </c>
      <c r="O28" s="88">
        <f>-'[9]Summary of Revenue'!AK21</f>
        <v>-247338.02282340368</v>
      </c>
      <c r="P28" s="88">
        <f t="shared" si="4"/>
        <v>-2713411.6520399996</v>
      </c>
      <c r="Q28" s="544"/>
      <c r="R28" s="544"/>
    </row>
    <row r="29" spans="1:21">
      <c r="A29" s="1036">
        <f t="shared" si="1"/>
        <v>18</v>
      </c>
      <c r="B29" s="570">
        <v>4960</v>
      </c>
      <c r="C29" s="95" t="s">
        <v>1526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>
        <f t="shared" si="4"/>
        <v>0</v>
      </c>
      <c r="Q29" s="544"/>
      <c r="R29" s="544"/>
    </row>
    <row r="30" spans="1:21">
      <c r="A30" s="1036">
        <f t="shared" si="1"/>
        <v>19</v>
      </c>
      <c r="B30" s="669">
        <v>7560</v>
      </c>
      <c r="C30" s="72" t="s">
        <v>1339</v>
      </c>
      <c r="D30" s="339">
        <f>VLOOKUP($B30,'[13]Div 9 forecast'!$D$549:$AF$630,'[13]Div 9 forecast'!U$548,FALSE)</f>
        <v>0</v>
      </c>
      <c r="E30" s="339">
        <f>VLOOKUP($B30,'[13]Div 9 forecast'!$D$549:$AF$630,'[13]Div 9 forecast'!V$548,FALSE)</f>
        <v>0</v>
      </c>
      <c r="F30" s="339">
        <f>VLOOKUP($B30,'[13]Div 9 forecast'!$D$549:$AF$630,'[13]Div 9 forecast'!W$548,FALSE)</f>
        <v>0</v>
      </c>
      <c r="G30" s="339">
        <f>VLOOKUP($B30,'[13]Div 9 forecast'!$D$549:$AF$630,'[13]Div 9 forecast'!X$548,FALSE)</f>
        <v>0</v>
      </c>
      <c r="H30" s="339">
        <f>VLOOKUP($B30,'[13]Div 9 forecast'!$D$549:$AF$630,'[13]Div 9 forecast'!Y$548,FALSE)</f>
        <v>0</v>
      </c>
      <c r="I30" s="339">
        <f>VLOOKUP($B30,'[13]Div 9 forecast'!$D$549:$AF$630,'[13]Div 9 forecast'!Z$548,FALSE)</f>
        <v>0</v>
      </c>
      <c r="J30" s="339">
        <f>VLOOKUP($B30,'[13]Div 9 forecast'!$D$549:$AF$630,'[13]Div 9 forecast'!AA$548,FALSE)</f>
        <v>0</v>
      </c>
      <c r="K30" s="339">
        <f>VLOOKUP($B30,'[13]Div 9 forecast'!$D$549:$AF$630,'[13]Div 9 forecast'!AB$548,FALSE)</f>
        <v>0</v>
      </c>
      <c r="L30" s="339">
        <f>VLOOKUP($B30,'[13]Div 9 forecast'!$D$549:$AF$630,'[13]Div 9 forecast'!AC$548,FALSE)</f>
        <v>0</v>
      </c>
      <c r="M30" s="339">
        <f>VLOOKUP($B30,'[13]Div 9 forecast'!$D$549:$AF$630,'[13]Div 9 forecast'!AD$548,FALSE)</f>
        <v>0</v>
      </c>
      <c r="N30" s="339">
        <f>VLOOKUP($B30,'[13]Div 9 forecast'!$D$549:$AF$630,'[13]Div 9 forecast'!AE$548,FALSE)</f>
        <v>0</v>
      </c>
      <c r="O30" s="339">
        <f>VLOOKUP($B30,'[13]Div 9 forecast'!$D$549:$AF$630,'[13]Div 9 forecast'!AF$548,FALSE)</f>
        <v>0</v>
      </c>
      <c r="P30" s="88">
        <f t="shared" si="4"/>
        <v>0</v>
      </c>
      <c r="Q30" s="557"/>
      <c r="R30" s="544"/>
    </row>
    <row r="31" spans="1:21">
      <c r="A31" s="1036">
        <f t="shared" si="1"/>
        <v>20</v>
      </c>
      <c r="B31" s="669">
        <v>7590</v>
      </c>
      <c r="C31" s="95" t="s">
        <v>1299</v>
      </c>
      <c r="D31" s="339">
        <f>VLOOKUP($B31,'[13]Div 9 forecast'!$D$549:$AF$630,'[13]Div 9 forecast'!U$548,FALSE)</f>
        <v>0</v>
      </c>
      <c r="E31" s="339">
        <f>VLOOKUP($B31,'[13]Div 9 forecast'!$D$549:$AF$630,'[13]Div 9 forecast'!V$548,FALSE)</f>
        <v>0</v>
      </c>
      <c r="F31" s="339">
        <f>VLOOKUP($B31,'[13]Div 9 forecast'!$D$549:$AF$630,'[13]Div 9 forecast'!W$548,FALSE)</f>
        <v>0</v>
      </c>
      <c r="G31" s="339">
        <f>VLOOKUP($B31,'[13]Div 9 forecast'!$D$549:$AF$630,'[13]Div 9 forecast'!X$548,FALSE)</f>
        <v>0</v>
      </c>
      <c r="H31" s="339">
        <f>VLOOKUP($B31,'[13]Div 9 forecast'!$D$549:$AF$630,'[13]Div 9 forecast'!Y$548,FALSE)</f>
        <v>0</v>
      </c>
      <c r="I31" s="339">
        <f>VLOOKUP($B31,'[13]Div 9 forecast'!$D$549:$AF$630,'[13]Div 9 forecast'!Z$548,FALSE)</f>
        <v>0</v>
      </c>
      <c r="J31" s="339">
        <f>VLOOKUP($B31,'[13]Div 9 forecast'!$D$549:$AF$630,'[13]Div 9 forecast'!AA$548,FALSE)</f>
        <v>0</v>
      </c>
      <c r="K31" s="339">
        <f>VLOOKUP($B31,'[13]Div 9 forecast'!$D$549:$AF$630,'[13]Div 9 forecast'!AB$548,FALSE)</f>
        <v>0</v>
      </c>
      <c r="L31" s="339">
        <f>VLOOKUP($B31,'[13]Div 9 forecast'!$D$549:$AF$630,'[13]Div 9 forecast'!AC$548,FALSE)</f>
        <v>0</v>
      </c>
      <c r="M31" s="339">
        <f>VLOOKUP($B31,'[13]Div 9 forecast'!$D$549:$AF$630,'[13]Div 9 forecast'!AD$548,FALSE)</f>
        <v>0</v>
      </c>
      <c r="N31" s="339">
        <f>VLOOKUP($B31,'[13]Div 9 forecast'!$D$549:$AF$630,'[13]Div 9 forecast'!AE$548,FALSE)</f>
        <v>0</v>
      </c>
      <c r="O31" s="339">
        <f>VLOOKUP($B31,'[13]Div 9 forecast'!$D$549:$AF$630,'[13]Div 9 forecast'!AF$548,FALSE)</f>
        <v>0</v>
      </c>
      <c r="P31" s="88">
        <f t="shared" si="4"/>
        <v>0</v>
      </c>
      <c r="Q31" s="557"/>
      <c r="R31" s="544"/>
    </row>
    <row r="32" spans="1:21">
      <c r="A32" s="1036">
        <f t="shared" si="1"/>
        <v>21</v>
      </c>
      <c r="B32" s="570">
        <v>8001</v>
      </c>
      <c r="C32" s="73" t="s">
        <v>859</v>
      </c>
      <c r="D32" s="88">
        <f>'[14]Base and Forecast Periods'!Y7</f>
        <v>0</v>
      </c>
      <c r="E32" s="88">
        <f>'[14]Base and Forecast Periods'!Z7</f>
        <v>0</v>
      </c>
      <c r="F32" s="88">
        <f>'[14]Base and Forecast Periods'!AA7</f>
        <v>0</v>
      </c>
      <c r="G32" s="88">
        <f>'[14]Base and Forecast Periods'!AB7</f>
        <v>0</v>
      </c>
      <c r="H32" s="88">
        <f>'[14]Base and Forecast Periods'!AC7</f>
        <v>0</v>
      </c>
      <c r="I32" s="88">
        <f>'[14]Base and Forecast Periods'!AD7</f>
        <v>0</v>
      </c>
      <c r="J32" s="88">
        <f>'[14]Base and Forecast Periods'!AE7</f>
        <v>0</v>
      </c>
      <c r="K32" s="88">
        <f>'[14]Base and Forecast Periods'!AF7</f>
        <v>0</v>
      </c>
      <c r="L32" s="88">
        <f>'[14]Base and Forecast Periods'!AG7</f>
        <v>0</v>
      </c>
      <c r="M32" s="88">
        <f>'[14]Base and Forecast Periods'!AH7</f>
        <v>0</v>
      </c>
      <c r="N32" s="88">
        <f>'[14]Base and Forecast Periods'!AI7</f>
        <v>0</v>
      </c>
      <c r="O32" s="88">
        <f>'[14]Base and Forecast Periods'!AJ7</f>
        <v>0</v>
      </c>
      <c r="P32" s="88">
        <f t="shared" si="4"/>
        <v>0</v>
      </c>
      <c r="Q32"/>
      <c r="R32"/>
      <c r="S32"/>
      <c r="T32"/>
      <c r="U32"/>
    </row>
    <row r="33" spans="1:25">
      <c r="A33" s="1036">
        <f t="shared" si="1"/>
        <v>22</v>
      </c>
      <c r="B33" s="570">
        <v>8010</v>
      </c>
      <c r="C33" s="73" t="s">
        <v>1188</v>
      </c>
      <c r="D33" s="88">
        <f>'[14]Base and Forecast Periods'!Y8</f>
        <v>1466.8771527508725</v>
      </c>
      <c r="E33" s="88">
        <f>'[14]Base and Forecast Periods'!Z8</f>
        <v>3207.1902584440049</v>
      </c>
      <c r="F33" s="88">
        <f>'[14]Base and Forecast Periods'!AA8</f>
        <v>6347.5577383166701</v>
      </c>
      <c r="G33" s="88">
        <f>'[14]Base and Forecast Periods'!AB8</f>
        <v>5715.5439438552357</v>
      </c>
      <c r="H33" s="88">
        <f>'[14]Base and Forecast Periods'!AC8</f>
        <v>9091.1022123504081</v>
      </c>
      <c r="I33" s="88">
        <f>'[14]Base and Forecast Periods'!AD8</f>
        <v>11755.491863964995</v>
      </c>
      <c r="J33" s="88">
        <f>'[14]Base and Forecast Periods'!AE8</f>
        <v>9424.8598253320542</v>
      </c>
      <c r="K33" s="88">
        <f>'[14]Base and Forecast Periods'!AF8</f>
        <v>12204.40100528222</v>
      </c>
      <c r="L33" s="88">
        <f>'[14]Base and Forecast Periods'!AG8</f>
        <v>14402.248453030437</v>
      </c>
      <c r="M33" s="88">
        <f>'[14]Base and Forecast Periods'!AH8</f>
        <v>9762.5977457344015</v>
      </c>
      <c r="N33" s="88">
        <f>'[14]Base and Forecast Periods'!AI8</f>
        <v>7647.1931875692135</v>
      </c>
      <c r="O33" s="88">
        <f>'[14]Base and Forecast Periods'!AJ8</f>
        <v>6983.4463206862411</v>
      </c>
      <c r="P33" s="88">
        <f t="shared" si="4"/>
        <v>98008.509707316742</v>
      </c>
      <c r="Q33"/>
      <c r="R33"/>
      <c r="S33"/>
      <c r="T33"/>
      <c r="U33"/>
    </row>
    <row r="34" spans="1:25">
      <c r="A34" s="1036">
        <f t="shared" si="1"/>
        <v>23</v>
      </c>
      <c r="B34" s="570">
        <v>8040</v>
      </c>
      <c r="C34" s="73" t="s">
        <v>860</v>
      </c>
      <c r="D34" s="88">
        <f>'[14]Base and Forecast Periods'!Y9</f>
        <v>3897070.2456179275</v>
      </c>
      <c r="E34" s="88">
        <f>'[14]Base and Forecast Periods'!Z9</f>
        <v>3476229.281266321</v>
      </c>
      <c r="F34" s="88">
        <f>'[14]Base and Forecast Periods'!AA9</f>
        <v>7140447.8177873576</v>
      </c>
      <c r="G34" s="88">
        <f>'[14]Base and Forecast Periods'!AB9</f>
        <v>928307.88648435555</v>
      </c>
      <c r="H34" s="88">
        <f>'[14]Base and Forecast Periods'!AC9</f>
        <v>5478718.6062761564</v>
      </c>
      <c r="I34" s="88">
        <f>'[14]Base and Forecast Periods'!AD9</f>
        <v>4773343.8503860151</v>
      </c>
      <c r="J34" s="88">
        <f>'[14]Base and Forecast Periods'!AE9</f>
        <v>3265458.2350978237</v>
      </c>
      <c r="K34" s="88">
        <f>'[14]Base and Forecast Periods'!AF9</f>
        <v>2595172.8017921532</v>
      </c>
      <c r="L34" s="88">
        <f>'[14]Base and Forecast Periods'!AG9</f>
        <v>4116972.2626333763</v>
      </c>
      <c r="M34" s="88">
        <f>'[14]Base and Forecast Periods'!AH9</f>
        <v>3397433.4021065687</v>
      </c>
      <c r="N34" s="88">
        <f>'[14]Base and Forecast Periods'!AI9</f>
        <v>4847767.8311317069</v>
      </c>
      <c r="O34" s="88">
        <f>'[14]Base and Forecast Periods'!AJ9</f>
        <v>1111341.8439516502</v>
      </c>
      <c r="P34" s="88">
        <f t="shared" si="4"/>
        <v>45028264.064531408</v>
      </c>
      <c r="Q34"/>
      <c r="R34"/>
      <c r="S34"/>
      <c r="T34"/>
      <c r="U34"/>
    </row>
    <row r="35" spans="1:25">
      <c r="A35" s="1036">
        <f t="shared" si="1"/>
        <v>24</v>
      </c>
      <c r="B35" s="570">
        <v>8050</v>
      </c>
      <c r="C35" s="73" t="s">
        <v>861</v>
      </c>
      <c r="D35" s="88">
        <f>'[14]Base and Forecast Periods'!Y10</f>
        <v>-3376.9247762966916</v>
      </c>
      <c r="E35" s="88">
        <f>'[14]Base and Forecast Periods'!Z10</f>
        <v>-1075.9104530235036</v>
      </c>
      <c r="F35" s="88">
        <f>'[14]Base and Forecast Periods'!AA10</f>
        <v>-1568.170548512906</v>
      </c>
      <c r="G35" s="88">
        <f>'[14]Base and Forecast Periods'!AB10</f>
        <v>-13766.156893241756</v>
      </c>
      <c r="H35" s="88">
        <f>'[14]Base and Forecast Periods'!AC10</f>
        <v>-1265.5103784368364</v>
      </c>
      <c r="I35" s="88">
        <f>'[14]Base and Forecast Periods'!AD10</f>
        <v>-1859.5532938931367</v>
      </c>
      <c r="J35" s="88">
        <f>'[14]Base and Forecast Periods'!AE10</f>
        <v>-641.86182229599547</v>
      </c>
      <c r="K35" s="88">
        <f>'[14]Base and Forecast Periods'!AF10</f>
        <v>-1632.7929081264872</v>
      </c>
      <c r="L35" s="88">
        <f>'[14]Base and Forecast Periods'!AG10</f>
        <v>-4886.3268641868863</v>
      </c>
      <c r="M35" s="88">
        <f>'[14]Base and Forecast Periods'!AH10</f>
        <v>-424.05497116509815</v>
      </c>
      <c r="N35" s="88">
        <f>'[14]Base and Forecast Periods'!AI10</f>
        <v>-519.51252510643246</v>
      </c>
      <c r="O35" s="88">
        <f>'[14]Base and Forecast Periods'!AJ10</f>
        <v>-332.38391022218178</v>
      </c>
      <c r="P35" s="88">
        <f t="shared" si="4"/>
        <v>-31349.159344507909</v>
      </c>
      <c r="Q35"/>
      <c r="R35"/>
      <c r="S35"/>
      <c r="T35"/>
      <c r="U35"/>
    </row>
    <row r="36" spans="1:25">
      <c r="A36" s="1036">
        <f t="shared" si="1"/>
        <v>25</v>
      </c>
      <c r="B36" s="570">
        <v>8051</v>
      </c>
      <c r="C36" s="73" t="s">
        <v>862</v>
      </c>
      <c r="D36" s="88">
        <f>'[14]Base and Forecast Periods'!Y11</f>
        <v>8940901.7279580962</v>
      </c>
      <c r="E36" s="88">
        <f>'[14]Base and Forecast Periods'!Z11</f>
        <v>9214242.2010595407</v>
      </c>
      <c r="F36" s="88">
        <f>'[14]Base and Forecast Periods'!AA11</f>
        <v>8385969.5429152753</v>
      </c>
      <c r="G36" s="88">
        <f>'[14]Base and Forecast Periods'!AB11</f>
        <v>5103843.9704960547</v>
      </c>
      <c r="H36" s="88">
        <f>'[14]Base and Forecast Periods'!AC11</f>
        <v>3902701.289357143</v>
      </c>
      <c r="I36" s="88">
        <f>'[14]Base and Forecast Periods'!AD11</f>
        <v>1307578.9144713746</v>
      </c>
      <c r="J36" s="88">
        <f>'[14]Base and Forecast Periods'!AE11</f>
        <v>847907.42693042802</v>
      </c>
      <c r="K36" s="88">
        <f>'[14]Base and Forecast Periods'!AF11</f>
        <v>652252.9332751719</v>
      </c>
      <c r="L36" s="88">
        <f>'[14]Base and Forecast Periods'!AG11</f>
        <v>727933.76457225939</v>
      </c>
      <c r="M36" s="88">
        <f>'[14]Base and Forecast Periods'!AH11</f>
        <v>726474.80177460762</v>
      </c>
      <c r="N36" s="88">
        <f>'[14]Base and Forecast Periods'!AI11</f>
        <v>3025141.4719619849</v>
      </c>
      <c r="O36" s="88">
        <f>'[14]Base and Forecast Periods'!AJ11</f>
        <v>5337841.7524047131</v>
      </c>
      <c r="P36" s="88">
        <f t="shared" si="4"/>
        <v>48172789.797176644</v>
      </c>
      <c r="Q36"/>
      <c r="R36"/>
      <c r="S36"/>
      <c r="T36"/>
      <c r="U36"/>
    </row>
    <row r="37" spans="1:25">
      <c r="A37" s="1036">
        <f t="shared" si="1"/>
        <v>26</v>
      </c>
      <c r="B37" s="570">
        <v>8052</v>
      </c>
      <c r="C37" s="73" t="s">
        <v>863</v>
      </c>
      <c r="D37" s="88">
        <f>'[14]Base and Forecast Periods'!Y12</f>
        <v>4167344.895696789</v>
      </c>
      <c r="E37" s="88">
        <f>'[14]Base and Forecast Periods'!Z12</f>
        <v>4320520.8484506123</v>
      </c>
      <c r="F37" s="88">
        <f>'[14]Base and Forecast Periods'!AA12</f>
        <v>3912995.9183452893</v>
      </c>
      <c r="G37" s="88">
        <f>'[14]Base and Forecast Periods'!AB12</f>
        <v>2341356.964819435</v>
      </c>
      <c r="H37" s="88">
        <f>'[14]Base and Forecast Periods'!AC12</f>
        <v>1579221.5835586053</v>
      </c>
      <c r="I37" s="88">
        <f>'[14]Base and Forecast Periods'!AD12</f>
        <v>791705.55681726232</v>
      </c>
      <c r="J37" s="88">
        <f>'[14]Base and Forecast Periods'!AE12</f>
        <v>675093.74904410704</v>
      </c>
      <c r="K37" s="88">
        <f>'[14]Base and Forecast Periods'!AF12</f>
        <v>571777.01167071424</v>
      </c>
      <c r="L37" s="88">
        <f>'[14]Base and Forecast Periods'!AG12</f>
        <v>885347.43785010441</v>
      </c>
      <c r="M37" s="88">
        <f>'[14]Base and Forecast Periods'!AH12</f>
        <v>716707.81945420895</v>
      </c>
      <c r="N37" s="88">
        <f>'[14]Base and Forecast Periods'!AI12</f>
        <v>1535467.0633088432</v>
      </c>
      <c r="O37" s="88">
        <f>'[14]Base and Forecast Periods'!AJ12</f>
        <v>2397584.5364292325</v>
      </c>
      <c r="P37" s="88">
        <f t="shared" si="4"/>
        <v>23895123.3854452</v>
      </c>
      <c r="Q37"/>
      <c r="R37"/>
      <c r="S37"/>
      <c r="T37"/>
      <c r="U37"/>
    </row>
    <row r="38" spans="1:25">
      <c r="A38" s="1036">
        <f t="shared" si="1"/>
        <v>27</v>
      </c>
      <c r="B38" s="570">
        <v>8053</v>
      </c>
      <c r="C38" s="73" t="s">
        <v>864</v>
      </c>
      <c r="D38" s="88">
        <f>'[14]Base and Forecast Periods'!Y13</f>
        <v>593413.72255904332</v>
      </c>
      <c r="E38" s="88">
        <f>'[14]Base and Forecast Periods'!Z13</f>
        <v>676477.23212584632</v>
      </c>
      <c r="F38" s="88">
        <f>'[14]Base and Forecast Periods'!AA13</f>
        <v>506351.56202640297</v>
      </c>
      <c r="G38" s="88">
        <f>'[14]Base and Forecast Periods'!AB13</f>
        <v>601060.34442268917</v>
      </c>
      <c r="H38" s="88">
        <f>'[14]Base and Forecast Periods'!AC13</f>
        <v>330154.65564042324</v>
      </c>
      <c r="I38" s="88">
        <f>'[14]Base and Forecast Periods'!AD13</f>
        <v>157841.5739396993</v>
      </c>
      <c r="J38" s="88">
        <f>'[14]Base and Forecast Periods'!AE13</f>
        <v>121697.08083056651</v>
      </c>
      <c r="K38" s="88">
        <f>'[14]Base and Forecast Periods'!AF13</f>
        <v>134150.04140074484</v>
      </c>
      <c r="L38" s="88">
        <f>'[14]Base and Forecast Periods'!AG13</f>
        <v>466476.38058230991</v>
      </c>
      <c r="M38" s="88">
        <f>'[14]Base and Forecast Periods'!AH13</f>
        <v>101166.04049051805</v>
      </c>
      <c r="N38" s="88">
        <f>'[14]Base and Forecast Periods'!AI13</f>
        <v>262952.97959248186</v>
      </c>
      <c r="O38" s="88">
        <f>'[14]Base and Forecast Periods'!AJ13</f>
        <v>382550.57740926021</v>
      </c>
      <c r="P38" s="88">
        <f t="shared" si="4"/>
        <v>4334292.1910199849</v>
      </c>
      <c r="Q38"/>
      <c r="R38"/>
      <c r="S38"/>
      <c r="T38"/>
      <c r="U38"/>
    </row>
    <row r="39" spans="1:25">
      <c r="A39" s="1036">
        <f t="shared" si="1"/>
        <v>28</v>
      </c>
      <c r="B39" s="570">
        <v>8054</v>
      </c>
      <c r="C39" s="73" t="s">
        <v>865</v>
      </c>
      <c r="D39" s="88">
        <f>'[14]Base and Forecast Periods'!Y14</f>
        <v>730801.81346158683</v>
      </c>
      <c r="E39" s="88">
        <f>'[14]Base and Forecast Periods'!Z14</f>
        <v>765695.30909651553</v>
      </c>
      <c r="F39" s="88">
        <f>'[14]Base and Forecast Periods'!AA14</f>
        <v>753504.79480602103</v>
      </c>
      <c r="G39" s="88">
        <f>'[14]Base and Forecast Periods'!AB14</f>
        <v>484098.10548308725</v>
      </c>
      <c r="H39" s="88">
        <f>'[14]Base and Forecast Periods'!AC14</f>
        <v>370628.15979381738</v>
      </c>
      <c r="I39" s="88">
        <f>'[14]Base and Forecast Periods'!AD14</f>
        <v>158192.05635379782</v>
      </c>
      <c r="J39" s="88">
        <f>'[14]Base and Forecast Periods'!AE14</f>
        <v>96313.026753106096</v>
      </c>
      <c r="K39" s="88">
        <f>'[14]Base and Forecast Periods'!AF14</f>
        <v>92090.849263493597</v>
      </c>
      <c r="L39" s="88">
        <f>'[14]Base and Forecast Periods'!AG14</f>
        <v>110178.12133014052</v>
      </c>
      <c r="M39" s="88">
        <f>'[14]Base and Forecast Periods'!AH14</f>
        <v>91598.14006025347</v>
      </c>
      <c r="N39" s="88">
        <f>'[14]Base and Forecast Periods'!AI14</f>
        <v>273126.52799168241</v>
      </c>
      <c r="O39" s="88">
        <f>'[14]Base and Forecast Periods'!AJ14</f>
        <v>447194.35964988952</v>
      </c>
      <c r="P39" s="88">
        <f t="shared" si="4"/>
        <v>4373421.2640433908</v>
      </c>
      <c r="Q39"/>
      <c r="R39"/>
      <c r="S39"/>
      <c r="T39"/>
      <c r="U39"/>
    </row>
    <row r="40" spans="1:25">
      <c r="A40" s="1036">
        <f t="shared" si="1"/>
        <v>29</v>
      </c>
      <c r="B40" s="570">
        <v>8058</v>
      </c>
      <c r="C40" s="73" t="s">
        <v>866</v>
      </c>
      <c r="D40" s="88">
        <f>'[14]Base and Forecast Periods'!Y15</f>
        <v>-58954.348870343616</v>
      </c>
      <c r="E40" s="88">
        <f>'[14]Base and Forecast Periods'!Z15</f>
        <v>-632220.95835822611</v>
      </c>
      <c r="F40" s="88">
        <f>'[14]Base and Forecast Periods'!AA15</f>
        <v>-3405341.4495051531</v>
      </c>
      <c r="G40" s="88">
        <f>'[14]Base and Forecast Periods'!AB15</f>
        <v>-1804625.2850492052</v>
      </c>
      <c r="H40" s="88">
        <f>'[14]Base and Forecast Periods'!AC15</f>
        <v>-2584123.2125994223</v>
      </c>
      <c r="I40" s="88">
        <f>'[14]Base and Forecast Periods'!AD15</f>
        <v>-396808.74918818363</v>
      </c>
      <c r="J40" s="88">
        <f>'[14]Base and Forecast Periods'!AE15</f>
        <v>-2003.0076900197009</v>
      </c>
      <c r="K40" s="88">
        <f>'[14]Base and Forecast Periods'!AF15</f>
        <v>300571.9214858216</v>
      </c>
      <c r="L40" s="88">
        <f>'[14]Base and Forecast Periods'!AG15</f>
        <v>-213376.35643659992</v>
      </c>
      <c r="M40" s="88">
        <f>'[14]Base and Forecast Periods'!AH15</f>
        <v>1238160.8441953713</v>
      </c>
      <c r="N40" s="88">
        <f>'[14]Base and Forecast Periods'!AI15</f>
        <v>1913468.258990559</v>
      </c>
      <c r="O40" s="88">
        <f>'[14]Base and Forecast Periods'!AJ15</f>
        <v>2754815.5311601078</v>
      </c>
      <c r="P40" s="88">
        <f t="shared" si="4"/>
        <v>-2890436.8118652944</v>
      </c>
      <c r="Q40"/>
      <c r="R40"/>
      <c r="S40"/>
      <c r="T40"/>
      <c r="U40"/>
    </row>
    <row r="41" spans="1:25">
      <c r="A41" s="1036">
        <f t="shared" si="1"/>
        <v>30</v>
      </c>
      <c r="B41" s="570">
        <v>8059</v>
      </c>
      <c r="C41" s="73" t="s">
        <v>867</v>
      </c>
      <c r="D41" s="88">
        <f>'[14]Base and Forecast Periods'!Y16</f>
        <v>-11111740.509213209</v>
      </c>
      <c r="E41" s="88">
        <f>'[14]Base and Forecast Periods'!Z16</f>
        <v>-11807774.806510186</v>
      </c>
      <c r="F41" s="88">
        <f>'[14]Base and Forecast Periods'!AA16</f>
        <v>-16413742.352542737</v>
      </c>
      <c r="G41" s="88">
        <f>'[14]Base and Forecast Periods'!AB16</f>
        <v>-10615150.601506313</v>
      </c>
      <c r="H41" s="88">
        <f>'[14]Base and Forecast Periods'!AC16</f>
        <v>-6360572.3525472041</v>
      </c>
      <c r="I41" s="88">
        <f>'[14]Base and Forecast Periods'!AD16</f>
        <v>-2930143.5034869364</v>
      </c>
      <c r="J41" s="88">
        <f>'[14]Base and Forecast Periods'!AE16</f>
        <v>-2983966.3493831912</v>
      </c>
      <c r="K41" s="88">
        <f>'[14]Base and Forecast Periods'!AF16</f>
        <v>-3788876.0735743688</v>
      </c>
      <c r="L41" s="88">
        <f>'[14]Base and Forecast Periods'!AG16</f>
        <v>-3294948.2616846906</v>
      </c>
      <c r="M41" s="88">
        <f>'[14]Base and Forecast Periods'!AH16</f>
        <v>-2514665.0713341516</v>
      </c>
      <c r="N41" s="88">
        <f>'[14]Base and Forecast Periods'!AI16</f>
        <v>-4760616.985246134</v>
      </c>
      <c r="O41" s="88">
        <f>'[14]Base and Forecast Periods'!AJ16</f>
        <v>-5837699.4492856022</v>
      </c>
      <c r="P41" s="88">
        <f t="shared" si="4"/>
        <v>-82419896.316314727</v>
      </c>
      <c r="Q41"/>
      <c r="R41"/>
      <c r="S41"/>
      <c r="T41"/>
      <c r="U41"/>
    </row>
    <row r="42" spans="1:25">
      <c r="A42" s="1036">
        <f t="shared" si="1"/>
        <v>31</v>
      </c>
      <c r="B42" s="570">
        <v>8060</v>
      </c>
      <c r="C42" s="73" t="s">
        <v>868</v>
      </c>
      <c r="D42" s="88">
        <f>'[14]Base and Forecast Periods'!Y17</f>
        <v>2392594.879877226</v>
      </c>
      <c r="E42" s="88">
        <f>'[14]Base and Forecast Periods'!Z17</f>
        <v>3099310.3890679493</v>
      </c>
      <c r="F42" s="88">
        <f>'[14]Base and Forecast Periods'!AA17</f>
        <v>2031099.5958994504</v>
      </c>
      <c r="G42" s="88">
        <f>'[14]Base and Forecast Periods'!AB17</f>
        <v>2155687.5159805473</v>
      </c>
      <c r="H42" s="88">
        <f>'[14]Base and Forecast Periods'!AC17</f>
        <v>-2167673.1583005683</v>
      </c>
      <c r="I42" s="88">
        <f>'[14]Base and Forecast Periods'!AD17</f>
        <v>-2403619.8067214475</v>
      </c>
      <c r="J42" s="88">
        <f>'[14]Base and Forecast Periods'!AE17</f>
        <v>-953059.7164853625</v>
      </c>
      <c r="K42" s="88">
        <f>'[14]Base and Forecast Periods'!AF17</f>
        <v>169415.77039689844</v>
      </c>
      <c r="L42" s="88">
        <f>'[14]Base and Forecast Periods'!AG17</f>
        <v>-1484383.992825072</v>
      </c>
      <c r="M42" s="88">
        <f>'[14]Base and Forecast Periods'!AH17</f>
        <v>-829928.95197898441</v>
      </c>
      <c r="N42" s="88">
        <f>'[14]Base and Forecast Periods'!AI17</f>
        <v>-1057928.9828265961</v>
      </c>
      <c r="O42" s="88">
        <f>'[14]Base and Forecast Periods'!AJ17</f>
        <v>1066314.4035714015</v>
      </c>
      <c r="P42" s="88">
        <f t="shared" si="4"/>
        <v>2017827.9456554416</v>
      </c>
      <c r="Q42"/>
      <c r="R42"/>
      <c r="S42"/>
      <c r="T42"/>
      <c r="U42"/>
    </row>
    <row r="43" spans="1:25">
      <c r="A43" s="1036">
        <f t="shared" si="1"/>
        <v>32</v>
      </c>
      <c r="B43" s="570">
        <v>8081</v>
      </c>
      <c r="C43" s="73" t="s">
        <v>869</v>
      </c>
      <c r="D43" s="88">
        <f>'[14]Base and Forecast Periods'!Y18</f>
        <v>2077937.0260370504</v>
      </c>
      <c r="E43" s="88">
        <f>'[14]Base and Forecast Periods'!Z18</f>
        <v>2471395.9973225635</v>
      </c>
      <c r="F43" s="88">
        <f>'[14]Base and Forecast Periods'!AA18</f>
        <v>4591893.7629176155</v>
      </c>
      <c r="G43" s="88">
        <f>'[14]Base and Forecast Periods'!AB18</f>
        <v>3631516.5463728113</v>
      </c>
      <c r="H43" s="88">
        <f>'[14]Base and Forecast Periods'!AC18</f>
        <v>83715.608128871987</v>
      </c>
      <c r="I43" s="88">
        <f>'[14]Base and Forecast Periods'!AD18</f>
        <v>9585.8939929196931</v>
      </c>
      <c r="J43" s="88">
        <f>'[14]Base and Forecast Periods'!AE18</f>
        <v>0</v>
      </c>
      <c r="K43" s="88">
        <f>'[14]Base and Forecast Periods'!AF18</f>
        <v>0</v>
      </c>
      <c r="L43" s="88">
        <f>'[14]Base and Forecast Periods'!AG18</f>
        <v>0</v>
      </c>
      <c r="M43" s="88">
        <f>'[14]Base and Forecast Periods'!AH18</f>
        <v>0</v>
      </c>
      <c r="N43" s="88">
        <f>'[14]Base and Forecast Periods'!AI18</f>
        <v>0</v>
      </c>
      <c r="O43" s="88">
        <f>'[14]Base and Forecast Periods'!AJ18</f>
        <v>1330383.8164150291</v>
      </c>
      <c r="P43" s="88">
        <f t="shared" si="4"/>
        <v>14196428.651186859</v>
      </c>
      <c r="Q43"/>
      <c r="R43"/>
      <c r="S43"/>
      <c r="T43"/>
      <c r="U43"/>
    </row>
    <row r="44" spans="1:25">
      <c r="A44" s="1036">
        <f t="shared" si="1"/>
        <v>33</v>
      </c>
      <c r="B44" s="570">
        <v>8082</v>
      </c>
      <c r="C44" s="73" t="s">
        <v>870</v>
      </c>
      <c r="D44" s="88">
        <f>'[14]Base and Forecast Periods'!Y19</f>
        <v>-22873.684067130485</v>
      </c>
      <c r="E44" s="88">
        <f>'[14]Base and Forecast Periods'!Z19</f>
        <v>-2400.5077141248653</v>
      </c>
      <c r="F44" s="88">
        <f>'[14]Base and Forecast Periods'!AA19</f>
        <v>-167996.02474944756</v>
      </c>
      <c r="G44" s="88">
        <f>'[14]Base and Forecast Periods'!AB19</f>
        <v>-54196.115267041874</v>
      </c>
      <c r="H44" s="88">
        <f>'[14]Base and Forecast Periods'!AC19</f>
        <v>-1351813.1619918209</v>
      </c>
      <c r="I44" s="88">
        <f>'[14]Base and Forecast Periods'!AD19</f>
        <v>-2105104.0283159241</v>
      </c>
      <c r="J44" s="88">
        <f>'[14]Base and Forecast Periods'!AE19</f>
        <v>-1524681.2970251064</v>
      </c>
      <c r="K44" s="88">
        <f>'[14]Base and Forecast Periods'!AF19</f>
        <v>-1251707.4214751492</v>
      </c>
      <c r="L44" s="88">
        <f>'[14]Base and Forecast Periods'!AG19</f>
        <v>-1824077.982012009</v>
      </c>
      <c r="M44" s="88">
        <f>'[14]Base and Forecast Periods'!AH19</f>
        <v>-1551787.333141295</v>
      </c>
      <c r="N44" s="88">
        <f>'[14]Base and Forecast Periods'!AI19</f>
        <v>-1683967.9524826272</v>
      </c>
      <c r="O44" s="88">
        <f>'[14]Base and Forecast Periods'!AJ19</f>
        <v>-24983.936515512938</v>
      </c>
      <c r="P44" s="88">
        <f t="shared" si="4"/>
        <v>-11565589.444757191</v>
      </c>
      <c r="Q44"/>
      <c r="R44"/>
      <c r="S44"/>
      <c r="T44"/>
      <c r="U44"/>
    </row>
    <row r="45" spans="1:25">
      <c r="A45" s="1036">
        <f t="shared" si="1"/>
        <v>34</v>
      </c>
      <c r="B45" s="570">
        <v>8120</v>
      </c>
      <c r="C45" s="73" t="s">
        <v>871</v>
      </c>
      <c r="D45" s="88">
        <f>'[14]Base and Forecast Periods'!Y20</f>
        <v>-1502.8555125894434</v>
      </c>
      <c r="E45" s="88">
        <f>'[14]Base and Forecast Periods'!Z20</f>
        <v>-1920.0754438308768</v>
      </c>
      <c r="F45" s="88">
        <f>'[14]Base and Forecast Periods'!AA20</f>
        <v>-2349.2934803134285</v>
      </c>
      <c r="G45" s="88">
        <f>'[14]Base and Forecast Periods'!AB20</f>
        <v>274.63969654783921</v>
      </c>
      <c r="H45" s="88">
        <f>'[14]Base and Forecast Periods'!AC20</f>
        <v>-2102.5074004151597</v>
      </c>
      <c r="I45" s="88">
        <f>'[14]Base and Forecast Periods'!AD20</f>
        <v>-272.03491487332377</v>
      </c>
      <c r="J45" s="88">
        <f>'[14]Base and Forecast Periods'!AE20</f>
        <v>-445.33164275126137</v>
      </c>
      <c r="K45" s="88">
        <f>'[14]Base and Forecast Periods'!AF20</f>
        <v>1863.3562723974603</v>
      </c>
      <c r="L45" s="88">
        <f>'[14]Base and Forecast Periods'!AG20</f>
        <v>-4205.9385157520846</v>
      </c>
      <c r="M45" s="88">
        <f>'[14]Base and Forecast Periods'!AH20</f>
        <v>-123.36010067966201</v>
      </c>
      <c r="N45" s="88">
        <f>'[14]Base and Forecast Periods'!AI20</f>
        <v>-150.55537386300497</v>
      </c>
      <c r="O45" s="88">
        <f>'[14]Base and Forecast Periods'!AJ20</f>
        <v>-599.53293021883394</v>
      </c>
      <c r="P45" s="88">
        <f t="shared" si="4"/>
        <v>-11533.489346341779</v>
      </c>
      <c r="Q45"/>
      <c r="R45"/>
      <c r="S45"/>
      <c r="T45"/>
      <c r="U45"/>
    </row>
    <row r="46" spans="1:25">
      <c r="A46" s="1036">
        <f t="shared" si="1"/>
        <v>35</v>
      </c>
      <c r="B46" s="570">
        <v>8580</v>
      </c>
      <c r="C46" s="73" t="s">
        <v>1189</v>
      </c>
      <c r="D46" s="88">
        <f>'[14]Base and Forecast Periods'!Y21</f>
        <v>2768922.0893716831</v>
      </c>
      <c r="E46" s="88">
        <f>'[14]Base and Forecast Periods'!Z21</f>
        <v>2761108.3667620569</v>
      </c>
      <c r="F46" s="88">
        <f>'[14]Base and Forecast Periods'!AA21</f>
        <v>2813517.8134979559</v>
      </c>
      <c r="G46" s="88">
        <f>'[14]Base and Forecast Periods'!AB21</f>
        <v>3961885.3808850283</v>
      </c>
      <c r="H46" s="88">
        <f>'[14]Base and Forecast Periods'!AC21</f>
        <v>4309798.8666006513</v>
      </c>
      <c r="I46" s="88">
        <f>'[14]Base and Forecast Periods'!AD21</f>
        <v>2646041.6555753006</v>
      </c>
      <c r="J46" s="88">
        <f>'[14]Base and Forecast Periods'!AE21</f>
        <v>2187466.1297928002</v>
      </c>
      <c r="K46" s="88">
        <f>'[14]Base and Forecast Periods'!AF21</f>
        <v>2265423.3147633108</v>
      </c>
      <c r="L46" s="88">
        <f>'[14]Base and Forecast Periods'!AG21</f>
        <v>2476922.0522995517</v>
      </c>
      <c r="M46" s="88">
        <f>'[14]Base and Forecast Periods'!AH21</f>
        <v>1489609.4115732932</v>
      </c>
      <c r="N46" s="88">
        <f>'[14]Base and Forecast Periods'!AI21</f>
        <v>2647618.4087611884</v>
      </c>
      <c r="O46" s="88">
        <f>'[14]Base and Forecast Periods'!AJ21</f>
        <v>2347992.2594525702</v>
      </c>
      <c r="P46" s="88">
        <f t="shared" si="4"/>
        <v>32676305.74933539</v>
      </c>
      <c r="Q46"/>
      <c r="R46"/>
      <c r="S46"/>
      <c r="T46"/>
      <c r="U46"/>
    </row>
    <row r="47" spans="1:25">
      <c r="A47" s="1036">
        <f t="shared" si="1"/>
        <v>36</v>
      </c>
      <c r="B47" s="570">
        <v>8140</v>
      </c>
      <c r="C47" s="73" t="s">
        <v>872</v>
      </c>
      <c r="D47" s="339">
        <f>VLOOKUP($B47,'[13]Div 9 forecast'!$D$549:$AF$630,'[13]Div 9 forecast'!U$548,FALSE)</f>
        <v>52.931881058853229</v>
      </c>
      <c r="E47" s="339">
        <f>VLOOKUP($B47,'[13]Div 9 forecast'!$D$549:$AF$630,'[13]Div 9 forecast'!V$548,FALSE)</f>
        <v>45.225143000865316</v>
      </c>
      <c r="F47" s="339">
        <f>VLOOKUP($B47,'[13]Div 9 forecast'!$D$549:$AF$630,'[13]Div 9 forecast'!W$548,FALSE)</f>
        <v>72.030051215446093</v>
      </c>
      <c r="G47" s="339">
        <f>VLOOKUP($B47,'[13]Div 9 forecast'!$D$549:$AF$630,'[13]Div 9 forecast'!X$548,FALSE)</f>
        <v>50.548171223843973</v>
      </c>
      <c r="H47" s="339">
        <f>VLOOKUP($B47,'[13]Div 9 forecast'!$D$549:$AF$630,'[13]Div 9 forecast'!Y$548,FALSE)</f>
        <v>43.272618483439217</v>
      </c>
      <c r="I47" s="339">
        <f>VLOOKUP($B47,'[13]Div 9 forecast'!$D$549:$AF$630,'[13]Div 9 forecast'!Z$548,FALSE)</f>
        <v>56.937706724150104</v>
      </c>
      <c r="J47" s="339">
        <f>VLOOKUP($B47,'[13]Div 9 forecast'!$D$549:$AF$630,'[13]Div 9 forecast'!AA$548,FALSE)</f>
        <v>58.052935086613921</v>
      </c>
      <c r="K47" s="339">
        <f>VLOOKUP($B47,'[13]Div 9 forecast'!$D$549:$AF$630,'[13]Div 9 forecast'!AB$548,FALSE)</f>
        <v>53.695480691846605</v>
      </c>
      <c r="L47" s="339">
        <f>VLOOKUP($B47,'[13]Div 9 forecast'!$D$549:$AF$630,'[13]Div 9 forecast'!AC$548,FALSE)</f>
        <v>95.722306888415446</v>
      </c>
      <c r="M47" s="339">
        <f>VLOOKUP($B47,'[13]Div 9 forecast'!$D$549:$AF$630,'[13]Div 9 forecast'!AD$548,FALSE)</f>
        <v>51.928976133221646</v>
      </c>
      <c r="N47" s="339">
        <f>VLOOKUP($B47,'[13]Div 9 forecast'!$D$549:$AF$630,'[13]Div 9 forecast'!AE$548,FALSE)</f>
        <v>31.504689515517015</v>
      </c>
      <c r="O47" s="339">
        <f>VLOOKUP($B47,'[13]Div 9 forecast'!$D$549:$AF$630,'[13]Div 9 forecast'!AF$548,FALSE)</f>
        <v>40.949259076096737</v>
      </c>
      <c r="P47" s="95">
        <f t="shared" si="4"/>
        <v>652.79921909830932</v>
      </c>
      <c r="Q47"/>
      <c r="R47"/>
      <c r="S47"/>
      <c r="T47"/>
      <c r="U47"/>
      <c r="Y47" s="725"/>
    </row>
    <row r="48" spans="1:25">
      <c r="A48" s="1036">
        <f t="shared" si="1"/>
        <v>37</v>
      </c>
      <c r="B48" s="570">
        <v>8160</v>
      </c>
      <c r="C48" s="73" t="s">
        <v>873</v>
      </c>
      <c r="D48" s="339">
        <f>VLOOKUP($B48,'[13]Div 9 forecast'!$D$549:$AF$630,'[13]Div 9 forecast'!U$548,FALSE)</f>
        <v>25866.054806498869</v>
      </c>
      <c r="E48" s="339">
        <f>VLOOKUP($B48,'[13]Div 9 forecast'!$D$549:$AF$630,'[13]Div 9 forecast'!V$548,FALSE)</f>
        <v>29890.542173700611</v>
      </c>
      <c r="F48" s="339">
        <f>VLOOKUP($B48,'[13]Div 9 forecast'!$D$549:$AF$630,'[13]Div 9 forecast'!W$548,FALSE)</f>
        <v>38169.038144740982</v>
      </c>
      <c r="G48" s="339">
        <f>VLOOKUP($B48,'[13]Div 9 forecast'!$D$549:$AF$630,'[13]Div 9 forecast'!X$548,FALSE)</f>
        <v>30925.500206603254</v>
      </c>
      <c r="H48" s="339">
        <f>VLOOKUP($B48,'[13]Div 9 forecast'!$D$549:$AF$630,'[13]Div 9 forecast'!Y$548,FALSE)</f>
        <v>32494.571129577438</v>
      </c>
      <c r="I48" s="339">
        <f>VLOOKUP($B48,'[13]Div 9 forecast'!$D$549:$AF$630,'[13]Div 9 forecast'!Z$548,FALSE)</f>
        <v>36121.170141632814</v>
      </c>
      <c r="J48" s="339">
        <f>VLOOKUP($B48,'[13]Div 9 forecast'!$D$549:$AF$630,'[13]Div 9 forecast'!AA$548,FALSE)</f>
        <v>33782.894265837029</v>
      </c>
      <c r="K48" s="339">
        <f>VLOOKUP($B48,'[13]Div 9 forecast'!$D$549:$AF$630,'[13]Div 9 forecast'!AB$548,FALSE)</f>
        <v>30358.728157589048</v>
      </c>
      <c r="L48" s="339">
        <f>VLOOKUP($B48,'[13]Div 9 forecast'!$D$549:$AF$630,'[13]Div 9 forecast'!AC$548,FALSE)</f>
        <v>25902.137304280353</v>
      </c>
      <c r="M48" s="339">
        <f>VLOOKUP($B48,'[13]Div 9 forecast'!$D$549:$AF$630,'[13]Div 9 forecast'!AD$548,FALSE)</f>
        <v>32824.525057099607</v>
      </c>
      <c r="N48" s="339">
        <f>VLOOKUP($B48,'[13]Div 9 forecast'!$D$549:$AF$630,'[13]Div 9 forecast'!AE$548,FALSE)</f>
        <v>29880.143161674554</v>
      </c>
      <c r="O48" s="339">
        <f>VLOOKUP($B48,'[13]Div 9 forecast'!$D$549:$AF$630,'[13]Div 9 forecast'!AF$548,FALSE)</f>
        <v>24099.882312602367</v>
      </c>
      <c r="P48" s="95">
        <f t="shared" si="4"/>
        <v>370315.18686183688</v>
      </c>
      <c r="Q48" s="73"/>
      <c r="R48" s="73"/>
      <c r="S48" s="73"/>
      <c r="Y48" s="725"/>
    </row>
    <row r="49" spans="1:25">
      <c r="A49" s="1036">
        <f t="shared" si="1"/>
        <v>38</v>
      </c>
      <c r="B49" s="570">
        <v>8170</v>
      </c>
      <c r="C49" s="73" t="s">
        <v>877</v>
      </c>
      <c r="D49" s="339">
        <f>VLOOKUP($B49,'[13]Div 9 forecast'!$D$549:$AF$630,'[13]Div 9 forecast'!U$548,FALSE)</f>
        <v>3130.1231793384859</v>
      </c>
      <c r="E49" s="339">
        <f>VLOOKUP($B49,'[13]Div 9 forecast'!$D$549:$AF$630,'[13]Div 9 forecast'!V$548,FALSE)</f>
        <v>3053.1480803341269</v>
      </c>
      <c r="F49" s="339">
        <f>VLOOKUP($B49,'[13]Div 9 forecast'!$D$549:$AF$630,'[13]Div 9 forecast'!W$548,FALSE)</f>
        <v>3655.659257622433</v>
      </c>
      <c r="G49" s="339">
        <f>VLOOKUP($B49,'[13]Div 9 forecast'!$D$549:$AF$630,'[13]Div 9 forecast'!X$548,FALSE)</f>
        <v>3572.6068733348284</v>
      </c>
      <c r="H49" s="339">
        <f>VLOOKUP($B49,'[13]Div 9 forecast'!$D$549:$AF$630,'[13]Div 9 forecast'!Y$548,FALSE)</f>
        <v>3390.9195491807559</v>
      </c>
      <c r="I49" s="339">
        <f>VLOOKUP($B49,'[13]Div 9 forecast'!$D$549:$AF$630,'[13]Div 9 forecast'!Z$548,FALSE)</f>
        <v>3625.4836121238727</v>
      </c>
      <c r="J49" s="339">
        <f>VLOOKUP($B49,'[13]Div 9 forecast'!$D$549:$AF$630,'[13]Div 9 forecast'!AA$548,FALSE)</f>
        <v>3625.4852687882394</v>
      </c>
      <c r="K49" s="339">
        <f>VLOOKUP($B49,'[13]Div 9 forecast'!$D$549:$AF$630,'[13]Div 9 forecast'!AB$548,FALSE)</f>
        <v>3589.9016654122702</v>
      </c>
      <c r="L49" s="339">
        <f>VLOOKUP($B49,'[13]Div 9 forecast'!$D$549:$AF$630,'[13]Div 9 forecast'!AC$548,FALSE)</f>
        <v>4197.0865721863902</v>
      </c>
      <c r="M49" s="339">
        <f>VLOOKUP($B49,'[13]Div 9 forecast'!$D$549:$AF$630,'[13]Div 9 forecast'!AD$548,FALSE)</f>
        <v>3264.5152500768436</v>
      </c>
      <c r="N49" s="339">
        <f>VLOOKUP($B49,'[13]Div 9 forecast'!$D$549:$AF$630,'[13]Div 9 forecast'!AE$548,FALSE)</f>
        <v>2836.4140025002653</v>
      </c>
      <c r="O49" s="339">
        <f>VLOOKUP($B49,'[13]Div 9 forecast'!$D$549:$AF$630,'[13]Div 9 forecast'!AF$548,FALSE)</f>
        <v>3323.243056930587</v>
      </c>
      <c r="P49" s="95">
        <f t="shared" si="4"/>
        <v>41264.586367829099</v>
      </c>
      <c r="Q49" s="73"/>
      <c r="R49" s="73"/>
      <c r="S49" s="73"/>
      <c r="Y49" s="725"/>
    </row>
    <row r="50" spans="1:25">
      <c r="A50" s="1036">
        <f t="shared" si="1"/>
        <v>39</v>
      </c>
      <c r="B50" s="570">
        <v>8180</v>
      </c>
      <c r="C50" s="73" t="s">
        <v>878</v>
      </c>
      <c r="D50" s="339">
        <f>VLOOKUP($B50,'[13]Div 9 forecast'!$D$549:$AF$630,'[13]Div 9 forecast'!U$548,FALSE)</f>
        <v>3932.8258425825879</v>
      </c>
      <c r="E50" s="339">
        <f>VLOOKUP($B50,'[13]Div 9 forecast'!$D$549:$AF$630,'[13]Div 9 forecast'!V$548,FALSE)</f>
        <v>3817.1758106839761</v>
      </c>
      <c r="F50" s="339">
        <f>VLOOKUP($B50,'[13]Div 9 forecast'!$D$549:$AF$630,'[13]Div 9 forecast'!W$548,FALSE)</f>
        <v>4571.4153348941063</v>
      </c>
      <c r="G50" s="339">
        <f>VLOOKUP($B50,'[13]Div 9 forecast'!$D$549:$AF$630,'[13]Div 9 forecast'!X$548,FALSE)</f>
        <v>4547.3819034940898</v>
      </c>
      <c r="H50" s="339">
        <f>VLOOKUP($B50,'[13]Div 9 forecast'!$D$549:$AF$630,'[13]Div 9 forecast'!Y$548,FALSE)</f>
        <v>4313.8748142813965</v>
      </c>
      <c r="I50" s="339">
        <f>VLOOKUP($B50,'[13]Div 9 forecast'!$D$549:$AF$630,'[13]Div 9 forecast'!Z$548,FALSE)</f>
        <v>4614.4135003206129</v>
      </c>
      <c r="J50" s="339">
        <f>VLOOKUP($B50,'[13]Div 9 forecast'!$D$549:$AF$630,'[13]Div 9 forecast'!AA$548,FALSE)</f>
        <v>4600.1791546793802</v>
      </c>
      <c r="K50" s="339">
        <f>VLOOKUP($B50,'[13]Div 9 forecast'!$D$549:$AF$630,'[13]Div 9 forecast'!AB$548,FALSE)</f>
        <v>4576.9616799223577</v>
      </c>
      <c r="L50" s="339">
        <f>VLOOKUP($B50,'[13]Div 9 forecast'!$D$549:$AF$630,'[13]Div 9 forecast'!AC$548,FALSE)</f>
        <v>5299.349616131678</v>
      </c>
      <c r="M50" s="339">
        <f>VLOOKUP($B50,'[13]Div 9 forecast'!$D$549:$AF$630,'[13]Div 9 forecast'!AD$548,FALSE)</f>
        <v>4105.8270950399274</v>
      </c>
      <c r="N50" s="339">
        <f>VLOOKUP($B50,'[13]Div 9 forecast'!$D$549:$AF$630,'[13]Div 9 forecast'!AE$548,FALSE)</f>
        <v>3584.2499512329573</v>
      </c>
      <c r="O50" s="339">
        <f>VLOOKUP($B50,'[13]Div 9 forecast'!$D$549:$AF$630,'[13]Div 9 forecast'!AF$548,FALSE)</f>
        <v>4216.1906022404355</v>
      </c>
      <c r="P50" s="95">
        <f t="shared" si="4"/>
        <v>52179.845305503506</v>
      </c>
      <c r="Q50" s="73"/>
      <c r="R50" s="73"/>
      <c r="S50" s="73"/>
      <c r="Y50" s="725"/>
    </row>
    <row r="51" spans="1:25">
      <c r="A51" s="1036">
        <f t="shared" si="1"/>
        <v>40</v>
      </c>
      <c r="B51" s="570">
        <v>8190</v>
      </c>
      <c r="C51" s="73" t="s">
        <v>879</v>
      </c>
      <c r="D51" s="339">
        <f>VLOOKUP($B51,'[13]Div 9 forecast'!$D$549:$AF$630,'[13]Div 9 forecast'!U$548,FALSE)</f>
        <v>81.208692420613957</v>
      </c>
      <c r="E51" s="339">
        <f>VLOOKUP($B51,'[13]Div 9 forecast'!$D$549:$AF$630,'[13]Div 9 forecast'!V$548,FALSE)</f>
        <v>92.435356384398887</v>
      </c>
      <c r="F51" s="339">
        <f>VLOOKUP($B51,'[13]Div 9 forecast'!$D$549:$AF$630,'[13]Div 9 forecast'!W$548,FALSE)</f>
        <v>92.991454602545346</v>
      </c>
      <c r="G51" s="339">
        <f>VLOOKUP($B51,'[13]Div 9 forecast'!$D$549:$AF$630,'[13]Div 9 forecast'!X$548,FALSE)</f>
        <v>80.541856816184506</v>
      </c>
      <c r="H51" s="339">
        <f>VLOOKUP($B51,'[13]Div 9 forecast'!$D$549:$AF$630,'[13]Div 9 forecast'!Y$548,FALSE)</f>
        <v>81.838851588369849</v>
      </c>
      <c r="I51" s="339">
        <f>VLOOKUP($B51,'[13]Div 9 forecast'!$D$549:$AF$630,'[13]Div 9 forecast'!Z$548,FALSE)</f>
        <v>76.366522468679591</v>
      </c>
      <c r="J51" s="339">
        <f>VLOOKUP($B51,'[13]Div 9 forecast'!$D$549:$AF$630,'[13]Div 9 forecast'!AA$548,FALSE)</f>
        <v>80.559960603866827</v>
      </c>
      <c r="K51" s="339">
        <f>VLOOKUP($B51,'[13]Div 9 forecast'!$D$549:$AF$630,'[13]Div 9 forecast'!AB$548,FALSE)</f>
        <v>75.315048356187972</v>
      </c>
      <c r="L51" s="339">
        <f>VLOOKUP($B51,'[13]Div 9 forecast'!$D$549:$AF$630,'[13]Div 9 forecast'!AC$548,FALSE)</f>
        <v>75.290208275414571</v>
      </c>
      <c r="M51" s="339">
        <f>VLOOKUP($B51,'[13]Div 9 forecast'!$D$549:$AF$630,'[13]Div 9 forecast'!AD$548,FALSE)</f>
        <v>86.33475311078648</v>
      </c>
      <c r="N51" s="339">
        <f>VLOOKUP($B51,'[13]Div 9 forecast'!$D$549:$AF$630,'[13]Div 9 forecast'!AE$548,FALSE)</f>
        <v>81.966410570184337</v>
      </c>
      <c r="O51" s="339">
        <f>VLOOKUP($B51,'[13]Div 9 forecast'!$D$549:$AF$630,'[13]Div 9 forecast'!AF$548,FALSE)</f>
        <v>85.913332911471201</v>
      </c>
      <c r="P51" s="95">
        <f t="shared" si="4"/>
        <v>990.76244810870355</v>
      </c>
      <c r="Q51" s="73"/>
      <c r="R51" s="73"/>
      <c r="S51" s="73"/>
      <c r="Y51" s="725"/>
    </row>
    <row r="52" spans="1:25">
      <c r="A52" s="1036">
        <f t="shared" si="1"/>
        <v>41</v>
      </c>
      <c r="B52" s="570">
        <v>8200</v>
      </c>
      <c r="C52" s="73" t="s">
        <v>880</v>
      </c>
      <c r="D52" s="339">
        <f>VLOOKUP($B52,'[13]Div 9 forecast'!$D$549:$AF$630,'[13]Div 9 forecast'!U$548,FALSE)</f>
        <v>627.7684916814394</v>
      </c>
      <c r="E52" s="339">
        <f>VLOOKUP($B52,'[13]Div 9 forecast'!$D$549:$AF$630,'[13]Div 9 forecast'!V$548,FALSE)</f>
        <v>608.36920797573907</v>
      </c>
      <c r="F52" s="339">
        <f>VLOOKUP($B52,'[13]Div 9 forecast'!$D$549:$AF$630,'[13]Div 9 forecast'!W$548,FALSE)</f>
        <v>769.62071092823635</v>
      </c>
      <c r="G52" s="339">
        <f>VLOOKUP($B52,'[13]Div 9 forecast'!$D$549:$AF$630,'[13]Div 9 forecast'!X$548,FALSE)</f>
        <v>659.44968926612523</v>
      </c>
      <c r="H52" s="339">
        <f>VLOOKUP($B52,'[13]Div 9 forecast'!$D$549:$AF$630,'[13]Div 9 forecast'!Y$548,FALSE)</f>
        <v>616.23179959722097</v>
      </c>
      <c r="I52" s="339">
        <f>VLOOKUP($B52,'[13]Div 9 forecast'!$D$549:$AF$630,'[13]Div 9 forecast'!Z$548,FALSE)</f>
        <v>682.5405541531004</v>
      </c>
      <c r="J52" s="339">
        <f>VLOOKUP($B52,'[13]Div 9 forecast'!$D$549:$AF$630,'[13]Div 9 forecast'!AA$548,FALSE)</f>
        <v>693.41086297588095</v>
      </c>
      <c r="K52" s="339">
        <f>VLOOKUP($B52,'[13]Div 9 forecast'!$D$549:$AF$630,'[13]Div 9 forecast'!AB$548,FALSE)</f>
        <v>665.02643959084162</v>
      </c>
      <c r="L52" s="339">
        <f>VLOOKUP($B52,'[13]Div 9 forecast'!$D$549:$AF$630,'[13]Div 9 forecast'!AC$548,FALSE)</f>
        <v>884.47679891167365</v>
      </c>
      <c r="M52" s="339">
        <f>VLOOKUP($B52,'[13]Div 9 forecast'!$D$549:$AF$630,'[13]Div 9 forecast'!AD$548,FALSE)</f>
        <v>644.6667731839832</v>
      </c>
      <c r="N52" s="339">
        <f>VLOOKUP($B52,'[13]Div 9 forecast'!$D$549:$AF$630,'[13]Div 9 forecast'!AE$548,FALSE)</f>
        <v>518.55277813812063</v>
      </c>
      <c r="O52" s="339">
        <f>VLOOKUP($B52,'[13]Div 9 forecast'!$D$549:$AF$630,'[13]Div 9 forecast'!AF$548,FALSE)</f>
        <v>607.25239994757192</v>
      </c>
      <c r="P52" s="95">
        <f t="shared" si="4"/>
        <v>7977.3665063499329</v>
      </c>
      <c r="Q52" s="73"/>
      <c r="R52" s="73"/>
      <c r="S52" s="73"/>
      <c r="Y52" s="725"/>
    </row>
    <row r="53" spans="1:25">
      <c r="A53" s="1036">
        <f t="shared" si="1"/>
        <v>42</v>
      </c>
      <c r="B53" s="570">
        <v>8210</v>
      </c>
      <c r="C53" s="73" t="s">
        <v>881</v>
      </c>
      <c r="D53" s="339">
        <f>VLOOKUP($B53,'[13]Div 9 forecast'!$D$549:$AF$630,'[13]Div 9 forecast'!U$548,FALSE)</f>
        <v>2938.2559368447892</v>
      </c>
      <c r="E53" s="339">
        <f>VLOOKUP($B53,'[13]Div 9 forecast'!$D$549:$AF$630,'[13]Div 9 forecast'!V$548,FALSE)</f>
        <v>3011.0248534184243</v>
      </c>
      <c r="F53" s="339">
        <f>VLOOKUP($B53,'[13]Div 9 forecast'!$D$549:$AF$630,'[13]Div 9 forecast'!W$548,FALSE)</f>
        <v>3195.9811787758417</v>
      </c>
      <c r="G53" s="339">
        <f>VLOOKUP($B53,'[13]Div 9 forecast'!$D$549:$AF$630,'[13]Div 9 forecast'!X$548,FALSE)</f>
        <v>3584.4425702399449</v>
      </c>
      <c r="H53" s="339">
        <f>VLOOKUP($B53,'[13]Div 9 forecast'!$D$549:$AF$630,'[13]Div 9 forecast'!Y$548,FALSE)</f>
        <v>3509.6704054484139</v>
      </c>
      <c r="I53" s="339">
        <f>VLOOKUP($B53,'[13]Div 9 forecast'!$D$549:$AF$630,'[13]Div 9 forecast'!Z$548,FALSE)</f>
        <v>3508.325228296007</v>
      </c>
      <c r="J53" s="339">
        <f>VLOOKUP($B53,'[13]Div 9 forecast'!$D$549:$AF$630,'[13]Div 9 forecast'!AA$548,FALSE)</f>
        <v>3481.5919333485108</v>
      </c>
      <c r="K53" s="339">
        <f>VLOOKUP($B53,'[13]Div 9 forecast'!$D$549:$AF$630,'[13]Div 9 forecast'!AB$548,FALSE)</f>
        <v>3535.9867813709584</v>
      </c>
      <c r="L53" s="339">
        <f>VLOOKUP($B53,'[13]Div 9 forecast'!$D$549:$AF$630,'[13]Div 9 forecast'!AC$548,FALSE)</f>
        <v>3375.4771773000675</v>
      </c>
      <c r="M53" s="339">
        <f>VLOOKUP($B53,'[13]Div 9 forecast'!$D$549:$AF$630,'[13]Div 9 forecast'!AD$548,FALSE)</f>
        <v>3139.7466692226903</v>
      </c>
      <c r="N53" s="339">
        <f>VLOOKUP($B53,'[13]Div 9 forecast'!$D$549:$AF$630,'[13]Div 9 forecast'!AE$548,FALSE)</f>
        <v>3041.1036859642859</v>
      </c>
      <c r="O53" s="339">
        <f>VLOOKUP($B53,'[13]Div 9 forecast'!$D$549:$AF$630,'[13]Div 9 forecast'!AF$548,FALSE)</f>
        <v>3472.0598518148299</v>
      </c>
      <c r="P53" s="95">
        <f t="shared" si="4"/>
        <v>39793.666272044764</v>
      </c>
      <c r="Q53" s="73"/>
      <c r="R53" s="73"/>
      <c r="S53" s="73"/>
      <c r="Y53" s="725"/>
    </row>
    <row r="54" spans="1:25">
      <c r="A54" s="1036">
        <f t="shared" si="1"/>
        <v>43</v>
      </c>
      <c r="B54" s="570">
        <v>8240</v>
      </c>
      <c r="C54" s="73" t="s">
        <v>882</v>
      </c>
      <c r="D54" s="339">
        <f>VLOOKUP($B54,'[13]Div 9 forecast'!$D$549:$AF$630,'[13]Div 9 forecast'!U$548,FALSE)</f>
        <v>0</v>
      </c>
      <c r="E54" s="339">
        <f>VLOOKUP($B54,'[13]Div 9 forecast'!$D$549:$AF$630,'[13]Div 9 forecast'!V$548,FALSE)</f>
        <v>0</v>
      </c>
      <c r="F54" s="339">
        <f>VLOOKUP($B54,'[13]Div 9 forecast'!$D$549:$AF$630,'[13]Div 9 forecast'!W$548,FALSE)</f>
        <v>0</v>
      </c>
      <c r="G54" s="339">
        <f>VLOOKUP($B54,'[13]Div 9 forecast'!$D$549:$AF$630,'[13]Div 9 forecast'!X$548,FALSE)</f>
        <v>0</v>
      </c>
      <c r="H54" s="339">
        <f>VLOOKUP($B54,'[13]Div 9 forecast'!$D$549:$AF$630,'[13]Div 9 forecast'!Y$548,FALSE)</f>
        <v>0</v>
      </c>
      <c r="I54" s="339">
        <f>VLOOKUP($B54,'[13]Div 9 forecast'!$D$549:$AF$630,'[13]Div 9 forecast'!Z$548,FALSE)</f>
        <v>0</v>
      </c>
      <c r="J54" s="339">
        <f>VLOOKUP($B54,'[13]Div 9 forecast'!$D$549:$AF$630,'[13]Div 9 forecast'!AA$548,FALSE)</f>
        <v>0</v>
      </c>
      <c r="K54" s="339">
        <f>VLOOKUP($B54,'[13]Div 9 forecast'!$D$549:$AF$630,'[13]Div 9 forecast'!AB$548,FALSE)</f>
        <v>0</v>
      </c>
      <c r="L54" s="339">
        <f>VLOOKUP($B54,'[13]Div 9 forecast'!$D$549:$AF$630,'[13]Div 9 forecast'!AC$548,FALSE)</f>
        <v>0</v>
      </c>
      <c r="M54" s="339">
        <f>VLOOKUP($B54,'[13]Div 9 forecast'!$D$549:$AF$630,'[13]Div 9 forecast'!AD$548,FALSE)</f>
        <v>0</v>
      </c>
      <c r="N54" s="339">
        <f>VLOOKUP($B54,'[13]Div 9 forecast'!$D$549:$AF$630,'[13]Div 9 forecast'!AE$548,FALSE)</f>
        <v>0</v>
      </c>
      <c r="O54" s="339">
        <f>VLOOKUP($B54,'[13]Div 9 forecast'!$D$549:$AF$630,'[13]Div 9 forecast'!AF$548,FALSE)</f>
        <v>0</v>
      </c>
      <c r="P54" s="95">
        <f t="shared" si="4"/>
        <v>0</v>
      </c>
      <c r="Q54" s="73"/>
      <c r="R54" s="73"/>
      <c r="S54" s="73"/>
      <c r="Y54" s="725"/>
    </row>
    <row r="55" spans="1:25">
      <c r="A55" s="1036">
        <f t="shared" si="1"/>
        <v>44</v>
      </c>
      <c r="B55" s="570">
        <v>8250</v>
      </c>
      <c r="C55" s="73" t="s">
        <v>893</v>
      </c>
      <c r="D55" s="339">
        <f>VLOOKUP($B55,'[13]Div 9 forecast'!$D$549:$AF$630,'[13]Div 9 forecast'!U$548,FALSE)</f>
        <v>754.85027068284614</v>
      </c>
      <c r="E55" s="339">
        <f>VLOOKUP($B55,'[13]Div 9 forecast'!$D$549:$AF$630,'[13]Div 9 forecast'!V$548,FALSE)</f>
        <v>859.20425151085487</v>
      </c>
      <c r="F55" s="339">
        <f>VLOOKUP($B55,'[13]Div 9 forecast'!$D$549:$AF$630,'[13]Div 9 forecast'!W$548,FALSE)</f>
        <v>864.37329041521161</v>
      </c>
      <c r="G55" s="339">
        <f>VLOOKUP($B55,'[13]Div 9 forecast'!$D$549:$AF$630,'[13]Div 9 forecast'!X$548,FALSE)</f>
        <v>748.65190667154775</v>
      </c>
      <c r="H55" s="339">
        <f>VLOOKUP($B55,'[13]Div 9 forecast'!$D$549:$AF$630,'[13]Div 9 forecast'!Y$548,FALSE)</f>
        <v>760.70772022642552</v>
      </c>
      <c r="I55" s="339">
        <f>VLOOKUP($B55,'[13]Div 9 forecast'!$D$549:$AF$630,'[13]Div 9 forecast'!Z$548,FALSE)</f>
        <v>709.84137828523637</v>
      </c>
      <c r="J55" s="339">
        <f>VLOOKUP($B55,'[13]Div 9 forecast'!$D$549:$AF$630,'[13]Div 9 forecast'!AA$548,FALSE)</f>
        <v>748.82018482780234</v>
      </c>
      <c r="K55" s="339">
        <f>VLOOKUP($B55,'[13]Div 9 forecast'!$D$549:$AF$630,'[13]Div 9 forecast'!AB$548,FALSE)</f>
        <v>700.06772604713149</v>
      </c>
      <c r="L55" s="339">
        <f>VLOOKUP($B55,'[13]Div 9 forecast'!$D$549:$AF$630,'[13]Div 9 forecast'!AC$548,FALSE)</f>
        <v>699.83683276296836</v>
      </c>
      <c r="M55" s="339">
        <f>VLOOKUP($B55,'[13]Div 9 forecast'!$D$549:$AF$630,'[13]Div 9 forecast'!AD$548,FALSE)</f>
        <v>802.49798158886756</v>
      </c>
      <c r="N55" s="339">
        <f>VLOOKUP($B55,'[13]Div 9 forecast'!$D$549:$AF$630,'[13]Div 9 forecast'!AE$548,FALSE)</f>
        <v>761.89340526925298</v>
      </c>
      <c r="O55" s="339">
        <f>VLOOKUP($B55,'[13]Div 9 forecast'!$D$549:$AF$630,'[13]Div 9 forecast'!AF$548,FALSE)</f>
        <v>798.58080053296851</v>
      </c>
      <c r="P55" s="95">
        <f t="shared" si="4"/>
        <v>9209.3257488211148</v>
      </c>
      <c r="Q55" s="73"/>
      <c r="R55" s="73"/>
      <c r="Y55" s="725"/>
    </row>
    <row r="56" spans="1:25">
      <c r="A56" s="1036">
        <f t="shared" si="1"/>
        <v>45</v>
      </c>
      <c r="B56" s="570">
        <v>8310</v>
      </c>
      <c r="C56" s="73" t="s">
        <v>894</v>
      </c>
      <c r="D56" s="339">
        <f>VLOOKUP($B56,'[13]Div 9 forecast'!$D$549:$AF$630,'[13]Div 9 forecast'!U$548,FALSE)</f>
        <v>44.937382677115849</v>
      </c>
      <c r="E56" s="339">
        <f>VLOOKUP($B56,'[13]Div 9 forecast'!$D$549:$AF$630,'[13]Div 9 forecast'!V$548,FALSE)</f>
        <v>38.394621861209217</v>
      </c>
      <c r="F56" s="339">
        <f>VLOOKUP($B56,'[13]Div 9 forecast'!$D$549:$AF$630,'[13]Div 9 forecast'!W$548,FALSE)</f>
        <v>61.151085337810237</v>
      </c>
      <c r="G56" s="339">
        <f>VLOOKUP($B56,'[13]Div 9 forecast'!$D$549:$AF$630,'[13]Div 9 forecast'!X$548,FALSE)</f>
        <v>42.91369338241811</v>
      </c>
      <c r="H56" s="339">
        <f>VLOOKUP($B56,'[13]Div 9 forecast'!$D$549:$AF$630,'[13]Div 9 forecast'!Y$548,FALSE)</f>
        <v>36.736994365816201</v>
      </c>
      <c r="I56" s="339">
        <f>VLOOKUP($B56,'[13]Div 9 forecast'!$D$549:$AF$630,'[13]Div 9 forecast'!Z$548,FALSE)</f>
        <v>48.338193629953693</v>
      </c>
      <c r="J56" s="339">
        <f>VLOOKUP($B56,'[13]Div 9 forecast'!$D$549:$AF$630,'[13]Div 9 forecast'!AA$548,FALSE)</f>
        <v>49.284984915165865</v>
      </c>
      <c r="K56" s="339">
        <f>VLOOKUP($B56,'[13]Div 9 forecast'!$D$549:$AF$630,'[13]Div 9 forecast'!AB$548,FALSE)</f>
        <v>45.585653024466168</v>
      </c>
      <c r="L56" s="339">
        <f>VLOOKUP($B56,'[13]Div 9 forecast'!$D$549:$AF$630,'[13]Div 9 forecast'!AC$548,FALSE)</f>
        <v>81.265011734578991</v>
      </c>
      <c r="M56" s="339">
        <f>VLOOKUP($B56,'[13]Div 9 forecast'!$D$549:$AF$630,'[13]Div 9 forecast'!AD$548,FALSE)</f>
        <v>44.085950203333908</v>
      </c>
      <c r="N56" s="339">
        <f>VLOOKUP($B56,'[13]Div 9 forecast'!$D$549:$AF$630,'[13]Div 9 forecast'!AE$548,FALSE)</f>
        <v>26.746419370745478</v>
      </c>
      <c r="O56" s="339">
        <f>VLOOKUP($B56,'[13]Div 9 forecast'!$D$549:$AF$630,'[13]Div 9 forecast'!AF$548,FALSE)</f>
        <v>34.764540549785359</v>
      </c>
      <c r="P56" s="95">
        <f t="shared" si="4"/>
        <v>554.20453105239903</v>
      </c>
      <c r="Q56" s="73"/>
      <c r="R56" s="726"/>
      <c r="S56" s="73"/>
      <c r="Y56" s="725"/>
    </row>
    <row r="57" spans="1:25">
      <c r="A57" s="1036">
        <f t="shared" si="1"/>
        <v>46</v>
      </c>
      <c r="B57" s="570">
        <v>8340</v>
      </c>
      <c r="C57" s="73" t="s">
        <v>895</v>
      </c>
      <c r="D57" s="339">
        <f>VLOOKUP($B57,'[13]Div 9 forecast'!$D$549:$AF$630,'[13]Div 9 forecast'!U$548,FALSE)</f>
        <v>0</v>
      </c>
      <c r="E57" s="339">
        <f>VLOOKUP($B57,'[13]Div 9 forecast'!$D$549:$AF$630,'[13]Div 9 forecast'!V$548,FALSE)</f>
        <v>0</v>
      </c>
      <c r="F57" s="339">
        <f>VLOOKUP($B57,'[13]Div 9 forecast'!$D$549:$AF$630,'[13]Div 9 forecast'!W$548,FALSE)</f>
        <v>0</v>
      </c>
      <c r="G57" s="339">
        <f>VLOOKUP($B57,'[13]Div 9 forecast'!$D$549:$AF$630,'[13]Div 9 forecast'!X$548,FALSE)</f>
        <v>0</v>
      </c>
      <c r="H57" s="339">
        <f>VLOOKUP($B57,'[13]Div 9 forecast'!$D$549:$AF$630,'[13]Div 9 forecast'!Y$548,FALSE)</f>
        <v>0</v>
      </c>
      <c r="I57" s="339">
        <f>VLOOKUP($B57,'[13]Div 9 forecast'!$D$549:$AF$630,'[13]Div 9 forecast'!Z$548,FALSE)</f>
        <v>0</v>
      </c>
      <c r="J57" s="339">
        <f>VLOOKUP($B57,'[13]Div 9 forecast'!$D$549:$AF$630,'[13]Div 9 forecast'!AA$548,FALSE)</f>
        <v>0</v>
      </c>
      <c r="K57" s="339">
        <f>VLOOKUP($B57,'[13]Div 9 forecast'!$D$549:$AF$630,'[13]Div 9 forecast'!AB$548,FALSE)</f>
        <v>0</v>
      </c>
      <c r="L57" s="339">
        <f>VLOOKUP($B57,'[13]Div 9 forecast'!$D$549:$AF$630,'[13]Div 9 forecast'!AC$548,FALSE)</f>
        <v>0</v>
      </c>
      <c r="M57" s="339">
        <f>VLOOKUP($B57,'[13]Div 9 forecast'!$D$549:$AF$630,'[13]Div 9 forecast'!AD$548,FALSE)</f>
        <v>0</v>
      </c>
      <c r="N57" s="339">
        <f>VLOOKUP($B57,'[13]Div 9 forecast'!$D$549:$AF$630,'[13]Div 9 forecast'!AE$548,FALSE)</f>
        <v>0</v>
      </c>
      <c r="O57" s="339">
        <f>VLOOKUP($B57,'[13]Div 9 forecast'!$D$549:$AF$630,'[13]Div 9 forecast'!AF$548,FALSE)</f>
        <v>0</v>
      </c>
      <c r="P57" s="95">
        <f t="shared" si="4"/>
        <v>0</v>
      </c>
      <c r="Q57" s="73"/>
      <c r="R57" s="726"/>
      <c r="S57" s="73"/>
      <c r="Y57" s="725"/>
    </row>
    <row r="58" spans="1:25">
      <c r="A58" s="1036">
        <f t="shared" si="1"/>
        <v>47</v>
      </c>
      <c r="B58" s="570">
        <v>8350</v>
      </c>
      <c r="C58" s="73" t="s">
        <v>896</v>
      </c>
      <c r="D58" s="339">
        <f>VLOOKUP($B58,'[13]Div 9 forecast'!$D$549:$AF$630,'[13]Div 9 forecast'!U$548,FALSE)</f>
        <v>0</v>
      </c>
      <c r="E58" s="339">
        <f>VLOOKUP($B58,'[13]Div 9 forecast'!$D$549:$AF$630,'[13]Div 9 forecast'!V$548,FALSE)</f>
        <v>0</v>
      </c>
      <c r="F58" s="339">
        <f>VLOOKUP($B58,'[13]Div 9 forecast'!$D$549:$AF$630,'[13]Div 9 forecast'!W$548,FALSE)</f>
        <v>0</v>
      </c>
      <c r="G58" s="339">
        <f>VLOOKUP($B58,'[13]Div 9 forecast'!$D$549:$AF$630,'[13]Div 9 forecast'!X$548,FALSE)</f>
        <v>0</v>
      </c>
      <c r="H58" s="339">
        <f>VLOOKUP($B58,'[13]Div 9 forecast'!$D$549:$AF$630,'[13]Div 9 forecast'!Y$548,FALSE)</f>
        <v>0</v>
      </c>
      <c r="I58" s="339">
        <f>VLOOKUP($B58,'[13]Div 9 forecast'!$D$549:$AF$630,'[13]Div 9 forecast'!Z$548,FALSE)</f>
        <v>0</v>
      </c>
      <c r="J58" s="339">
        <f>VLOOKUP($B58,'[13]Div 9 forecast'!$D$549:$AF$630,'[13]Div 9 forecast'!AA$548,FALSE)</f>
        <v>0</v>
      </c>
      <c r="K58" s="339">
        <f>VLOOKUP($B58,'[13]Div 9 forecast'!$D$549:$AF$630,'[13]Div 9 forecast'!AB$548,FALSE)</f>
        <v>0</v>
      </c>
      <c r="L58" s="339">
        <f>VLOOKUP($B58,'[13]Div 9 forecast'!$D$549:$AF$630,'[13]Div 9 forecast'!AC$548,FALSE)</f>
        <v>0</v>
      </c>
      <c r="M58" s="339">
        <f>VLOOKUP($B58,'[13]Div 9 forecast'!$D$549:$AF$630,'[13]Div 9 forecast'!AD$548,FALSE)</f>
        <v>0</v>
      </c>
      <c r="N58" s="339">
        <f>VLOOKUP($B58,'[13]Div 9 forecast'!$D$549:$AF$630,'[13]Div 9 forecast'!AE$548,FALSE)</f>
        <v>0</v>
      </c>
      <c r="O58" s="339">
        <f>VLOOKUP($B58,'[13]Div 9 forecast'!$D$549:$AF$630,'[13]Div 9 forecast'!AF$548,FALSE)</f>
        <v>0</v>
      </c>
      <c r="P58" s="95">
        <f t="shared" si="4"/>
        <v>0</v>
      </c>
      <c r="Q58" s="73"/>
      <c r="R58" s="726"/>
      <c r="S58" s="73"/>
      <c r="Y58" s="725"/>
    </row>
    <row r="59" spans="1:25">
      <c r="A59" s="1036">
        <f t="shared" si="1"/>
        <v>48</v>
      </c>
      <c r="B59" s="570">
        <v>8360</v>
      </c>
      <c r="C59" s="73" t="s">
        <v>897</v>
      </c>
      <c r="D59" s="339">
        <f>VLOOKUP($B59,'[13]Div 9 forecast'!$D$549:$AF$630,'[13]Div 9 forecast'!U$548,FALSE)</f>
        <v>0</v>
      </c>
      <c r="E59" s="339">
        <f>VLOOKUP($B59,'[13]Div 9 forecast'!$D$549:$AF$630,'[13]Div 9 forecast'!V$548,FALSE)</f>
        <v>0</v>
      </c>
      <c r="F59" s="339">
        <f>VLOOKUP($B59,'[13]Div 9 forecast'!$D$549:$AF$630,'[13]Div 9 forecast'!W$548,FALSE)</f>
        <v>0</v>
      </c>
      <c r="G59" s="339">
        <f>VLOOKUP($B59,'[13]Div 9 forecast'!$D$549:$AF$630,'[13]Div 9 forecast'!X$548,FALSE)</f>
        <v>0</v>
      </c>
      <c r="H59" s="339">
        <f>VLOOKUP($B59,'[13]Div 9 forecast'!$D$549:$AF$630,'[13]Div 9 forecast'!Y$548,FALSE)</f>
        <v>0</v>
      </c>
      <c r="I59" s="339">
        <f>VLOOKUP($B59,'[13]Div 9 forecast'!$D$549:$AF$630,'[13]Div 9 forecast'!Z$548,FALSE)</f>
        <v>0</v>
      </c>
      <c r="J59" s="339">
        <f>VLOOKUP($B59,'[13]Div 9 forecast'!$D$549:$AF$630,'[13]Div 9 forecast'!AA$548,FALSE)</f>
        <v>0</v>
      </c>
      <c r="K59" s="339">
        <f>VLOOKUP($B59,'[13]Div 9 forecast'!$D$549:$AF$630,'[13]Div 9 forecast'!AB$548,FALSE)</f>
        <v>0</v>
      </c>
      <c r="L59" s="339">
        <f>VLOOKUP($B59,'[13]Div 9 forecast'!$D$549:$AF$630,'[13]Div 9 forecast'!AC$548,FALSE)</f>
        <v>0</v>
      </c>
      <c r="M59" s="339">
        <f>VLOOKUP($B59,'[13]Div 9 forecast'!$D$549:$AF$630,'[13]Div 9 forecast'!AD$548,FALSE)</f>
        <v>0</v>
      </c>
      <c r="N59" s="339">
        <f>VLOOKUP($B59,'[13]Div 9 forecast'!$D$549:$AF$630,'[13]Div 9 forecast'!AE$548,FALSE)</f>
        <v>0</v>
      </c>
      <c r="O59" s="339">
        <f>VLOOKUP($B59,'[13]Div 9 forecast'!$D$549:$AF$630,'[13]Div 9 forecast'!AF$548,FALSE)</f>
        <v>0</v>
      </c>
      <c r="P59" s="95">
        <f t="shared" ref="P59:P96" si="5">SUM(D59:O59)</f>
        <v>0</v>
      </c>
      <c r="Q59" s="73"/>
      <c r="R59" s="726"/>
      <c r="S59" s="73"/>
      <c r="Y59" s="725"/>
    </row>
    <row r="60" spans="1:25">
      <c r="A60" s="1036">
        <f t="shared" si="1"/>
        <v>49</v>
      </c>
      <c r="B60" s="570">
        <v>8370</v>
      </c>
      <c r="C60" s="73" t="s">
        <v>1293</v>
      </c>
      <c r="D60" s="339">
        <f>VLOOKUP($B60,'[13]Div 9 forecast'!$D$549:$AF$630,'[13]Div 9 forecast'!U$548,FALSE)</f>
        <v>0</v>
      </c>
      <c r="E60" s="339">
        <f>VLOOKUP($B60,'[13]Div 9 forecast'!$D$549:$AF$630,'[13]Div 9 forecast'!V$548,FALSE)</f>
        <v>0</v>
      </c>
      <c r="F60" s="339">
        <f>VLOOKUP($B60,'[13]Div 9 forecast'!$D$549:$AF$630,'[13]Div 9 forecast'!W$548,FALSE)</f>
        <v>0</v>
      </c>
      <c r="G60" s="339">
        <f>VLOOKUP($B60,'[13]Div 9 forecast'!$D$549:$AF$630,'[13]Div 9 forecast'!X$548,FALSE)</f>
        <v>0</v>
      </c>
      <c r="H60" s="339">
        <f>VLOOKUP($B60,'[13]Div 9 forecast'!$D$549:$AF$630,'[13]Div 9 forecast'!Y$548,FALSE)</f>
        <v>0</v>
      </c>
      <c r="I60" s="339">
        <f>VLOOKUP($B60,'[13]Div 9 forecast'!$D$549:$AF$630,'[13]Div 9 forecast'!Z$548,FALSE)</f>
        <v>0</v>
      </c>
      <c r="J60" s="339">
        <f>VLOOKUP($B60,'[13]Div 9 forecast'!$D$549:$AF$630,'[13]Div 9 forecast'!AA$548,FALSE)</f>
        <v>0</v>
      </c>
      <c r="K60" s="339">
        <f>VLOOKUP($B60,'[13]Div 9 forecast'!$D$549:$AF$630,'[13]Div 9 forecast'!AB$548,FALSE)</f>
        <v>0</v>
      </c>
      <c r="L60" s="339">
        <f>VLOOKUP($B60,'[13]Div 9 forecast'!$D$549:$AF$630,'[13]Div 9 forecast'!AC$548,FALSE)</f>
        <v>0</v>
      </c>
      <c r="M60" s="339">
        <f>VLOOKUP($B60,'[13]Div 9 forecast'!$D$549:$AF$630,'[13]Div 9 forecast'!AD$548,FALSE)</f>
        <v>0</v>
      </c>
      <c r="N60" s="339">
        <f>VLOOKUP($B60,'[13]Div 9 forecast'!$D$549:$AF$630,'[13]Div 9 forecast'!AE$548,FALSE)</f>
        <v>0</v>
      </c>
      <c r="O60" s="339">
        <f>VLOOKUP($B60,'[13]Div 9 forecast'!$D$549:$AF$630,'[13]Div 9 forecast'!AF$548,FALSE)</f>
        <v>0</v>
      </c>
      <c r="P60" s="95">
        <f t="shared" si="5"/>
        <v>0</v>
      </c>
      <c r="Q60" s="73"/>
      <c r="R60" s="726"/>
      <c r="S60" s="73"/>
      <c r="Y60" s="725"/>
    </row>
    <row r="61" spans="1:25">
      <c r="A61" s="1036">
        <f t="shared" si="1"/>
        <v>50</v>
      </c>
      <c r="B61" s="570">
        <v>8410</v>
      </c>
      <c r="C61" s="73" t="s">
        <v>187</v>
      </c>
      <c r="D61" s="339">
        <f>VLOOKUP($B61,'[13]Div 9 forecast'!$D$549:$AF$630,'[13]Div 9 forecast'!U$548,FALSE)</f>
        <v>16447.114532073039</v>
      </c>
      <c r="E61" s="339">
        <f>VLOOKUP($B61,'[13]Div 9 forecast'!$D$549:$AF$630,'[13]Div 9 forecast'!V$548,FALSE)</f>
        <v>16738.357264831247</v>
      </c>
      <c r="F61" s="339">
        <f>VLOOKUP($B61,'[13]Div 9 forecast'!$D$549:$AF$630,'[13]Div 9 forecast'!W$548,FALSE)</f>
        <v>17850.108591525455</v>
      </c>
      <c r="G61" s="339">
        <f>VLOOKUP($B61,'[13]Div 9 forecast'!$D$549:$AF$630,'[13]Div 9 forecast'!X$548,FALSE)</f>
        <v>21661.801297616272</v>
      </c>
      <c r="H61" s="339">
        <f>VLOOKUP($B61,'[13]Div 9 forecast'!$D$549:$AF$630,'[13]Div 9 forecast'!Y$548,FALSE)</f>
        <v>21205.178467003199</v>
      </c>
      <c r="I61" s="339">
        <f>VLOOKUP($B61,'[13]Div 9 forecast'!$D$549:$AF$630,'[13]Div 9 forecast'!Z$548,FALSE)</f>
        <v>21121.2162807329</v>
      </c>
      <c r="J61" s="339">
        <f>VLOOKUP($B61,'[13]Div 9 forecast'!$D$549:$AF$630,'[13]Div 9 forecast'!AA$548,FALSE)</f>
        <v>20853.542935541926</v>
      </c>
      <c r="K61" s="339">
        <f>VLOOKUP($B61,'[13]Div 9 forecast'!$D$549:$AF$630,'[13]Div 9 forecast'!AB$548,FALSE)</f>
        <v>21528.403640890909</v>
      </c>
      <c r="L61" s="339">
        <f>VLOOKUP($B61,'[13]Div 9 forecast'!$D$549:$AF$630,'[13]Div 9 forecast'!AC$548,FALSE)</f>
        <v>20872.725646163293</v>
      </c>
      <c r="M61" s="339">
        <f>VLOOKUP($B61,'[13]Div 9 forecast'!$D$549:$AF$630,'[13]Div 9 forecast'!AD$548,FALSE)</f>
        <v>17616.174384847647</v>
      </c>
      <c r="N61" s="339">
        <f>VLOOKUP($B61,'[13]Div 9 forecast'!$D$549:$AF$630,'[13]Div 9 forecast'!AE$548,FALSE)</f>
        <v>17185.373106536626</v>
      </c>
      <c r="O61" s="339">
        <f>VLOOKUP($B61,'[13]Div 9 forecast'!$D$549:$AF$630,'[13]Div 9 forecast'!AF$548,FALSE)</f>
        <v>19639.80920594624</v>
      </c>
      <c r="P61" s="95">
        <f t="shared" si="5"/>
        <v>232719.80535370877</v>
      </c>
      <c r="Q61" s="73"/>
      <c r="R61" s="726"/>
      <c r="S61" s="73"/>
      <c r="Y61" s="725"/>
    </row>
    <row r="62" spans="1:25">
      <c r="A62" s="1036">
        <f t="shared" si="1"/>
        <v>51</v>
      </c>
      <c r="B62" s="669">
        <v>8500</v>
      </c>
      <c r="C62" s="72" t="s">
        <v>898</v>
      </c>
      <c r="D62" s="339">
        <f>VLOOKUP($B62,'[13]Div 9 forecast'!$D$549:$AF$630,'[13]Div 9 forecast'!U$548,FALSE)</f>
        <v>1345.6897837346971</v>
      </c>
      <c r="E62" s="339">
        <f>VLOOKUP($B62,'[13]Div 9 forecast'!$D$549:$AF$630,'[13]Div 9 forecast'!V$548,FALSE)</f>
        <v>2332.5669520148826</v>
      </c>
      <c r="F62" s="339">
        <f>VLOOKUP($B62,'[13]Div 9 forecast'!$D$549:$AF$630,'[13]Div 9 forecast'!W$548,FALSE)</f>
        <v>1914.0818116435009</v>
      </c>
      <c r="G62" s="339">
        <f>VLOOKUP($B62,'[13]Div 9 forecast'!$D$549:$AF$630,'[13]Div 9 forecast'!X$548,FALSE)</f>
        <v>946.58671748546442</v>
      </c>
      <c r="H62" s="339">
        <f>VLOOKUP($B62,'[13]Div 9 forecast'!$D$549:$AF$630,'[13]Div 9 forecast'!Y$548,FALSE)</f>
        <v>1055.2888041657197</v>
      </c>
      <c r="I62" s="339">
        <f>VLOOKUP($B62,'[13]Div 9 forecast'!$D$549:$AF$630,'[13]Div 9 forecast'!Z$548,FALSE)</f>
        <v>1185.4629079680008</v>
      </c>
      <c r="J62" s="339">
        <f>VLOOKUP($B62,'[13]Div 9 forecast'!$D$549:$AF$630,'[13]Div 9 forecast'!AA$548,FALSE)</f>
        <v>1074.5241528375345</v>
      </c>
      <c r="K62" s="339">
        <f>VLOOKUP($B62,'[13]Div 9 forecast'!$D$549:$AF$630,'[13]Div 9 forecast'!AB$548,FALSE)</f>
        <v>951.86525502796235</v>
      </c>
      <c r="L62" s="339">
        <f>VLOOKUP($B62,'[13]Div 9 forecast'!$D$549:$AF$630,'[13]Div 9 forecast'!AC$548,FALSE)</f>
        <v>1132.24451353106</v>
      </c>
      <c r="M62" s="339">
        <f>VLOOKUP($B62,'[13]Div 9 forecast'!$D$549:$AF$630,'[13]Div 9 forecast'!AD$548,FALSE)</f>
        <v>650.5385974133942</v>
      </c>
      <c r="N62" s="339">
        <f>VLOOKUP($B62,'[13]Div 9 forecast'!$D$549:$AF$630,'[13]Div 9 forecast'!AE$548,FALSE)</f>
        <v>696.69448755194867</v>
      </c>
      <c r="O62" s="339">
        <f>VLOOKUP($B62,'[13]Div 9 forecast'!$D$549:$AF$630,'[13]Div 9 forecast'!AF$548,FALSE)</f>
        <v>1116.4983676415745</v>
      </c>
      <c r="P62" s="95">
        <f t="shared" si="5"/>
        <v>14402.042351015738</v>
      </c>
      <c r="Q62" s="73"/>
      <c r="R62" s="726"/>
      <c r="S62" s="73"/>
      <c r="Y62" s="725"/>
    </row>
    <row r="63" spans="1:25">
      <c r="A63" s="1036">
        <f t="shared" si="1"/>
        <v>52</v>
      </c>
      <c r="B63" s="570">
        <v>8520</v>
      </c>
      <c r="C63" s="73" t="s">
        <v>1294</v>
      </c>
      <c r="D63" s="339">
        <f>VLOOKUP($B63,'[13]Div 9 forecast'!$D$549:$AF$630,'[13]Div 9 forecast'!U$548,FALSE)</f>
        <v>0</v>
      </c>
      <c r="E63" s="339">
        <f>VLOOKUP($B63,'[13]Div 9 forecast'!$D$549:$AF$630,'[13]Div 9 forecast'!V$548,FALSE)</f>
        <v>0</v>
      </c>
      <c r="F63" s="339">
        <f>VLOOKUP($B63,'[13]Div 9 forecast'!$D$549:$AF$630,'[13]Div 9 forecast'!W$548,FALSE)</f>
        <v>0</v>
      </c>
      <c r="G63" s="339">
        <f>VLOOKUP($B63,'[13]Div 9 forecast'!$D$549:$AF$630,'[13]Div 9 forecast'!X$548,FALSE)</f>
        <v>0</v>
      </c>
      <c r="H63" s="339">
        <f>VLOOKUP($B63,'[13]Div 9 forecast'!$D$549:$AF$630,'[13]Div 9 forecast'!Y$548,FALSE)</f>
        <v>0</v>
      </c>
      <c r="I63" s="339">
        <f>VLOOKUP($B63,'[13]Div 9 forecast'!$D$549:$AF$630,'[13]Div 9 forecast'!Z$548,FALSE)</f>
        <v>0</v>
      </c>
      <c r="J63" s="339">
        <f>VLOOKUP($B63,'[13]Div 9 forecast'!$D$549:$AF$630,'[13]Div 9 forecast'!AA$548,FALSE)</f>
        <v>0</v>
      </c>
      <c r="K63" s="339">
        <f>VLOOKUP($B63,'[13]Div 9 forecast'!$D$549:$AF$630,'[13]Div 9 forecast'!AB$548,FALSE)</f>
        <v>0</v>
      </c>
      <c r="L63" s="339">
        <f>VLOOKUP($B63,'[13]Div 9 forecast'!$D$549:$AF$630,'[13]Div 9 forecast'!AC$548,FALSE)</f>
        <v>0</v>
      </c>
      <c r="M63" s="339">
        <f>VLOOKUP($B63,'[13]Div 9 forecast'!$D$549:$AF$630,'[13]Div 9 forecast'!AD$548,FALSE)</f>
        <v>0</v>
      </c>
      <c r="N63" s="339">
        <f>VLOOKUP($B63,'[13]Div 9 forecast'!$D$549:$AF$630,'[13]Div 9 forecast'!AE$548,FALSE)</f>
        <v>0</v>
      </c>
      <c r="O63" s="339">
        <f>VLOOKUP($B63,'[13]Div 9 forecast'!$D$549:$AF$630,'[13]Div 9 forecast'!AF$548,FALSE)</f>
        <v>0</v>
      </c>
      <c r="P63" s="95">
        <f t="shared" si="5"/>
        <v>0</v>
      </c>
      <c r="Q63" s="73"/>
      <c r="R63" s="726"/>
      <c r="S63" s="73"/>
      <c r="Y63" s="725"/>
    </row>
    <row r="64" spans="1:25">
      <c r="A64" s="1036">
        <f t="shared" si="1"/>
        <v>53</v>
      </c>
      <c r="B64" s="570">
        <v>8550</v>
      </c>
      <c r="C64" s="95" t="s">
        <v>1343</v>
      </c>
      <c r="D64" s="339">
        <f>VLOOKUP($B64,'[13]Div 9 forecast'!$D$549:$AF$630,'[13]Div 9 forecast'!U$548,FALSE)</f>
        <v>16.885670325722362</v>
      </c>
      <c r="E64" s="339">
        <f>VLOOKUP($B64,'[13]Div 9 forecast'!$D$549:$AF$630,'[13]Div 9 forecast'!V$548,FALSE)</f>
        <v>19.220023224403189</v>
      </c>
      <c r="F64" s="339">
        <f>VLOOKUP($B64,'[13]Div 9 forecast'!$D$549:$AF$630,'[13]Div 9 forecast'!W$548,FALSE)</f>
        <v>19.335652363359241</v>
      </c>
      <c r="G64" s="339">
        <f>VLOOKUP($B64,'[13]Div 9 forecast'!$D$549:$AF$630,'[13]Div 9 forecast'!X$548,FALSE)</f>
        <v>16.74701563442984</v>
      </c>
      <c r="H64" s="339">
        <f>VLOOKUP($B64,'[13]Div 9 forecast'!$D$549:$AF$630,'[13]Div 9 forecast'!Y$548,FALSE)</f>
        <v>17.016698909514169</v>
      </c>
      <c r="I64" s="339">
        <f>VLOOKUP($B64,'[13]Div 9 forecast'!$D$549:$AF$630,'[13]Div 9 forecast'!Z$548,FALSE)</f>
        <v>15.878841093132381</v>
      </c>
      <c r="J64" s="339">
        <f>VLOOKUP($B64,'[13]Div 9 forecast'!$D$549:$AF$630,'[13]Div 9 forecast'!AA$548,FALSE)</f>
        <v>16.750779943167473</v>
      </c>
      <c r="K64" s="339">
        <f>VLOOKUP($B64,'[13]Div 9 forecast'!$D$549:$AF$630,'[13]Div 9 forecast'!AB$548,FALSE)</f>
        <v>15.660208768311715</v>
      </c>
      <c r="L64" s="339">
        <f>VLOOKUP($B64,'[13]Div 9 forecast'!$D$549:$AF$630,'[13]Div 9 forecast'!AC$548,FALSE)</f>
        <v>15.655043786555433</v>
      </c>
      <c r="M64" s="339">
        <f>VLOOKUP($B64,'[13]Div 9 forecast'!$D$549:$AF$630,'[13]Div 9 forecast'!AD$548,FALSE)</f>
        <v>17.95152877392373</v>
      </c>
      <c r="N64" s="339">
        <f>VLOOKUP($B64,'[13]Div 9 forecast'!$D$549:$AF$630,'[13]Div 9 forecast'!AE$548,FALSE)</f>
        <v>17.043222165212562</v>
      </c>
      <c r="O64" s="339">
        <f>VLOOKUP($B64,'[13]Div 9 forecast'!$D$549:$AF$630,'[13]Div 9 forecast'!AF$548,FALSE)</f>
        <v>17.863903147378959</v>
      </c>
      <c r="P64" s="95">
        <f t="shared" si="5"/>
        <v>206.00858813511107</v>
      </c>
      <c r="Q64" s="73"/>
      <c r="R64" s="726"/>
      <c r="S64" s="73"/>
      <c r="Y64" s="725"/>
    </row>
    <row r="65" spans="1:25">
      <c r="A65" s="1036">
        <f t="shared" si="1"/>
        <v>54</v>
      </c>
      <c r="B65" s="570">
        <v>8560</v>
      </c>
      <c r="C65" s="73" t="s">
        <v>899</v>
      </c>
      <c r="D65" s="339">
        <f>VLOOKUP($B65,'[13]Div 9 forecast'!$D$549:$AF$630,'[13]Div 9 forecast'!U$548,FALSE)</f>
        <v>12818.35848938864</v>
      </c>
      <c r="E65" s="339">
        <f>VLOOKUP($B65,'[13]Div 9 forecast'!$D$549:$AF$630,'[13]Div 9 forecast'!V$548,FALSE)</f>
        <v>13029.947465601006</v>
      </c>
      <c r="F65" s="339">
        <f>VLOOKUP($B65,'[13]Div 9 forecast'!$D$549:$AF$630,'[13]Div 9 forecast'!W$548,FALSE)</f>
        <v>14326.451022339517</v>
      </c>
      <c r="G65" s="339">
        <f>VLOOKUP($B65,'[13]Div 9 forecast'!$D$549:$AF$630,'[13]Div 9 forecast'!X$548,FALSE)</f>
        <v>15353.342750797099</v>
      </c>
      <c r="H65" s="339">
        <f>VLOOKUP($B65,'[13]Div 9 forecast'!$D$549:$AF$630,'[13]Div 9 forecast'!Y$548,FALSE)</f>
        <v>15050.009865758377</v>
      </c>
      <c r="I65" s="339">
        <f>VLOOKUP($B65,'[13]Div 9 forecast'!$D$549:$AF$630,'[13]Div 9 forecast'!Z$548,FALSE)</f>
        <v>15302.372779323701</v>
      </c>
      <c r="J65" s="339">
        <f>VLOOKUP($B65,'[13]Div 9 forecast'!$D$549:$AF$630,'[13]Div 9 forecast'!AA$548,FALSE)</f>
        <v>15246.096441722235</v>
      </c>
      <c r="K65" s="339">
        <f>VLOOKUP($B65,'[13]Div 9 forecast'!$D$549:$AF$630,'[13]Div 9 forecast'!AB$548,FALSE)</f>
        <v>15284.976542074395</v>
      </c>
      <c r="L65" s="339">
        <f>VLOOKUP($B65,'[13]Div 9 forecast'!$D$549:$AF$630,'[13]Div 9 forecast'!AC$548,FALSE)</f>
        <v>16787.429837986128</v>
      </c>
      <c r="M65" s="339">
        <f>VLOOKUP($B65,'[13]Div 9 forecast'!$D$549:$AF$630,'[13]Div 9 forecast'!AD$548,FALSE)</f>
        <v>13832.70150827914</v>
      </c>
      <c r="N65" s="339">
        <f>VLOOKUP($B65,'[13]Div 9 forecast'!$D$549:$AF$630,'[13]Div 9 forecast'!AE$548,FALSE)</f>
        <v>13851.550770669048</v>
      </c>
      <c r="O65" s="339">
        <f>VLOOKUP($B65,'[13]Div 9 forecast'!$D$549:$AF$630,'[13]Div 9 forecast'!AF$548,FALSE)</f>
        <v>14776.200174075691</v>
      </c>
      <c r="P65" s="95">
        <f t="shared" si="5"/>
        <v>175659.43764801498</v>
      </c>
      <c r="Q65" s="73"/>
      <c r="R65" s="726"/>
      <c r="S65" s="73"/>
      <c r="Y65" s="725"/>
    </row>
    <row r="66" spans="1:25">
      <c r="A66" s="1036">
        <f t="shared" si="1"/>
        <v>55</v>
      </c>
      <c r="B66" s="570">
        <v>8570</v>
      </c>
      <c r="C66" s="73" t="s">
        <v>900</v>
      </c>
      <c r="D66" s="339">
        <f>VLOOKUP($B66,'[13]Div 9 forecast'!$D$549:$AF$630,'[13]Div 9 forecast'!U$548,FALSE)</f>
        <v>963.67963287460543</v>
      </c>
      <c r="E66" s="339">
        <f>VLOOKUP($B66,'[13]Div 9 forecast'!$D$549:$AF$630,'[13]Div 9 forecast'!V$548,FALSE)</f>
        <v>1027.3562036469796</v>
      </c>
      <c r="F66" s="339">
        <f>VLOOKUP($B66,'[13]Div 9 forecast'!$D$549:$AF$630,'[13]Div 9 forecast'!W$548,FALSE)</f>
        <v>1139.3576535854379</v>
      </c>
      <c r="G66" s="339">
        <f>VLOOKUP($B66,'[13]Div 9 forecast'!$D$549:$AF$630,'[13]Div 9 forecast'!X$548,FALSE)</f>
        <v>975.48851735098663</v>
      </c>
      <c r="H66" s="339">
        <f>VLOOKUP($B66,'[13]Div 9 forecast'!$D$549:$AF$630,'[13]Div 9 forecast'!Y$548,FALSE)</f>
        <v>955.64557660258583</v>
      </c>
      <c r="I66" s="339">
        <f>VLOOKUP($B66,'[13]Div 9 forecast'!$D$549:$AF$630,'[13]Div 9 forecast'!Z$548,FALSE)</f>
        <v>962.98995355907743</v>
      </c>
      <c r="J66" s="339">
        <f>VLOOKUP($B66,'[13]Div 9 forecast'!$D$549:$AF$630,'[13]Div 9 forecast'!AA$548,FALSE)</f>
        <v>999.52009655162306</v>
      </c>
      <c r="K66" s="339">
        <f>VLOOKUP($B66,'[13]Div 9 forecast'!$D$549:$AF$630,'[13]Div 9 forecast'!AB$548,FALSE)</f>
        <v>943.60927201699906</v>
      </c>
      <c r="L66" s="339">
        <f>VLOOKUP($B66,'[13]Div 9 forecast'!$D$549:$AF$630,'[13]Div 9 forecast'!AC$548,FALSE)</f>
        <v>1093.9155274288096</v>
      </c>
      <c r="M66" s="339">
        <f>VLOOKUP($B66,'[13]Div 9 forecast'!$D$549:$AF$630,'[13]Div 9 forecast'!AD$548,FALSE)</f>
        <v>1008.9293820216667</v>
      </c>
      <c r="N66" s="339">
        <f>VLOOKUP($B66,'[13]Div 9 forecast'!$D$549:$AF$630,'[13]Div 9 forecast'!AE$548,FALSE)</f>
        <v>893.83471090460739</v>
      </c>
      <c r="O66" s="339">
        <f>VLOOKUP($B66,'[13]Div 9 forecast'!$D$549:$AF$630,'[13]Div 9 forecast'!AF$548,FALSE)</f>
        <v>977.94579402252259</v>
      </c>
      <c r="P66" s="95">
        <f t="shared" si="5"/>
        <v>11942.272320565902</v>
      </c>
      <c r="Q66" s="73"/>
      <c r="R66" s="726"/>
      <c r="S66" s="73"/>
      <c r="Y66" s="725"/>
    </row>
    <row r="67" spans="1:25">
      <c r="A67" s="1036">
        <f>A66+1</f>
        <v>56</v>
      </c>
      <c r="B67" s="570">
        <v>8630</v>
      </c>
      <c r="C67" s="73" t="s">
        <v>901</v>
      </c>
      <c r="D67" s="339">
        <f>VLOOKUP($B67,'[13]Div 9 forecast'!$D$549:$AF$630,'[13]Div 9 forecast'!U$548,FALSE)</f>
        <v>303.33973040789363</v>
      </c>
      <c r="E67" s="339">
        <f>VLOOKUP($B67,'[13]Div 9 forecast'!$D$549:$AF$630,'[13]Div 9 forecast'!V$548,FALSE)</f>
        <v>308.49871141546691</v>
      </c>
      <c r="F67" s="339">
        <f>VLOOKUP($B67,'[13]Div 9 forecast'!$D$549:$AF$630,'[13]Div 9 forecast'!W$548,FALSE)</f>
        <v>328.2543448124494</v>
      </c>
      <c r="G67" s="339">
        <f>VLOOKUP($B67,'[13]Div 9 forecast'!$D$549:$AF$630,'[13]Div 9 forecast'!X$548,FALSE)</f>
        <v>375.63175979478484</v>
      </c>
      <c r="H67" s="339">
        <f>VLOOKUP($B67,'[13]Div 9 forecast'!$D$549:$AF$630,'[13]Div 9 forecast'!Y$548,FALSE)</f>
        <v>367.12308093332422</v>
      </c>
      <c r="I67" s="339">
        <f>VLOOKUP($B67,'[13]Div 9 forecast'!$D$549:$AF$630,'[13]Div 9 forecast'!Z$548,FALSE)</f>
        <v>368.15112541068828</v>
      </c>
      <c r="J67" s="339">
        <f>VLOOKUP($B67,'[13]Div 9 forecast'!$D$549:$AF$630,'[13]Div 9 forecast'!AA$548,FALSE)</f>
        <v>363.96185853911754</v>
      </c>
      <c r="K67" s="339">
        <f>VLOOKUP($B67,'[13]Div 9 forecast'!$D$549:$AF$630,'[13]Div 9 forecast'!AB$548,FALSE)</f>
        <v>371.61641837791348</v>
      </c>
      <c r="L67" s="339">
        <f>VLOOKUP($B67,'[13]Div 9 forecast'!$D$549:$AF$630,'[13]Div 9 forecast'!AC$548,FALSE)</f>
        <v>352.61824382824767</v>
      </c>
      <c r="M67" s="339">
        <f>VLOOKUP($B67,'[13]Div 9 forecast'!$D$549:$AF$630,'[13]Div 9 forecast'!AD$548,FALSE)</f>
        <v>324.38817804991686</v>
      </c>
      <c r="N67" s="339">
        <f>VLOOKUP($B67,'[13]Div 9 forecast'!$D$549:$AF$630,'[13]Div 9 forecast'!AE$548,FALSE)</f>
        <v>315.15896232032435</v>
      </c>
      <c r="O67" s="339">
        <f>VLOOKUP($B67,'[13]Div 9 forecast'!$D$549:$AF$630,'[13]Div 9 forecast'!AF$548,FALSE)</f>
        <v>361.84544739487501</v>
      </c>
      <c r="P67" s="95">
        <f t="shared" si="5"/>
        <v>4140.587861285002</v>
      </c>
      <c r="Q67" s="73"/>
      <c r="R67" s="726"/>
      <c r="S67" s="73"/>
      <c r="Y67" s="725"/>
    </row>
    <row r="68" spans="1:25">
      <c r="A68" s="1036">
        <f t="shared" si="1"/>
        <v>57</v>
      </c>
      <c r="B68" s="570">
        <v>8640</v>
      </c>
      <c r="C68" s="73" t="s">
        <v>1295</v>
      </c>
      <c r="D68" s="339">
        <f>VLOOKUP($B68,'[13]Div 9 forecast'!$D$549:$AF$630,'[13]Div 9 forecast'!U$548,FALSE)</f>
        <v>0</v>
      </c>
      <c r="E68" s="339">
        <f>VLOOKUP($B68,'[13]Div 9 forecast'!$D$549:$AF$630,'[13]Div 9 forecast'!V$548,FALSE)</f>
        <v>0</v>
      </c>
      <c r="F68" s="339">
        <f>VLOOKUP($B68,'[13]Div 9 forecast'!$D$549:$AF$630,'[13]Div 9 forecast'!W$548,FALSE)</f>
        <v>0</v>
      </c>
      <c r="G68" s="339">
        <f>VLOOKUP($B68,'[13]Div 9 forecast'!$D$549:$AF$630,'[13]Div 9 forecast'!X$548,FALSE)</f>
        <v>0</v>
      </c>
      <c r="H68" s="339">
        <f>VLOOKUP($B68,'[13]Div 9 forecast'!$D$549:$AF$630,'[13]Div 9 forecast'!Y$548,FALSE)</f>
        <v>0</v>
      </c>
      <c r="I68" s="339">
        <f>VLOOKUP($B68,'[13]Div 9 forecast'!$D$549:$AF$630,'[13]Div 9 forecast'!Z$548,FALSE)</f>
        <v>0</v>
      </c>
      <c r="J68" s="339">
        <f>VLOOKUP($B68,'[13]Div 9 forecast'!$D$549:$AF$630,'[13]Div 9 forecast'!AA$548,FALSE)</f>
        <v>0</v>
      </c>
      <c r="K68" s="339">
        <f>VLOOKUP($B68,'[13]Div 9 forecast'!$D$549:$AF$630,'[13]Div 9 forecast'!AB$548,FALSE)</f>
        <v>0</v>
      </c>
      <c r="L68" s="339">
        <f>VLOOKUP($B68,'[13]Div 9 forecast'!$D$549:$AF$630,'[13]Div 9 forecast'!AC$548,FALSE)</f>
        <v>0</v>
      </c>
      <c r="M68" s="339">
        <f>VLOOKUP($B68,'[13]Div 9 forecast'!$D$549:$AF$630,'[13]Div 9 forecast'!AD$548,FALSE)</f>
        <v>0</v>
      </c>
      <c r="N68" s="339">
        <f>VLOOKUP($B68,'[13]Div 9 forecast'!$D$549:$AF$630,'[13]Div 9 forecast'!AE$548,FALSE)</f>
        <v>0</v>
      </c>
      <c r="O68" s="339">
        <f>VLOOKUP($B68,'[13]Div 9 forecast'!$D$549:$AF$630,'[13]Div 9 forecast'!AF$548,FALSE)</f>
        <v>0</v>
      </c>
      <c r="P68" s="95">
        <f t="shared" si="5"/>
        <v>0</v>
      </c>
      <c r="Q68" s="73"/>
      <c r="R68" s="726"/>
      <c r="S68" s="73"/>
      <c r="Y68" s="725"/>
    </row>
    <row r="69" spans="1:25">
      <c r="A69" s="1036">
        <f t="shared" si="1"/>
        <v>58</v>
      </c>
      <c r="B69" s="570">
        <v>8650</v>
      </c>
      <c r="C69" s="73" t="s">
        <v>902</v>
      </c>
      <c r="D69" s="339">
        <f>VLOOKUP($B69,'[13]Div 9 forecast'!$D$549:$AF$630,'[13]Div 9 forecast'!U$548,FALSE)</f>
        <v>0</v>
      </c>
      <c r="E69" s="339">
        <f>VLOOKUP($B69,'[13]Div 9 forecast'!$D$549:$AF$630,'[13]Div 9 forecast'!V$548,FALSE)</f>
        <v>0</v>
      </c>
      <c r="F69" s="339">
        <f>VLOOKUP($B69,'[13]Div 9 forecast'!$D$549:$AF$630,'[13]Div 9 forecast'!W$548,FALSE)</f>
        <v>0</v>
      </c>
      <c r="G69" s="339">
        <f>VLOOKUP($B69,'[13]Div 9 forecast'!$D$549:$AF$630,'[13]Div 9 forecast'!X$548,FALSE)</f>
        <v>0</v>
      </c>
      <c r="H69" s="339">
        <f>VLOOKUP($B69,'[13]Div 9 forecast'!$D$549:$AF$630,'[13]Div 9 forecast'!Y$548,FALSE)</f>
        <v>0</v>
      </c>
      <c r="I69" s="339">
        <f>VLOOKUP($B69,'[13]Div 9 forecast'!$D$549:$AF$630,'[13]Div 9 forecast'!Z$548,FALSE)</f>
        <v>0</v>
      </c>
      <c r="J69" s="339">
        <f>VLOOKUP($B69,'[13]Div 9 forecast'!$D$549:$AF$630,'[13]Div 9 forecast'!AA$548,FALSE)</f>
        <v>0</v>
      </c>
      <c r="K69" s="339">
        <f>VLOOKUP($B69,'[13]Div 9 forecast'!$D$549:$AF$630,'[13]Div 9 forecast'!AB$548,FALSE)</f>
        <v>0</v>
      </c>
      <c r="L69" s="339">
        <f>VLOOKUP($B69,'[13]Div 9 forecast'!$D$549:$AF$630,'[13]Div 9 forecast'!AC$548,FALSE)</f>
        <v>0</v>
      </c>
      <c r="M69" s="339">
        <f>VLOOKUP($B69,'[13]Div 9 forecast'!$D$549:$AF$630,'[13]Div 9 forecast'!AD$548,FALSE)</f>
        <v>0</v>
      </c>
      <c r="N69" s="339">
        <f>VLOOKUP($B69,'[13]Div 9 forecast'!$D$549:$AF$630,'[13]Div 9 forecast'!AE$548,FALSE)</f>
        <v>0</v>
      </c>
      <c r="O69" s="339">
        <f>VLOOKUP($B69,'[13]Div 9 forecast'!$D$549:$AF$630,'[13]Div 9 forecast'!AF$548,FALSE)</f>
        <v>0</v>
      </c>
      <c r="P69" s="95">
        <f t="shared" si="5"/>
        <v>0</v>
      </c>
      <c r="Q69" s="73"/>
      <c r="R69" s="726"/>
      <c r="S69" s="73"/>
      <c r="Y69" s="725"/>
    </row>
    <row r="70" spans="1:25">
      <c r="A70" s="1036">
        <f t="shared" si="1"/>
        <v>59</v>
      </c>
      <c r="B70" s="570">
        <v>8700</v>
      </c>
      <c r="C70" s="73" t="s">
        <v>903</v>
      </c>
      <c r="D70" s="339">
        <f>VLOOKUP($B70,'[13]Div 9 forecast'!$D$549:$AF$630,'[13]Div 9 forecast'!U$548,FALSE)</f>
        <v>87253.98094407162</v>
      </c>
      <c r="E70" s="339">
        <f>VLOOKUP($B70,'[13]Div 9 forecast'!$D$549:$AF$630,'[13]Div 9 forecast'!V$548,FALSE)</f>
        <v>69811.326992280563</v>
      </c>
      <c r="F70" s="339">
        <f>VLOOKUP($B70,'[13]Div 9 forecast'!$D$549:$AF$630,'[13]Div 9 forecast'!W$548,FALSE)</f>
        <v>82668.754845316682</v>
      </c>
      <c r="G70" s="339">
        <f>VLOOKUP($B70,'[13]Div 9 forecast'!$D$549:$AF$630,'[13]Div 9 forecast'!X$548,FALSE)</f>
        <v>94477.425212630696</v>
      </c>
      <c r="H70" s="339">
        <f>VLOOKUP($B70,'[13]Div 9 forecast'!$D$549:$AF$630,'[13]Div 9 forecast'!Y$548,FALSE)</f>
        <v>99526.394251358943</v>
      </c>
      <c r="I70" s="339">
        <f>VLOOKUP($B70,'[13]Div 9 forecast'!$D$549:$AF$630,'[13]Div 9 forecast'!Z$548,FALSE)</f>
        <v>96840.52387156256</v>
      </c>
      <c r="J70" s="339">
        <f>VLOOKUP($B70,'[13]Div 9 forecast'!$D$549:$AF$630,'[13]Div 9 forecast'!AA$548,FALSE)</f>
        <v>98298.853052950144</v>
      </c>
      <c r="K70" s="339">
        <f>VLOOKUP($B70,'[13]Div 9 forecast'!$D$549:$AF$630,'[13]Div 9 forecast'!AB$548,FALSE)</f>
        <v>98800.290980057762</v>
      </c>
      <c r="L70" s="339">
        <f>VLOOKUP($B70,'[13]Div 9 forecast'!$D$549:$AF$630,'[13]Div 9 forecast'!AC$548,FALSE)</f>
        <v>116594.6079256575</v>
      </c>
      <c r="M70" s="339">
        <f>VLOOKUP($B70,'[13]Div 9 forecast'!$D$549:$AF$630,'[13]Div 9 forecast'!AD$548,FALSE)</f>
        <v>72645.412480969419</v>
      </c>
      <c r="N70" s="339">
        <f>VLOOKUP($B70,'[13]Div 9 forecast'!$D$549:$AF$630,'[13]Div 9 forecast'!AE$548,FALSE)</f>
        <v>73314.393508421548</v>
      </c>
      <c r="O70" s="339">
        <f>VLOOKUP($B70,'[13]Div 9 forecast'!$D$549:$AF$630,'[13]Div 9 forecast'!AF$548,FALSE)</f>
        <v>75947.460757411347</v>
      </c>
      <c r="P70" s="95">
        <f t="shared" si="5"/>
        <v>1066179.4248226888</v>
      </c>
      <c r="Q70" s="73"/>
      <c r="R70" s="726"/>
      <c r="S70" s="73"/>
      <c r="Y70" s="725"/>
    </row>
    <row r="71" spans="1:25">
      <c r="A71" s="1036">
        <f t="shared" si="1"/>
        <v>60</v>
      </c>
      <c r="B71" s="570">
        <v>8710</v>
      </c>
      <c r="C71" s="73" t="s">
        <v>904</v>
      </c>
      <c r="D71" s="339">
        <f>VLOOKUP($B71,'[13]Div 9 forecast'!$D$549:$AF$630,'[13]Div 9 forecast'!U$548,FALSE)</f>
        <v>32.647188453398016</v>
      </c>
      <c r="E71" s="339">
        <f>VLOOKUP($B71,'[13]Div 9 forecast'!$D$549:$AF$630,'[13]Div 9 forecast'!V$548,FALSE)</f>
        <v>37.160486269231605</v>
      </c>
      <c r="F71" s="339">
        <f>VLOOKUP($B71,'[13]Div 9 forecast'!$D$549:$AF$630,'[13]Div 9 forecast'!W$548,FALSE)</f>
        <v>37.384046614624111</v>
      </c>
      <c r="G71" s="339">
        <f>VLOOKUP($B71,'[13]Div 9 forecast'!$D$549:$AF$630,'[13]Div 9 forecast'!X$548,FALSE)</f>
        <v>32.379109914065225</v>
      </c>
      <c r="H71" s="339">
        <f>VLOOKUP($B71,'[13]Div 9 forecast'!$D$549:$AF$630,'[13]Div 9 forecast'!Y$548,FALSE)</f>
        <v>32.900522480731034</v>
      </c>
      <c r="I71" s="339">
        <f>VLOOKUP($B71,'[13]Div 9 forecast'!$D$549:$AF$630,'[13]Div 9 forecast'!Z$548,FALSE)</f>
        <v>30.70055897036924</v>
      </c>
      <c r="J71" s="339">
        <f>VLOOKUP($B71,'[13]Div 9 forecast'!$D$549:$AF$630,'[13]Div 9 forecast'!AA$548,FALSE)</f>
        <v>32.38638792520625</v>
      </c>
      <c r="K71" s="339">
        <f>VLOOKUP($B71,'[13]Div 9 forecast'!$D$549:$AF$630,'[13]Div 9 forecast'!AB$548,FALSE)</f>
        <v>30.277849621392331</v>
      </c>
      <c r="L71" s="339">
        <f>VLOOKUP($B71,'[13]Div 9 forecast'!$D$549:$AF$630,'[13]Div 9 forecast'!AC$548,FALSE)</f>
        <v>30.267863513082567</v>
      </c>
      <c r="M71" s="339">
        <f>VLOOKUP($B71,'[13]Div 9 forecast'!$D$549:$AF$630,'[13]Div 9 forecast'!AD$548,FALSE)</f>
        <v>34.707946537136564</v>
      </c>
      <c r="N71" s="339">
        <f>VLOOKUP($B71,'[13]Div 9 forecast'!$D$549:$AF$630,'[13]Div 9 forecast'!AE$548,FALSE)</f>
        <v>32.951803224135347</v>
      </c>
      <c r="O71" s="339">
        <f>VLOOKUP($B71,'[13]Div 9 forecast'!$D$549:$AF$630,'[13]Div 9 forecast'!AF$548,FALSE)</f>
        <v>34.538528901474422</v>
      </c>
      <c r="P71" s="95">
        <f t="shared" si="5"/>
        <v>398.30229242484671</v>
      </c>
      <c r="Q71" s="73"/>
      <c r="R71" s="726"/>
      <c r="S71" s="73"/>
      <c r="Y71" s="725"/>
    </row>
    <row r="72" spans="1:25">
      <c r="A72" s="1036">
        <f t="shared" si="1"/>
        <v>61</v>
      </c>
      <c r="B72" s="570">
        <v>8711</v>
      </c>
      <c r="C72" s="95" t="s">
        <v>188</v>
      </c>
      <c r="D72" s="339">
        <f>VLOOKUP($B72,'[13]Div 9 forecast'!$D$549:$AF$630,'[13]Div 9 forecast'!U$548,FALSE)</f>
        <v>8760.6684198618314</v>
      </c>
      <c r="E72" s="339">
        <f>VLOOKUP($B72,'[13]Div 9 forecast'!$D$549:$AF$630,'[13]Div 9 forecast'!V$548,FALSE)</f>
        <v>7498.59443946996</v>
      </c>
      <c r="F72" s="339">
        <f>VLOOKUP($B72,'[13]Div 9 forecast'!$D$549:$AF$630,'[13]Div 9 forecast'!W$548,FALSE)</f>
        <v>11927.870783678705</v>
      </c>
      <c r="G72" s="339">
        <f>VLOOKUP($B72,'[13]Div 9 forecast'!$D$549:$AF$630,'[13]Div 9 forecast'!X$548,FALSE)</f>
        <v>8376.3304357184188</v>
      </c>
      <c r="H72" s="339">
        <f>VLOOKUP($B72,'[13]Div 9 forecast'!$D$549:$AF$630,'[13]Div 9 forecast'!Y$548,FALSE)</f>
        <v>7180.9870015487395</v>
      </c>
      <c r="I72" s="339">
        <f>VLOOKUP($B72,'[13]Div 9 forecast'!$D$549:$AF$630,'[13]Div 9 forecast'!Z$548,FALSE)</f>
        <v>9438.0623159543757</v>
      </c>
      <c r="J72" s="339">
        <f>VLOOKUP($B72,'[13]Div 9 forecast'!$D$549:$AF$630,'[13]Div 9 forecast'!AA$548,FALSE)</f>
        <v>9617.5342908122111</v>
      </c>
      <c r="K72" s="339">
        <f>VLOOKUP($B72,'[13]Div 9 forecast'!$D$549:$AF$630,'[13]Div 9 forecast'!AB$548,FALSE)</f>
        <v>8893.7159447132144</v>
      </c>
      <c r="L72" s="339">
        <f>VLOOKUP($B72,'[13]Div 9 forecast'!$D$549:$AF$630,'[13]Div 9 forecast'!AC$548,FALSE)</f>
        <v>15806.480344670883</v>
      </c>
      <c r="M72" s="339">
        <f>VLOOKUP($B72,'[13]Div 9 forecast'!$D$549:$AF$630,'[13]Div 9 forecast'!AD$548,FALSE)</f>
        <v>8607.7550847578768</v>
      </c>
      <c r="N72" s="339">
        <f>VLOOKUP($B72,'[13]Div 9 forecast'!$D$549:$AF$630,'[13]Div 9 forecast'!AE$548,FALSE)</f>
        <v>5238.7210998959226</v>
      </c>
      <c r="O72" s="339">
        <f>VLOOKUP($B72,'[13]Div 9 forecast'!$D$549:$AF$630,'[13]Div 9 forecast'!AF$548,FALSE)</f>
        <v>6783.3401723357092</v>
      </c>
      <c r="P72" s="95">
        <f t="shared" si="5"/>
        <v>108130.06033341786</v>
      </c>
      <c r="Q72" s="73"/>
      <c r="R72" s="726"/>
      <c r="S72" s="73"/>
      <c r="Y72" s="725"/>
    </row>
    <row r="73" spans="1:25">
      <c r="A73" s="1036">
        <f t="shared" si="1"/>
        <v>62</v>
      </c>
      <c r="B73" s="570">
        <v>8720</v>
      </c>
      <c r="C73" s="95" t="s">
        <v>1296</v>
      </c>
      <c r="D73" s="339">
        <f>VLOOKUP($B73,'[13]Div 9 forecast'!$D$549:$AF$630,'[13]Div 9 forecast'!U$548,FALSE)</f>
        <v>0</v>
      </c>
      <c r="E73" s="339">
        <f>VLOOKUP($B73,'[13]Div 9 forecast'!$D$549:$AF$630,'[13]Div 9 forecast'!V$548,FALSE)</f>
        <v>0</v>
      </c>
      <c r="F73" s="339">
        <f>VLOOKUP($B73,'[13]Div 9 forecast'!$D$549:$AF$630,'[13]Div 9 forecast'!W$548,FALSE)</f>
        <v>0</v>
      </c>
      <c r="G73" s="339">
        <f>VLOOKUP($B73,'[13]Div 9 forecast'!$D$549:$AF$630,'[13]Div 9 forecast'!X$548,FALSE)</f>
        <v>0</v>
      </c>
      <c r="H73" s="339">
        <f>VLOOKUP($B73,'[13]Div 9 forecast'!$D$549:$AF$630,'[13]Div 9 forecast'!Y$548,FALSE)</f>
        <v>0</v>
      </c>
      <c r="I73" s="339">
        <f>VLOOKUP($B73,'[13]Div 9 forecast'!$D$549:$AF$630,'[13]Div 9 forecast'!Z$548,FALSE)</f>
        <v>0</v>
      </c>
      <c r="J73" s="339">
        <f>VLOOKUP($B73,'[13]Div 9 forecast'!$D$549:$AF$630,'[13]Div 9 forecast'!AA$548,FALSE)</f>
        <v>0</v>
      </c>
      <c r="K73" s="339">
        <f>VLOOKUP($B73,'[13]Div 9 forecast'!$D$549:$AF$630,'[13]Div 9 forecast'!AB$548,FALSE)</f>
        <v>0</v>
      </c>
      <c r="L73" s="339">
        <f>VLOOKUP($B73,'[13]Div 9 forecast'!$D$549:$AF$630,'[13]Div 9 forecast'!AC$548,FALSE)</f>
        <v>0</v>
      </c>
      <c r="M73" s="339">
        <f>VLOOKUP($B73,'[13]Div 9 forecast'!$D$549:$AF$630,'[13]Div 9 forecast'!AD$548,FALSE)</f>
        <v>0</v>
      </c>
      <c r="N73" s="339">
        <f>VLOOKUP($B73,'[13]Div 9 forecast'!$D$549:$AF$630,'[13]Div 9 forecast'!AE$548,FALSE)</f>
        <v>0</v>
      </c>
      <c r="O73" s="339">
        <f>VLOOKUP($B73,'[13]Div 9 forecast'!$D$549:$AF$630,'[13]Div 9 forecast'!AF$548,FALSE)</f>
        <v>0</v>
      </c>
      <c r="P73" s="95">
        <f t="shared" si="5"/>
        <v>0</v>
      </c>
      <c r="Q73" s="73"/>
      <c r="R73" s="726"/>
      <c r="S73" s="73"/>
      <c r="Y73" s="725"/>
    </row>
    <row r="74" spans="1:25">
      <c r="A74" s="1036">
        <f t="shared" si="1"/>
        <v>63</v>
      </c>
      <c r="B74" s="570">
        <v>8740</v>
      </c>
      <c r="C74" s="73" t="s">
        <v>905</v>
      </c>
      <c r="D74" s="339">
        <f>VLOOKUP($B74,'[13]Div 9 forecast'!$D$549:$AF$630,'[13]Div 9 forecast'!U$548,FALSE)</f>
        <v>419485.90128369501</v>
      </c>
      <c r="E74" s="339">
        <f>VLOOKUP($B74,'[13]Div 9 forecast'!$D$549:$AF$630,'[13]Div 9 forecast'!V$548,FALSE)</f>
        <v>454086.21571165969</v>
      </c>
      <c r="F74" s="339">
        <f>VLOOKUP($B74,'[13]Div 9 forecast'!$D$549:$AF$630,'[13]Div 9 forecast'!W$548,FALSE)</f>
        <v>529567.10468305321</v>
      </c>
      <c r="G74" s="339">
        <f>VLOOKUP($B74,'[13]Div 9 forecast'!$D$549:$AF$630,'[13]Div 9 forecast'!X$548,FALSE)</f>
        <v>526870.95880209026</v>
      </c>
      <c r="H74" s="339">
        <f>VLOOKUP($B74,'[13]Div 9 forecast'!$D$549:$AF$630,'[13]Div 9 forecast'!Y$548,FALSE)</f>
        <v>537244.22509616707</v>
      </c>
      <c r="I74" s="339">
        <f>VLOOKUP($B74,'[13]Div 9 forecast'!$D$549:$AF$630,'[13]Div 9 forecast'!Z$548,FALSE)</f>
        <v>565425.11913903011</v>
      </c>
      <c r="J74" s="339">
        <f>VLOOKUP($B74,'[13]Div 9 forecast'!$D$549:$AF$630,'[13]Div 9 forecast'!AA$548,FALSE)</f>
        <v>554265.18814281339</v>
      </c>
      <c r="K74" s="339">
        <f>VLOOKUP($B74,'[13]Div 9 forecast'!$D$549:$AF$630,'[13]Div 9 forecast'!AB$548,FALSE)</f>
        <v>530611.7855009021</v>
      </c>
      <c r="L74" s="339">
        <f>VLOOKUP($B74,'[13]Div 9 forecast'!$D$549:$AF$630,'[13]Div 9 forecast'!AC$548,FALSE)</f>
        <v>490214.58757438947</v>
      </c>
      <c r="M74" s="339">
        <f>VLOOKUP($B74,'[13]Div 9 forecast'!$D$549:$AF$630,'[13]Div 9 forecast'!AD$548,FALSE)</f>
        <v>443768.95420325035</v>
      </c>
      <c r="N74" s="339">
        <f>VLOOKUP($B74,'[13]Div 9 forecast'!$D$549:$AF$630,'[13]Div 9 forecast'!AE$548,FALSE)</f>
        <v>463993.57937842328</v>
      </c>
      <c r="O74" s="339">
        <f>VLOOKUP($B74,'[13]Div 9 forecast'!$D$549:$AF$630,'[13]Div 9 forecast'!AF$548,FALSE)</f>
        <v>438819.34304659499</v>
      </c>
      <c r="P74" s="95">
        <f t="shared" si="5"/>
        <v>5954352.9625620693</v>
      </c>
      <c r="Q74" s="73"/>
      <c r="R74" s="726"/>
      <c r="S74" s="73"/>
      <c r="Y74" s="725"/>
    </row>
    <row r="75" spans="1:25">
      <c r="A75" s="1036">
        <f t="shared" si="1"/>
        <v>64</v>
      </c>
      <c r="B75" s="570">
        <v>8750</v>
      </c>
      <c r="C75" s="73" t="s">
        <v>906</v>
      </c>
      <c r="D75" s="339">
        <f>VLOOKUP($B75,'[13]Div 9 forecast'!$D$549:$AF$630,'[13]Div 9 forecast'!U$548,FALSE)</f>
        <v>36901.176740244387</v>
      </c>
      <c r="E75" s="339">
        <f>VLOOKUP($B75,'[13]Div 9 forecast'!$D$549:$AF$630,'[13]Div 9 forecast'!V$548,FALSE)</f>
        <v>37202.688095394202</v>
      </c>
      <c r="F75" s="339">
        <f>VLOOKUP($B75,'[13]Div 9 forecast'!$D$549:$AF$630,'[13]Div 9 forecast'!W$548,FALSE)</f>
        <v>43560.669890249374</v>
      </c>
      <c r="G75" s="339">
        <f>VLOOKUP($B75,'[13]Div 9 forecast'!$D$549:$AF$630,'[13]Div 9 forecast'!X$548,FALSE)</f>
        <v>43982.578759406213</v>
      </c>
      <c r="H75" s="339">
        <f>VLOOKUP($B75,'[13]Div 9 forecast'!$D$549:$AF$630,'[13]Div 9 forecast'!Y$548,FALSE)</f>
        <v>42785.877031568169</v>
      </c>
      <c r="I75" s="339">
        <f>VLOOKUP($B75,'[13]Div 9 forecast'!$D$549:$AF$630,'[13]Div 9 forecast'!Z$548,FALSE)</f>
        <v>45050.904002320945</v>
      </c>
      <c r="J75" s="339">
        <f>VLOOKUP($B75,'[13]Div 9 forecast'!$D$549:$AF$630,'[13]Div 9 forecast'!AA$548,FALSE)</f>
        <v>44613.447556044623</v>
      </c>
      <c r="K75" s="339">
        <f>VLOOKUP($B75,'[13]Div 9 forecast'!$D$549:$AF$630,'[13]Div 9 forecast'!AB$548,FALSE)</f>
        <v>44043.867456821768</v>
      </c>
      <c r="L75" s="339">
        <f>VLOOKUP($B75,'[13]Div 9 forecast'!$D$549:$AF$630,'[13]Div 9 forecast'!AC$548,FALSE)</f>
        <v>47638.287743660265</v>
      </c>
      <c r="M75" s="339">
        <f>VLOOKUP($B75,'[13]Div 9 forecast'!$D$549:$AF$630,'[13]Div 9 forecast'!AD$548,FALSE)</f>
        <v>39206.332050213299</v>
      </c>
      <c r="N75" s="339">
        <f>VLOOKUP($B75,'[13]Div 9 forecast'!$D$549:$AF$630,'[13]Div 9 forecast'!AE$548,FALSE)</f>
        <v>36214.812594692165</v>
      </c>
      <c r="O75" s="339">
        <f>VLOOKUP($B75,'[13]Div 9 forecast'!$D$549:$AF$630,'[13]Div 9 forecast'!AF$548,FALSE)</f>
        <v>39919.696241205987</v>
      </c>
      <c r="P75" s="95">
        <f t="shared" si="5"/>
        <v>501120.33816182142</v>
      </c>
      <c r="Q75" s="73"/>
      <c r="R75" s="726"/>
      <c r="S75" s="73"/>
      <c r="Y75" s="725"/>
    </row>
    <row r="76" spans="1:25">
      <c r="A76" s="1036">
        <f t="shared" si="1"/>
        <v>65</v>
      </c>
      <c r="B76" s="570">
        <v>8760</v>
      </c>
      <c r="C76" s="73" t="s">
        <v>907</v>
      </c>
      <c r="D76" s="339">
        <f>VLOOKUP($B76,'[13]Div 9 forecast'!$D$549:$AF$630,'[13]Div 9 forecast'!U$548,FALSE)</f>
        <v>2009.3558081342946</v>
      </c>
      <c r="E76" s="339">
        <f>VLOOKUP($B76,'[13]Div 9 forecast'!$D$549:$AF$630,'[13]Div 9 forecast'!V$548,FALSE)</f>
        <v>2020.3668258913051</v>
      </c>
      <c r="F76" s="339">
        <f>VLOOKUP($B76,'[13]Div 9 forecast'!$D$549:$AF$630,'[13]Div 9 forecast'!W$548,FALSE)</f>
        <v>2213.9403255644875</v>
      </c>
      <c r="G76" s="339">
        <f>VLOOKUP($B76,'[13]Div 9 forecast'!$D$549:$AF$630,'[13]Div 9 forecast'!X$548,FALSE)</f>
        <v>2448.6107115116388</v>
      </c>
      <c r="H76" s="339">
        <f>VLOOKUP($B76,'[13]Div 9 forecast'!$D$549:$AF$630,'[13]Div 9 forecast'!Y$548,FALSE)</f>
        <v>2376.8369841243234</v>
      </c>
      <c r="I76" s="339">
        <f>VLOOKUP($B76,'[13]Div 9 forecast'!$D$549:$AF$630,'[13]Div 9 forecast'!Z$548,FALSE)</f>
        <v>2419.9290131067473</v>
      </c>
      <c r="J76" s="339">
        <f>VLOOKUP($B76,'[13]Div 9 forecast'!$D$549:$AF$630,'[13]Div 9 forecast'!AA$548,FALSE)</f>
        <v>2397.5340017684307</v>
      </c>
      <c r="K76" s="339">
        <f>VLOOKUP($B76,'[13]Div 9 forecast'!$D$549:$AF$630,'[13]Div 9 forecast'!AB$548,FALSE)</f>
        <v>2432.8601470734739</v>
      </c>
      <c r="L76" s="339">
        <f>VLOOKUP($B76,'[13]Div 9 forecast'!$D$549:$AF$630,'[13]Div 9 forecast'!AC$548,FALSE)</f>
        <v>2429.3095925950488</v>
      </c>
      <c r="M76" s="339">
        <f>VLOOKUP($B76,'[13]Div 9 forecast'!$D$549:$AF$630,'[13]Div 9 forecast'!AD$548,FALSE)</f>
        <v>2134.2271421389628</v>
      </c>
      <c r="N76" s="339">
        <f>VLOOKUP($B76,'[13]Div 9 forecast'!$D$549:$AF$630,'[13]Div 9 forecast'!AE$548,FALSE)</f>
        <v>2024.6346334103423</v>
      </c>
      <c r="O76" s="339">
        <f>VLOOKUP($B76,'[13]Div 9 forecast'!$D$549:$AF$630,'[13]Div 9 forecast'!AF$548,FALSE)</f>
        <v>2336.8289619267939</v>
      </c>
      <c r="P76" s="95">
        <f t="shared" si="5"/>
        <v>27244.434147245847</v>
      </c>
      <c r="Q76" s="73"/>
      <c r="R76" s="726"/>
      <c r="S76" s="73"/>
      <c r="Y76" s="725"/>
    </row>
    <row r="77" spans="1:25">
      <c r="A77" s="1036">
        <f t="shared" si="1"/>
        <v>66</v>
      </c>
      <c r="B77" s="570">
        <v>8770</v>
      </c>
      <c r="C77" s="73" t="s">
        <v>908</v>
      </c>
      <c r="D77" s="339">
        <f>VLOOKUP($B77,'[13]Div 9 forecast'!$D$549:$AF$630,'[13]Div 9 forecast'!U$548,FALSE)</f>
        <v>289.22986039730381</v>
      </c>
      <c r="E77" s="339">
        <f>VLOOKUP($B77,'[13]Div 9 forecast'!$D$549:$AF$630,'[13]Div 9 forecast'!V$548,FALSE)</f>
        <v>329.21432947550215</v>
      </c>
      <c r="F77" s="339">
        <f>VLOOKUP($B77,'[13]Div 9 forecast'!$D$549:$AF$630,'[13]Div 9 forecast'!W$548,FALSE)</f>
        <v>331.1949082190759</v>
      </c>
      <c r="G77" s="339">
        <f>VLOOKUP($B77,'[13]Div 9 forecast'!$D$549:$AF$630,'[13]Div 9 forecast'!X$548,FALSE)</f>
        <v>286.85488349485433</v>
      </c>
      <c r="H77" s="339">
        <f>VLOOKUP($B77,'[13]Div 9 forecast'!$D$549:$AF$630,'[13]Div 9 forecast'!Y$548,FALSE)</f>
        <v>291.47421186616026</v>
      </c>
      <c r="I77" s="339">
        <f>VLOOKUP($B77,'[13]Div 9 forecast'!$D$549:$AF$630,'[13]Div 9 forecast'!Z$548,FALSE)</f>
        <v>271.98416788000264</v>
      </c>
      <c r="J77" s="339">
        <f>VLOOKUP($B77,'[13]Div 9 forecast'!$D$549:$AF$630,'[13]Div 9 forecast'!AA$548,FALSE)</f>
        <v>286.91936127214575</v>
      </c>
      <c r="K77" s="339">
        <f>VLOOKUP($B77,'[13]Div 9 forecast'!$D$549:$AF$630,'[13]Div 9 forecast'!AB$548,FALSE)</f>
        <v>268.23927676425632</v>
      </c>
      <c r="L77" s="339">
        <f>VLOOKUP($B77,'[13]Div 9 forecast'!$D$549:$AF$630,'[13]Div 9 forecast'!AC$548,FALSE)</f>
        <v>268.15080725587984</v>
      </c>
      <c r="M77" s="339">
        <f>VLOOKUP($B77,'[13]Div 9 forecast'!$D$549:$AF$630,'[13]Div 9 forecast'!AD$548,FALSE)</f>
        <v>307.48664761569228</v>
      </c>
      <c r="N77" s="339">
        <f>VLOOKUP($B77,'[13]Div 9 forecast'!$D$549:$AF$630,'[13]Div 9 forecast'!AE$548,FALSE)</f>
        <v>291.92852119442205</v>
      </c>
      <c r="O77" s="339">
        <f>VLOOKUP($B77,'[13]Div 9 forecast'!$D$549:$AF$630,'[13]Div 9 forecast'!AF$548,FALSE)</f>
        <v>305.98573309800423</v>
      </c>
      <c r="P77" s="95">
        <f t="shared" si="5"/>
        <v>3528.6627085332993</v>
      </c>
      <c r="Q77" s="73"/>
      <c r="R77" s="726"/>
      <c r="S77" s="73"/>
      <c r="Y77" s="725"/>
    </row>
    <row r="78" spans="1:25">
      <c r="A78" s="1036">
        <f t="shared" si="1"/>
        <v>67</v>
      </c>
      <c r="B78" s="570">
        <v>8780</v>
      </c>
      <c r="C78" s="73" t="s">
        <v>909</v>
      </c>
      <c r="D78" s="339">
        <f>VLOOKUP($B78,'[13]Div 9 forecast'!$D$549:$AF$630,'[13]Div 9 forecast'!U$548,FALSE)</f>
        <v>78917.662080823982</v>
      </c>
      <c r="E78" s="339">
        <f>VLOOKUP($B78,'[13]Div 9 forecast'!$D$549:$AF$630,'[13]Div 9 forecast'!V$548,FALSE)</f>
        <v>80111.054160627085</v>
      </c>
      <c r="F78" s="339">
        <f>VLOOKUP($B78,'[13]Div 9 forecast'!$D$549:$AF$630,'[13]Div 9 forecast'!W$548,FALSE)</f>
        <v>86083.975860410908</v>
      </c>
      <c r="G78" s="339">
        <f>VLOOKUP($B78,'[13]Div 9 forecast'!$D$549:$AF$630,'[13]Div 9 forecast'!X$548,FALSE)</f>
        <v>98722.867141173294</v>
      </c>
      <c r="H78" s="339">
        <f>VLOOKUP($B78,'[13]Div 9 forecast'!$D$549:$AF$630,'[13]Div 9 forecast'!Y$548,FALSE)</f>
        <v>96445.451375671721</v>
      </c>
      <c r="I78" s="339">
        <f>VLOOKUP($B78,'[13]Div 9 forecast'!$D$549:$AF$630,'[13]Div 9 forecast'!Z$548,FALSE)</f>
        <v>96779.438535530979</v>
      </c>
      <c r="J78" s="339">
        <f>VLOOKUP($B78,'[13]Div 9 forecast'!$D$549:$AF$630,'[13]Div 9 forecast'!AA$548,FALSE)</f>
        <v>95801.75785544308</v>
      </c>
      <c r="K78" s="339">
        <f>VLOOKUP($B78,'[13]Div 9 forecast'!$D$549:$AF$630,'[13]Div 9 forecast'!AB$548,FALSE)</f>
        <v>97880.544825914782</v>
      </c>
      <c r="L78" s="339">
        <f>VLOOKUP($B78,'[13]Div 9 forecast'!$D$549:$AF$630,'[13]Div 9 forecast'!AC$548,FALSE)</f>
        <v>95174.729049057059</v>
      </c>
      <c r="M78" s="339">
        <f>VLOOKUP($B78,'[13]Div 9 forecast'!$D$549:$AF$630,'[13]Div 9 forecast'!AD$548,FALSE)</f>
        <v>84320.211388579759</v>
      </c>
      <c r="N78" s="339">
        <f>VLOOKUP($B78,'[13]Div 9 forecast'!$D$549:$AF$630,'[13]Div 9 forecast'!AE$548,FALSE)</f>
        <v>81677.547586277797</v>
      </c>
      <c r="O78" s="339">
        <f>VLOOKUP($B78,'[13]Div 9 forecast'!$D$549:$AF$630,'[13]Div 9 forecast'!AF$548,FALSE)</f>
        <v>93331.647738526386</v>
      </c>
      <c r="P78" s="95">
        <f t="shared" si="5"/>
        <v>1085246.8875980368</v>
      </c>
      <c r="Q78" s="73"/>
      <c r="R78" s="726"/>
      <c r="S78" s="73"/>
      <c r="Y78" s="725"/>
    </row>
    <row r="79" spans="1:25">
      <c r="A79" s="1036">
        <f t="shared" si="1"/>
        <v>68</v>
      </c>
      <c r="B79" s="570">
        <v>8790</v>
      </c>
      <c r="C79" s="73" t="s">
        <v>910</v>
      </c>
      <c r="D79" s="339">
        <f>VLOOKUP($B79,'[13]Div 9 forecast'!$D$549:$AF$630,'[13]Div 9 forecast'!U$548,FALSE)</f>
        <v>0</v>
      </c>
      <c r="E79" s="339">
        <f>VLOOKUP($B79,'[13]Div 9 forecast'!$D$549:$AF$630,'[13]Div 9 forecast'!V$548,FALSE)</f>
        <v>0</v>
      </c>
      <c r="F79" s="339">
        <f>VLOOKUP($B79,'[13]Div 9 forecast'!$D$549:$AF$630,'[13]Div 9 forecast'!W$548,FALSE)</f>
        <v>0</v>
      </c>
      <c r="G79" s="339">
        <f>VLOOKUP($B79,'[13]Div 9 forecast'!$D$549:$AF$630,'[13]Div 9 forecast'!X$548,FALSE)</f>
        <v>0</v>
      </c>
      <c r="H79" s="339">
        <f>VLOOKUP($B79,'[13]Div 9 forecast'!$D$549:$AF$630,'[13]Div 9 forecast'!Y$548,FALSE)</f>
        <v>0</v>
      </c>
      <c r="I79" s="339">
        <f>VLOOKUP($B79,'[13]Div 9 forecast'!$D$549:$AF$630,'[13]Div 9 forecast'!Z$548,FALSE)</f>
        <v>0</v>
      </c>
      <c r="J79" s="339">
        <f>VLOOKUP($B79,'[13]Div 9 forecast'!$D$549:$AF$630,'[13]Div 9 forecast'!AA$548,FALSE)</f>
        <v>0</v>
      </c>
      <c r="K79" s="339">
        <f>VLOOKUP($B79,'[13]Div 9 forecast'!$D$549:$AF$630,'[13]Div 9 forecast'!AB$548,FALSE)</f>
        <v>0</v>
      </c>
      <c r="L79" s="339">
        <f>VLOOKUP($B79,'[13]Div 9 forecast'!$D$549:$AF$630,'[13]Div 9 forecast'!AC$548,FALSE)</f>
        <v>0</v>
      </c>
      <c r="M79" s="339">
        <f>VLOOKUP($B79,'[13]Div 9 forecast'!$D$549:$AF$630,'[13]Div 9 forecast'!AD$548,FALSE)</f>
        <v>0</v>
      </c>
      <c r="N79" s="339">
        <f>VLOOKUP($B79,'[13]Div 9 forecast'!$D$549:$AF$630,'[13]Div 9 forecast'!AE$548,FALSE)</f>
        <v>0</v>
      </c>
      <c r="O79" s="339">
        <f>VLOOKUP($B79,'[13]Div 9 forecast'!$D$549:$AF$630,'[13]Div 9 forecast'!AF$548,FALSE)</f>
        <v>0</v>
      </c>
      <c r="P79" s="95">
        <f t="shared" si="5"/>
        <v>0</v>
      </c>
      <c r="Q79" s="73"/>
      <c r="R79" s="726"/>
      <c r="S79" s="73"/>
      <c r="Y79" s="725"/>
    </row>
    <row r="80" spans="1:25">
      <c r="A80" s="1036">
        <f t="shared" ref="A80:A113" si="6">A79+1</f>
        <v>69</v>
      </c>
      <c r="B80" s="570">
        <v>8800</v>
      </c>
      <c r="C80" s="73" t="s">
        <v>911</v>
      </c>
      <c r="D80" s="339">
        <f>VLOOKUP($B80,'[13]Div 9 forecast'!$D$549:$AF$630,'[13]Div 9 forecast'!U$548,FALSE)</f>
        <v>162.4039699702202</v>
      </c>
      <c r="E80" s="339">
        <f>VLOOKUP($B80,'[13]Div 9 forecast'!$D$549:$AF$630,'[13]Div 9 forecast'!V$548,FALSE)</f>
        <v>161.59099207109858</v>
      </c>
      <c r="F80" s="339">
        <f>VLOOKUP($B80,'[13]Div 9 forecast'!$D$549:$AF$630,'[13]Div 9 forecast'!W$548,FALSE)</f>
        <v>184.13801585986772</v>
      </c>
      <c r="G80" s="339">
        <f>VLOOKUP($B80,'[13]Div 9 forecast'!$D$549:$AF$630,'[13]Div 9 forecast'!X$548,FALSE)</f>
        <v>117.80498651480819</v>
      </c>
      <c r="H80" s="339">
        <f>VLOOKUP($B80,'[13]Div 9 forecast'!$D$549:$AF$630,'[13]Div 9 forecast'!Y$548,FALSE)</f>
        <v>113.47537053521938</v>
      </c>
      <c r="I80" s="339">
        <f>VLOOKUP($B80,'[13]Div 9 forecast'!$D$549:$AF$630,'[13]Div 9 forecast'!Z$548,FALSE)</f>
        <v>118.90895765227725</v>
      </c>
      <c r="J80" s="339">
        <f>VLOOKUP($B80,'[13]Div 9 forecast'!$D$549:$AF$630,'[13]Div 9 forecast'!AA$548,FALSE)</f>
        <v>123.80517292802701</v>
      </c>
      <c r="K80" s="339">
        <f>VLOOKUP($B80,'[13]Div 9 forecast'!$D$549:$AF$630,'[13]Div 9 forecast'!AB$548,FALSE)</f>
        <v>119.0382073254508</v>
      </c>
      <c r="L80" s="339">
        <f>VLOOKUP($B80,'[13]Div 9 forecast'!$D$549:$AF$630,'[13]Div 9 forecast'!AC$548,FALSE)</f>
        <v>151.49020811283282</v>
      </c>
      <c r="M80" s="339">
        <f>VLOOKUP($B80,'[13]Div 9 forecast'!$D$549:$AF$630,'[13]Div 9 forecast'!AD$548,FALSE)</f>
        <v>172.0481522876035</v>
      </c>
      <c r="N80" s="339">
        <f>VLOOKUP($B80,'[13]Div 9 forecast'!$D$549:$AF$630,'[13]Div 9 forecast'!AE$548,FALSE)</f>
        <v>177.96551048589893</v>
      </c>
      <c r="O80" s="339">
        <f>VLOOKUP($B80,'[13]Div 9 forecast'!$D$549:$AF$630,'[13]Div 9 forecast'!AF$548,FALSE)</f>
        <v>160.50335932531118</v>
      </c>
      <c r="P80" s="95">
        <f t="shared" si="5"/>
        <v>1763.1729030686151</v>
      </c>
      <c r="Q80" s="73"/>
      <c r="R80" s="73"/>
      <c r="S80" s="73"/>
      <c r="Y80" s="725"/>
    </row>
    <row r="81" spans="1:25">
      <c r="A81" s="1036">
        <f t="shared" si="6"/>
        <v>70</v>
      </c>
      <c r="B81" s="570">
        <v>8810</v>
      </c>
      <c r="C81" s="73" t="s">
        <v>912</v>
      </c>
      <c r="D81" s="339">
        <f>VLOOKUP($B81,'[13]Div 9 forecast'!$D$549:$AF$630,'[13]Div 9 forecast'!U$548,FALSE)</f>
        <v>33454.476671779033</v>
      </c>
      <c r="E81" s="339">
        <f>VLOOKUP($B81,'[13]Div 9 forecast'!$D$549:$AF$630,'[13]Div 9 forecast'!V$548,FALSE)</f>
        <v>39600.737967937108</v>
      </c>
      <c r="F81" s="339">
        <f>VLOOKUP($B81,'[13]Div 9 forecast'!$D$549:$AF$630,'[13]Div 9 forecast'!W$548,FALSE)</f>
        <v>40687.929974051956</v>
      </c>
      <c r="G81" s="339">
        <f>VLOOKUP($B81,'[13]Div 9 forecast'!$D$549:$AF$630,'[13]Div 9 forecast'!X$548,FALSE)</f>
        <v>24983.550526013558</v>
      </c>
      <c r="H81" s="339">
        <f>VLOOKUP($B81,'[13]Div 9 forecast'!$D$549:$AF$630,'[13]Div 9 forecast'!Y$548,FALSE)</f>
        <v>25109.639620637874</v>
      </c>
      <c r="I81" s="339">
        <f>VLOOKUP($B81,'[13]Div 9 forecast'!$D$549:$AF$630,'[13]Div 9 forecast'!Z$548,FALSE)</f>
        <v>22395.986080873747</v>
      </c>
      <c r="J81" s="339">
        <f>VLOOKUP($B81,'[13]Div 9 forecast'!$D$549:$AF$630,'[13]Div 9 forecast'!AA$548,FALSE)</f>
        <v>23354.210256546106</v>
      </c>
      <c r="K81" s="339">
        <f>VLOOKUP($B81,'[13]Div 9 forecast'!$D$549:$AF$630,'[13]Div 9 forecast'!AB$548,FALSE)</f>
        <v>19802.794648471794</v>
      </c>
      <c r="L81" s="339">
        <f>VLOOKUP($B81,'[13]Div 9 forecast'!$D$549:$AF$630,'[13]Div 9 forecast'!AC$548,FALSE)</f>
        <v>21482.139115648471</v>
      </c>
      <c r="M81" s="339">
        <f>VLOOKUP($B81,'[13]Div 9 forecast'!$D$549:$AF$630,'[13]Div 9 forecast'!AD$548,FALSE)</f>
        <v>44862.580843232579</v>
      </c>
      <c r="N81" s="339">
        <f>VLOOKUP($B81,'[13]Div 9 forecast'!$D$549:$AF$630,'[13]Div 9 forecast'!AE$548,FALSE)</f>
        <v>31264.557825005144</v>
      </c>
      <c r="O81" s="339">
        <f>VLOOKUP($B81,'[13]Div 9 forecast'!$D$549:$AF$630,'[13]Div 9 forecast'!AF$548,FALSE)</f>
        <v>33993.546717994133</v>
      </c>
      <c r="P81" s="95">
        <f t="shared" si="5"/>
        <v>360992.15024819149</v>
      </c>
      <c r="Q81" s="73"/>
      <c r="R81" s="73"/>
      <c r="S81" s="73"/>
      <c r="Y81" s="725"/>
    </row>
    <row r="82" spans="1:25">
      <c r="A82" s="1036">
        <f t="shared" si="6"/>
        <v>71</v>
      </c>
      <c r="B82" s="570">
        <v>8850</v>
      </c>
      <c r="C82" s="73" t="s">
        <v>913</v>
      </c>
      <c r="D82" s="339">
        <f>VLOOKUP($B82,'[13]Div 9 forecast'!$D$549:$AF$630,'[13]Div 9 forecast'!U$548,FALSE)</f>
        <v>13.524446594209275</v>
      </c>
      <c r="E82" s="339">
        <f>VLOOKUP($B82,'[13]Div 9 forecast'!$D$549:$AF$630,'[13]Div 9 forecast'!V$548,FALSE)</f>
        <v>2.2896329754466245</v>
      </c>
      <c r="F82" s="339">
        <f>VLOOKUP($B82,'[13]Div 9 forecast'!$D$549:$AF$630,'[13]Div 9 forecast'!W$548,FALSE)</f>
        <v>28.69074602217724</v>
      </c>
      <c r="G82" s="339">
        <f>VLOOKUP($B82,'[13]Div 9 forecast'!$D$549:$AF$630,'[13]Div 9 forecast'!X$548,FALSE)</f>
        <v>14.124793219220276</v>
      </c>
      <c r="H82" s="339">
        <f>VLOOKUP($B82,'[13]Div 9 forecast'!$D$549:$AF$630,'[13]Div 9 forecast'!Y$548,FALSE)</f>
        <v>14.728684414327203</v>
      </c>
      <c r="I82" s="339">
        <f>VLOOKUP($B82,'[13]Div 9 forecast'!$D$549:$AF$630,'[13]Div 9 forecast'!Z$548,FALSE)</f>
        <v>14.539268960661797</v>
      </c>
      <c r="J82" s="339">
        <f>VLOOKUP($B82,'[13]Div 9 forecast'!$D$549:$AF$630,'[13]Div 9 forecast'!AA$548,FALSE)</f>
        <v>14.76978549678782</v>
      </c>
      <c r="K82" s="339">
        <f>VLOOKUP($B82,'[13]Div 9 forecast'!$D$549:$AF$630,'[13]Div 9 forecast'!AB$548,FALSE)</f>
        <v>16.657926212267888</v>
      </c>
      <c r="L82" s="339">
        <f>VLOOKUP($B82,'[13]Div 9 forecast'!$D$549:$AF$630,'[13]Div 9 forecast'!AC$548,FALSE)</f>
        <v>14.480962773915339</v>
      </c>
      <c r="M82" s="339">
        <f>VLOOKUP($B82,'[13]Div 9 forecast'!$D$549:$AF$630,'[13]Div 9 forecast'!AD$548,FALSE)</f>
        <v>13.865840469066267</v>
      </c>
      <c r="N82" s="339">
        <f>VLOOKUP($B82,'[13]Div 9 forecast'!$D$549:$AF$630,'[13]Div 9 forecast'!AE$548,FALSE)</f>
        <v>16.350106186746455</v>
      </c>
      <c r="O82" s="339">
        <f>VLOOKUP($B82,'[13]Div 9 forecast'!$D$549:$AF$630,'[13]Div 9 forecast'!AF$548,FALSE)</f>
        <v>15.78922775235413</v>
      </c>
      <c r="P82" s="95">
        <f t="shared" si="5"/>
        <v>179.81142107718028</v>
      </c>
      <c r="Q82" s="73"/>
      <c r="R82" s="73"/>
      <c r="S82" s="73"/>
      <c r="Y82" s="725"/>
    </row>
    <row r="83" spans="1:25">
      <c r="A83" s="1036">
        <f t="shared" si="6"/>
        <v>72</v>
      </c>
      <c r="B83" s="570">
        <v>8860</v>
      </c>
      <c r="C83" s="73" t="s">
        <v>914</v>
      </c>
      <c r="D83" s="339">
        <f>VLOOKUP($B83,'[13]Div 9 forecast'!$D$549:$AF$630,'[13]Div 9 forecast'!U$548,FALSE)</f>
        <v>0</v>
      </c>
      <c r="E83" s="339">
        <f>VLOOKUP($B83,'[13]Div 9 forecast'!$D$549:$AF$630,'[13]Div 9 forecast'!V$548,FALSE)</f>
        <v>0</v>
      </c>
      <c r="F83" s="339">
        <f>VLOOKUP($B83,'[13]Div 9 forecast'!$D$549:$AF$630,'[13]Div 9 forecast'!W$548,FALSE)</f>
        <v>0</v>
      </c>
      <c r="G83" s="339">
        <f>VLOOKUP($B83,'[13]Div 9 forecast'!$D$549:$AF$630,'[13]Div 9 forecast'!X$548,FALSE)</f>
        <v>0</v>
      </c>
      <c r="H83" s="339">
        <f>VLOOKUP($B83,'[13]Div 9 forecast'!$D$549:$AF$630,'[13]Div 9 forecast'!Y$548,FALSE)</f>
        <v>0</v>
      </c>
      <c r="I83" s="339">
        <f>VLOOKUP($B83,'[13]Div 9 forecast'!$D$549:$AF$630,'[13]Div 9 forecast'!Z$548,FALSE)</f>
        <v>0</v>
      </c>
      <c r="J83" s="339">
        <f>VLOOKUP($B83,'[13]Div 9 forecast'!$D$549:$AF$630,'[13]Div 9 forecast'!AA$548,FALSE)</f>
        <v>0</v>
      </c>
      <c r="K83" s="339">
        <f>VLOOKUP($B83,'[13]Div 9 forecast'!$D$549:$AF$630,'[13]Div 9 forecast'!AB$548,FALSE)</f>
        <v>0</v>
      </c>
      <c r="L83" s="339">
        <f>VLOOKUP($B83,'[13]Div 9 forecast'!$D$549:$AF$630,'[13]Div 9 forecast'!AC$548,FALSE)</f>
        <v>0</v>
      </c>
      <c r="M83" s="339">
        <f>VLOOKUP($B83,'[13]Div 9 forecast'!$D$549:$AF$630,'[13]Div 9 forecast'!AD$548,FALSE)</f>
        <v>0</v>
      </c>
      <c r="N83" s="339">
        <f>VLOOKUP($B83,'[13]Div 9 forecast'!$D$549:$AF$630,'[13]Div 9 forecast'!AE$548,FALSE)</f>
        <v>0</v>
      </c>
      <c r="O83" s="339">
        <f>VLOOKUP($B83,'[13]Div 9 forecast'!$D$549:$AF$630,'[13]Div 9 forecast'!AF$548,FALSE)</f>
        <v>0</v>
      </c>
      <c r="P83" s="95">
        <f t="shared" si="5"/>
        <v>0</v>
      </c>
      <c r="Q83" s="73"/>
      <c r="R83" s="73"/>
      <c r="S83" s="73"/>
      <c r="Y83" s="725"/>
    </row>
    <row r="84" spans="1:25">
      <c r="A84" s="1036">
        <f t="shared" si="6"/>
        <v>73</v>
      </c>
      <c r="B84" s="570">
        <v>8870</v>
      </c>
      <c r="C84" s="73" t="s">
        <v>915</v>
      </c>
      <c r="D84" s="339">
        <f>VLOOKUP($B84,'[13]Div 9 forecast'!$D$549:$AF$630,'[13]Div 9 forecast'!U$548,FALSE)</f>
        <v>1290.3704435117647</v>
      </c>
      <c r="E84" s="339">
        <f>VLOOKUP($B84,'[13]Div 9 forecast'!$D$549:$AF$630,'[13]Div 9 forecast'!V$548,FALSE)</f>
        <v>1416.896921223401</v>
      </c>
      <c r="F84" s="339">
        <f>VLOOKUP($B84,'[13]Div 9 forecast'!$D$549:$AF$630,'[13]Div 9 forecast'!W$548,FALSE)</f>
        <v>1752.6484695815352</v>
      </c>
      <c r="G84" s="339">
        <f>VLOOKUP($B84,'[13]Div 9 forecast'!$D$549:$AF$630,'[13]Div 9 forecast'!X$548,FALSE)</f>
        <v>1538.2076717526868</v>
      </c>
      <c r="H84" s="339">
        <f>VLOOKUP($B84,'[13]Div 9 forecast'!$D$549:$AF$630,'[13]Div 9 forecast'!Y$548,FALSE)</f>
        <v>1568.1494763017754</v>
      </c>
      <c r="I84" s="339">
        <f>VLOOKUP($B84,'[13]Div 9 forecast'!$D$549:$AF$630,'[13]Div 9 forecast'!Z$548,FALSE)</f>
        <v>1709.1473189608582</v>
      </c>
      <c r="J84" s="339">
        <f>VLOOKUP($B84,'[13]Div 9 forecast'!$D$549:$AF$630,'[13]Div 9 forecast'!AA$548,FALSE)</f>
        <v>1628.3705243946617</v>
      </c>
      <c r="K84" s="339">
        <f>VLOOKUP($B84,'[13]Div 9 forecast'!$D$549:$AF$630,'[13]Div 9 forecast'!AB$548,FALSE)</f>
        <v>1519.8893892741191</v>
      </c>
      <c r="L84" s="339">
        <f>VLOOKUP($B84,'[13]Div 9 forecast'!$D$549:$AF$630,'[13]Div 9 forecast'!AC$548,FALSE)</f>
        <v>1396.3395619371245</v>
      </c>
      <c r="M84" s="339">
        <f>VLOOKUP($B84,'[13]Div 9 forecast'!$D$549:$AF$630,'[13]Div 9 forecast'!AD$548,FALSE)</f>
        <v>1541.9085817494195</v>
      </c>
      <c r="N84" s="339">
        <f>VLOOKUP($B84,'[13]Div 9 forecast'!$D$549:$AF$630,'[13]Div 9 forecast'!AE$548,FALSE)</f>
        <v>1401.8591277546871</v>
      </c>
      <c r="O84" s="339">
        <f>VLOOKUP($B84,'[13]Div 9 forecast'!$D$549:$AF$630,'[13]Div 9 forecast'!AF$548,FALSE)</f>
        <v>1283.5574065758678</v>
      </c>
      <c r="P84" s="95">
        <f t="shared" si="5"/>
        <v>18047.3448930179</v>
      </c>
      <c r="Q84" s="73"/>
      <c r="R84" s="136"/>
      <c r="S84" s="73"/>
      <c r="Y84" s="725"/>
    </row>
    <row r="85" spans="1:25">
      <c r="A85" s="1036">
        <f t="shared" si="6"/>
        <v>74</v>
      </c>
      <c r="B85" s="570">
        <v>8890</v>
      </c>
      <c r="C85" s="567" t="s">
        <v>916</v>
      </c>
      <c r="D85" s="339">
        <f>VLOOKUP($B85,'[13]Div 9 forecast'!$D$549:$AF$630,'[13]Div 9 forecast'!U$548,FALSE)</f>
        <v>4464.0213651576287</v>
      </c>
      <c r="E85" s="339">
        <f>VLOOKUP($B85,'[13]Div 9 forecast'!$D$549:$AF$630,'[13]Div 9 forecast'!V$548,FALSE)</f>
        <v>4588.4204240283798</v>
      </c>
      <c r="F85" s="339">
        <f>VLOOKUP($B85,'[13]Div 9 forecast'!$D$549:$AF$630,'[13]Div 9 forecast'!W$548,FALSE)</f>
        <v>6445.5419299204896</v>
      </c>
      <c r="G85" s="339">
        <f>VLOOKUP($B85,'[13]Div 9 forecast'!$D$549:$AF$630,'[13]Div 9 forecast'!X$548,FALSE)</f>
        <v>4853.9923769279358</v>
      </c>
      <c r="H85" s="339">
        <f>VLOOKUP($B85,'[13]Div 9 forecast'!$D$549:$AF$630,'[13]Div 9 forecast'!Y$548,FALSE)</f>
        <v>4753.0621437031577</v>
      </c>
      <c r="I85" s="339">
        <f>VLOOKUP($B85,'[13]Div 9 forecast'!$D$549:$AF$630,'[13]Div 9 forecast'!Z$548,FALSE)</f>
        <v>5636.1421208271677</v>
      </c>
      <c r="J85" s="339">
        <f>VLOOKUP($B85,'[13]Div 9 forecast'!$D$549:$AF$630,'[13]Div 9 forecast'!AA$548,FALSE)</f>
        <v>5434.1657090158751</v>
      </c>
      <c r="K85" s="339">
        <f>VLOOKUP($B85,'[13]Div 9 forecast'!$D$549:$AF$630,'[13]Div 9 forecast'!AB$548,FALSE)</f>
        <v>4916.4143004307152</v>
      </c>
      <c r="L85" s="339">
        <f>VLOOKUP($B85,'[13]Div 9 forecast'!$D$549:$AF$630,'[13]Div 9 forecast'!AC$548,FALSE)</f>
        <v>5959.7283589779036</v>
      </c>
      <c r="M85" s="339">
        <f>VLOOKUP($B85,'[13]Div 9 forecast'!$D$549:$AF$630,'[13]Div 9 forecast'!AD$548,FALSE)</f>
        <v>5137.5602220660039</v>
      </c>
      <c r="N85" s="339">
        <f>VLOOKUP($B85,'[13]Div 9 forecast'!$D$549:$AF$630,'[13]Div 9 forecast'!AE$548,FALSE)</f>
        <v>4077.6902561885609</v>
      </c>
      <c r="O85" s="339">
        <f>VLOOKUP($B85,'[13]Div 9 forecast'!$D$549:$AF$630,'[13]Div 9 forecast'!AF$548,FALSE)</f>
        <v>3798.2558026389388</v>
      </c>
      <c r="P85" s="95">
        <f t="shared" si="5"/>
        <v>60064.995009882754</v>
      </c>
      <c r="Q85" s="73"/>
      <c r="R85" s="73"/>
      <c r="S85" s="73"/>
      <c r="Y85" s="725"/>
    </row>
    <row r="86" spans="1:25">
      <c r="A86" s="1036">
        <f t="shared" si="6"/>
        <v>75</v>
      </c>
      <c r="B86" s="570">
        <v>8900</v>
      </c>
      <c r="C86" s="73" t="s">
        <v>917</v>
      </c>
      <c r="D86" s="339">
        <f>VLOOKUP($B86,'[13]Div 9 forecast'!$D$549:$AF$630,'[13]Div 9 forecast'!U$548,FALSE)</f>
        <v>0</v>
      </c>
      <c r="E86" s="339">
        <f>VLOOKUP($B86,'[13]Div 9 forecast'!$D$549:$AF$630,'[13]Div 9 forecast'!V$548,FALSE)</f>
        <v>0</v>
      </c>
      <c r="F86" s="339">
        <f>VLOOKUP($B86,'[13]Div 9 forecast'!$D$549:$AF$630,'[13]Div 9 forecast'!W$548,FALSE)</f>
        <v>0</v>
      </c>
      <c r="G86" s="339">
        <f>VLOOKUP($B86,'[13]Div 9 forecast'!$D$549:$AF$630,'[13]Div 9 forecast'!X$548,FALSE)</f>
        <v>0</v>
      </c>
      <c r="H86" s="339">
        <f>VLOOKUP($B86,'[13]Div 9 forecast'!$D$549:$AF$630,'[13]Div 9 forecast'!Y$548,FALSE)</f>
        <v>0</v>
      </c>
      <c r="I86" s="339">
        <f>VLOOKUP($B86,'[13]Div 9 forecast'!$D$549:$AF$630,'[13]Div 9 forecast'!Z$548,FALSE)</f>
        <v>0</v>
      </c>
      <c r="J86" s="339">
        <f>VLOOKUP($B86,'[13]Div 9 forecast'!$D$549:$AF$630,'[13]Div 9 forecast'!AA$548,FALSE)</f>
        <v>0</v>
      </c>
      <c r="K86" s="339">
        <f>VLOOKUP($B86,'[13]Div 9 forecast'!$D$549:$AF$630,'[13]Div 9 forecast'!AB$548,FALSE)</f>
        <v>0</v>
      </c>
      <c r="L86" s="339">
        <f>VLOOKUP($B86,'[13]Div 9 forecast'!$D$549:$AF$630,'[13]Div 9 forecast'!AC$548,FALSE)</f>
        <v>0</v>
      </c>
      <c r="M86" s="339">
        <f>VLOOKUP($B86,'[13]Div 9 forecast'!$D$549:$AF$630,'[13]Div 9 forecast'!AD$548,FALSE)</f>
        <v>0</v>
      </c>
      <c r="N86" s="339">
        <f>VLOOKUP($B86,'[13]Div 9 forecast'!$D$549:$AF$630,'[13]Div 9 forecast'!AE$548,FALSE)</f>
        <v>0</v>
      </c>
      <c r="O86" s="339">
        <f>VLOOKUP($B86,'[13]Div 9 forecast'!$D$549:$AF$630,'[13]Div 9 forecast'!AF$548,FALSE)</f>
        <v>0</v>
      </c>
      <c r="P86" s="95">
        <f t="shared" si="5"/>
        <v>0</v>
      </c>
      <c r="Q86" s="73"/>
      <c r="R86" s="73"/>
      <c r="S86" s="73"/>
      <c r="Y86" s="725"/>
    </row>
    <row r="87" spans="1:25">
      <c r="A87" s="1036">
        <f t="shared" si="6"/>
        <v>76</v>
      </c>
      <c r="B87" s="570">
        <v>8910</v>
      </c>
      <c r="C87" s="73" t="s">
        <v>918</v>
      </c>
      <c r="D87" s="339">
        <f>VLOOKUP($B87,'[13]Div 9 forecast'!$D$549:$AF$630,'[13]Div 9 forecast'!U$548,FALSE)</f>
        <v>158.56951985332327</v>
      </c>
      <c r="E87" s="339">
        <f>VLOOKUP($B87,'[13]Div 9 forecast'!$D$549:$AF$630,'[13]Div 9 forecast'!V$548,FALSE)</f>
        <v>161.26635465370791</v>
      </c>
      <c r="F87" s="339">
        <f>VLOOKUP($B87,'[13]Div 9 forecast'!$D$549:$AF$630,'[13]Div 9 forecast'!W$548,FALSE)</f>
        <v>171.59352576955683</v>
      </c>
      <c r="G87" s="339">
        <f>VLOOKUP($B87,'[13]Div 9 forecast'!$D$549:$AF$630,'[13]Div 9 forecast'!X$548,FALSE)</f>
        <v>196.35986262737146</v>
      </c>
      <c r="H87" s="339">
        <f>VLOOKUP($B87,'[13]Div 9 forecast'!$D$549:$AF$630,'[13]Div 9 forecast'!Y$548,FALSE)</f>
        <v>191.91198789683858</v>
      </c>
      <c r="I87" s="339">
        <f>VLOOKUP($B87,'[13]Div 9 forecast'!$D$549:$AF$630,'[13]Div 9 forecast'!Z$548,FALSE)</f>
        <v>192.44939365949378</v>
      </c>
      <c r="J87" s="339">
        <f>VLOOKUP($B87,'[13]Div 9 forecast'!$D$549:$AF$630,'[13]Div 9 forecast'!AA$548,FALSE)</f>
        <v>190.25947269045636</v>
      </c>
      <c r="K87" s="339">
        <f>VLOOKUP($B87,'[13]Div 9 forecast'!$D$549:$AF$630,'[13]Div 9 forecast'!AB$548,FALSE)</f>
        <v>194.26086043051359</v>
      </c>
      <c r="L87" s="339">
        <f>VLOOKUP($B87,'[13]Div 9 forecast'!$D$549:$AF$630,'[13]Div 9 forecast'!AC$548,FALSE)</f>
        <v>184.3296476204433</v>
      </c>
      <c r="M87" s="339">
        <f>VLOOKUP($B87,'[13]Div 9 forecast'!$D$549:$AF$630,'[13]Div 9 forecast'!AD$548,FALSE)</f>
        <v>169.57250397203859</v>
      </c>
      <c r="N87" s="339">
        <f>VLOOKUP($B87,'[13]Div 9 forecast'!$D$549:$AF$630,'[13]Div 9 forecast'!AE$548,FALSE)</f>
        <v>164.74797173916446</v>
      </c>
      <c r="O87" s="339">
        <f>VLOOKUP($B87,'[13]Div 9 forecast'!$D$549:$AF$630,'[13]Div 9 forecast'!AF$548,FALSE)</f>
        <v>189.15312800391135</v>
      </c>
      <c r="P87" s="95">
        <f t="shared" si="5"/>
        <v>2164.4742289168194</v>
      </c>
      <c r="Q87" s="73"/>
      <c r="R87" s="73"/>
      <c r="S87" s="73"/>
      <c r="Y87" s="725"/>
    </row>
    <row r="88" spans="1:25">
      <c r="A88" s="1036">
        <f t="shared" si="6"/>
        <v>77</v>
      </c>
      <c r="B88" s="570">
        <v>8920</v>
      </c>
      <c r="C88" s="73" t="s">
        <v>919</v>
      </c>
      <c r="D88" s="339">
        <f>VLOOKUP($B88,'[13]Div 9 forecast'!$D$549:$AF$630,'[13]Div 9 forecast'!U$548,FALSE)</f>
        <v>94.710443940642307</v>
      </c>
      <c r="E88" s="339">
        <f>VLOOKUP($B88,'[13]Div 9 forecast'!$D$549:$AF$630,'[13]Div 9 forecast'!V$548,FALSE)</f>
        <v>95.561815018486001</v>
      </c>
      <c r="F88" s="339">
        <f>VLOOKUP($B88,'[13]Div 9 forecast'!$D$549:$AF$630,'[13]Div 9 forecast'!W$548,FALSE)</f>
        <v>103.79087934541884</v>
      </c>
      <c r="G88" s="339">
        <f>VLOOKUP($B88,'[13]Div 9 forecast'!$D$549:$AF$630,'[13]Div 9 forecast'!X$548,FALSE)</f>
        <v>115.95855154821014</v>
      </c>
      <c r="H88" s="339">
        <f>VLOOKUP($B88,'[13]Div 9 forecast'!$D$549:$AF$630,'[13]Div 9 forecast'!Y$548,FALSE)</f>
        <v>112.79099854609878</v>
      </c>
      <c r="I88" s="339">
        <f>VLOOKUP($B88,'[13]Div 9 forecast'!$D$549:$AF$630,'[13]Div 9 forecast'!Z$548,FALSE)</f>
        <v>114.30182756291599</v>
      </c>
      <c r="J88" s="339">
        <f>VLOOKUP($B88,'[13]Div 9 forecast'!$D$549:$AF$630,'[13]Div 9 forecast'!AA$548,FALSE)</f>
        <v>113.15672557355964</v>
      </c>
      <c r="K88" s="339">
        <f>VLOOKUP($B88,'[13]Div 9 forecast'!$D$549:$AF$630,'[13]Div 9 forecast'!AB$548,FALSE)</f>
        <v>115.04436693258053</v>
      </c>
      <c r="L88" s="339">
        <f>VLOOKUP($B88,'[13]Div 9 forecast'!$D$549:$AF$630,'[13]Div 9 forecast'!AC$548,FALSE)</f>
        <v>113.11318360557829</v>
      </c>
      <c r="M88" s="339">
        <f>VLOOKUP($B88,'[13]Div 9 forecast'!$D$549:$AF$630,'[13]Div 9 forecast'!AD$548,FALSE)</f>
        <v>100.86976221595762</v>
      </c>
      <c r="N88" s="339">
        <f>VLOOKUP($B88,'[13]Div 9 forecast'!$D$549:$AF$630,'[13]Div 9 forecast'!AE$548,FALSE)</f>
        <v>96.328215696762769</v>
      </c>
      <c r="O88" s="339">
        <f>VLOOKUP($B88,'[13]Div 9 forecast'!$D$549:$AF$630,'[13]Div 9 forecast'!AF$548,FALSE)</f>
        <v>111.01944934399435</v>
      </c>
      <c r="P88" s="95">
        <f t="shared" si="5"/>
        <v>1286.6462193302052</v>
      </c>
      <c r="Q88" s="73"/>
      <c r="R88" s="73"/>
      <c r="S88" s="73"/>
      <c r="Y88" s="725"/>
    </row>
    <row r="89" spans="1:25">
      <c r="A89" s="1036">
        <f t="shared" si="6"/>
        <v>78</v>
      </c>
      <c r="B89" s="570">
        <v>8930</v>
      </c>
      <c r="C89" s="73" t="s">
        <v>920</v>
      </c>
      <c r="D89" s="339">
        <f>VLOOKUP($B89,'[13]Div 9 forecast'!$D$549:$AF$630,'[13]Div 9 forecast'!U$548,FALSE)</f>
        <v>554.167524125917</v>
      </c>
      <c r="E89" s="339">
        <f>VLOOKUP($B89,'[13]Div 9 forecast'!$D$549:$AF$630,'[13]Div 9 forecast'!V$548,FALSE)</f>
        <v>668.64559230377927</v>
      </c>
      <c r="F89" s="339">
        <f>VLOOKUP($B89,'[13]Div 9 forecast'!$D$549:$AF$630,'[13]Div 9 forecast'!W$548,FALSE)</f>
        <v>845.42945620467106</v>
      </c>
      <c r="G89" s="339">
        <f>VLOOKUP($B89,'[13]Div 9 forecast'!$D$549:$AF$630,'[13]Div 9 forecast'!X$548,FALSE)</f>
        <v>676.95094756594835</v>
      </c>
      <c r="H89" s="339">
        <f>VLOOKUP($B89,'[13]Div 9 forecast'!$D$549:$AF$630,'[13]Div 9 forecast'!Y$548,FALSE)</f>
        <v>728.72702475333051</v>
      </c>
      <c r="I89" s="339">
        <f>VLOOKUP($B89,'[13]Div 9 forecast'!$D$549:$AF$630,'[13]Div 9 forecast'!Z$548,FALSE)</f>
        <v>804.91463643210193</v>
      </c>
      <c r="J89" s="339">
        <f>VLOOKUP($B89,'[13]Div 9 forecast'!$D$549:$AF$630,'[13]Div 9 forecast'!AA$548,FALSE)</f>
        <v>742.50772970814705</v>
      </c>
      <c r="K89" s="339">
        <f>VLOOKUP($B89,'[13]Div 9 forecast'!$D$549:$AF$630,'[13]Div 9 forecast'!AB$548,FALSE)</f>
        <v>658.83916391104663</v>
      </c>
      <c r="L89" s="339">
        <f>VLOOKUP($B89,'[13]Div 9 forecast'!$D$549:$AF$630,'[13]Div 9 forecast'!AC$548,FALSE)</f>
        <v>474.76894913250931</v>
      </c>
      <c r="M89" s="339">
        <f>VLOOKUP($B89,'[13]Div 9 forecast'!$D$549:$AF$630,'[13]Div 9 forecast'!AD$548,FALSE)</f>
        <v>733.32328359018902</v>
      </c>
      <c r="N89" s="339">
        <f>VLOOKUP($B89,'[13]Div 9 forecast'!$D$549:$AF$630,'[13]Div 9 forecast'!AE$548,FALSE)</f>
        <v>684.20389007743904</v>
      </c>
      <c r="O89" s="339">
        <f>VLOOKUP($B89,'[13]Div 9 forecast'!$D$549:$AF$630,'[13]Div 9 forecast'!AF$548,FALSE)</f>
        <v>514.23025369800416</v>
      </c>
      <c r="P89" s="95">
        <f t="shared" si="5"/>
        <v>8086.7084515030829</v>
      </c>
      <c r="Q89" s="73"/>
      <c r="R89" s="73"/>
      <c r="S89" s="73"/>
      <c r="Y89" s="725"/>
    </row>
    <row r="90" spans="1:25">
      <c r="A90" s="1036">
        <f t="shared" si="6"/>
        <v>79</v>
      </c>
      <c r="B90" s="570">
        <v>8940</v>
      </c>
      <c r="C90" s="73" t="s">
        <v>921</v>
      </c>
      <c r="D90" s="339">
        <f>VLOOKUP($B90,'[13]Div 9 forecast'!$D$549:$AF$630,'[13]Div 9 forecast'!U$548,FALSE)</f>
        <v>74.031319134456808</v>
      </c>
      <c r="E90" s="339">
        <f>VLOOKUP($B90,'[13]Div 9 forecast'!$D$549:$AF$630,'[13]Div 9 forecast'!V$548,FALSE)</f>
        <v>63.252560223126935</v>
      </c>
      <c r="F90" s="339">
        <f>VLOOKUP($B90,'[13]Div 9 forecast'!$D$549:$AF$630,'[13]Div 9 forecast'!W$548,FALSE)</f>
        <v>100.74230505567992</v>
      </c>
      <c r="G90" s="339">
        <f>VLOOKUP($B90,'[13]Div 9 forecast'!$D$549:$AF$630,'[13]Div 9 forecast'!X$548,FALSE)</f>
        <v>70.697426969859379</v>
      </c>
      <c r="H90" s="339">
        <f>VLOOKUP($B90,'[13]Div 9 forecast'!$D$549:$AF$630,'[13]Div 9 forecast'!Y$548,FALSE)</f>
        <v>60.521730281400416</v>
      </c>
      <c r="I90" s="339">
        <f>VLOOKUP($B90,'[13]Div 9 forecast'!$D$549:$AF$630,'[13]Div 9 forecast'!Z$548,FALSE)</f>
        <v>79.633926717868761</v>
      </c>
      <c r="J90" s="339">
        <f>VLOOKUP($B90,'[13]Div 9 forecast'!$D$549:$AF$630,'[13]Div 9 forecast'!AA$548,FALSE)</f>
        <v>81.193701756234745</v>
      </c>
      <c r="K90" s="339">
        <f>VLOOKUP($B90,'[13]Div 9 forecast'!$D$549:$AF$630,'[13]Div 9 forecast'!AB$548,FALSE)</f>
        <v>75.099300981885051</v>
      </c>
      <c r="L90" s="339">
        <f>VLOOKUP($B90,'[13]Div 9 forecast'!$D$549:$AF$630,'[13]Div 9 forecast'!AC$548,FALSE)</f>
        <v>133.87864757089409</v>
      </c>
      <c r="M90" s="339">
        <f>VLOOKUP($B90,'[13]Div 9 forecast'!$D$549:$AF$630,'[13]Div 9 forecast'!AD$548,FALSE)</f>
        <v>72.628641331859953</v>
      </c>
      <c r="N90" s="339">
        <f>VLOOKUP($B90,'[13]Div 9 forecast'!$D$549:$AF$630,'[13]Div 9 forecast'!AE$548,FALSE)</f>
        <v>44.06292912889247</v>
      </c>
      <c r="O90" s="339">
        <f>VLOOKUP($B90,'[13]Div 9 forecast'!$D$549:$AF$630,'[13]Div 9 forecast'!AF$548,FALSE)</f>
        <v>57.272245125983957</v>
      </c>
      <c r="P90" s="95">
        <f t="shared" si="5"/>
        <v>913.01473427814267</v>
      </c>
      <c r="Q90" s="73"/>
      <c r="R90" s="73"/>
      <c r="S90" s="73"/>
      <c r="Y90" s="725"/>
    </row>
    <row r="91" spans="1:25">
      <c r="A91" s="1036">
        <f t="shared" si="6"/>
        <v>80</v>
      </c>
      <c r="B91" s="669">
        <v>9010</v>
      </c>
      <c r="C91" s="72" t="s">
        <v>180</v>
      </c>
      <c r="D91" s="339">
        <f>VLOOKUP($B91,'[13]Div 9 forecast'!$D$549:$AF$630,'[13]Div 9 forecast'!U$548,FALSE)</f>
        <v>0</v>
      </c>
      <c r="E91" s="339">
        <f>VLOOKUP($B91,'[13]Div 9 forecast'!$D$549:$AF$630,'[13]Div 9 forecast'!V$548,FALSE)</f>
        <v>0</v>
      </c>
      <c r="F91" s="339">
        <f>VLOOKUP($B91,'[13]Div 9 forecast'!$D$549:$AF$630,'[13]Div 9 forecast'!W$548,FALSE)</f>
        <v>0</v>
      </c>
      <c r="G91" s="339">
        <f>VLOOKUP($B91,'[13]Div 9 forecast'!$D$549:$AF$630,'[13]Div 9 forecast'!X$548,FALSE)</f>
        <v>0</v>
      </c>
      <c r="H91" s="339">
        <f>VLOOKUP($B91,'[13]Div 9 forecast'!$D$549:$AF$630,'[13]Div 9 forecast'!Y$548,FALSE)</f>
        <v>0</v>
      </c>
      <c r="I91" s="339">
        <f>VLOOKUP($B91,'[13]Div 9 forecast'!$D$549:$AF$630,'[13]Div 9 forecast'!Z$548,FALSE)</f>
        <v>0</v>
      </c>
      <c r="J91" s="339">
        <f>VLOOKUP($B91,'[13]Div 9 forecast'!$D$549:$AF$630,'[13]Div 9 forecast'!AA$548,FALSE)</f>
        <v>0</v>
      </c>
      <c r="K91" s="339">
        <f>VLOOKUP($B91,'[13]Div 9 forecast'!$D$549:$AF$630,'[13]Div 9 forecast'!AB$548,FALSE)</f>
        <v>0</v>
      </c>
      <c r="L91" s="339">
        <f>VLOOKUP($B91,'[13]Div 9 forecast'!$D$549:$AF$630,'[13]Div 9 forecast'!AC$548,FALSE)</f>
        <v>0</v>
      </c>
      <c r="M91" s="339">
        <f>VLOOKUP($B91,'[13]Div 9 forecast'!$D$549:$AF$630,'[13]Div 9 forecast'!AD$548,FALSE)</f>
        <v>0</v>
      </c>
      <c r="N91" s="339">
        <f>VLOOKUP($B91,'[13]Div 9 forecast'!$D$549:$AF$630,'[13]Div 9 forecast'!AE$548,FALSE)</f>
        <v>0</v>
      </c>
      <c r="O91" s="339">
        <f>VLOOKUP($B91,'[13]Div 9 forecast'!$D$549:$AF$630,'[13]Div 9 forecast'!AF$548,FALSE)</f>
        <v>0</v>
      </c>
      <c r="P91" s="95">
        <f t="shared" si="5"/>
        <v>0</v>
      </c>
      <c r="Q91" s="73"/>
      <c r="R91" s="73"/>
      <c r="S91" s="73"/>
      <c r="Y91" s="725"/>
    </row>
    <row r="92" spans="1:25">
      <c r="A92" s="1036">
        <f t="shared" si="6"/>
        <v>81</v>
      </c>
      <c r="B92" s="570">
        <v>9020</v>
      </c>
      <c r="C92" s="73" t="s">
        <v>922</v>
      </c>
      <c r="D92" s="339">
        <f>VLOOKUP($B92,'[13]Div 9 forecast'!$D$549:$AF$630,'[13]Div 9 forecast'!U$548,FALSE)</f>
        <v>69178.451489313229</v>
      </c>
      <c r="E92" s="339">
        <f>VLOOKUP($B92,'[13]Div 9 forecast'!$D$549:$AF$630,'[13]Div 9 forecast'!V$548,FALSE)</f>
        <v>75527.776690507919</v>
      </c>
      <c r="F92" s="339">
        <f>VLOOKUP($B92,'[13]Div 9 forecast'!$D$549:$AF$630,'[13]Div 9 forecast'!W$548,FALSE)</f>
        <v>76161.939612698159</v>
      </c>
      <c r="G92" s="339">
        <f>VLOOKUP($B92,'[13]Div 9 forecast'!$D$549:$AF$630,'[13]Div 9 forecast'!X$548,FALSE)</f>
        <v>83606.200794561999</v>
      </c>
      <c r="H92" s="339">
        <f>VLOOKUP($B92,'[13]Div 9 forecast'!$D$549:$AF$630,'[13]Div 9 forecast'!Y$548,FALSE)</f>
        <v>82101.101553903558</v>
      </c>
      <c r="I92" s="339">
        <f>VLOOKUP($B92,'[13]Div 9 forecast'!$D$549:$AF$630,'[13]Div 9 forecast'!Z$548,FALSE)</f>
        <v>79960.420028460634</v>
      </c>
      <c r="J92" s="339">
        <f>VLOOKUP($B92,'[13]Div 9 forecast'!$D$549:$AF$630,'[13]Div 9 forecast'!AA$548,FALSE)</f>
        <v>81026.83421703834</v>
      </c>
      <c r="K92" s="339">
        <f>VLOOKUP($B92,'[13]Div 9 forecast'!$D$549:$AF$630,'[13]Div 9 forecast'!AB$548,FALSE)</f>
        <v>78704.560444879928</v>
      </c>
      <c r="L92" s="339">
        <f>VLOOKUP($B92,'[13]Div 9 forecast'!$D$549:$AF$630,'[13]Div 9 forecast'!AC$548,FALSE)</f>
        <v>77881.339275235427</v>
      </c>
      <c r="M92" s="339">
        <f>VLOOKUP($B92,'[13]Div 9 forecast'!$D$549:$AF$630,'[13]Div 9 forecast'!AD$548,FALSE)</f>
        <v>73719.728277497838</v>
      </c>
      <c r="N92" s="339">
        <f>VLOOKUP($B92,'[13]Div 9 forecast'!$D$549:$AF$630,'[13]Div 9 forecast'!AE$548,FALSE)</f>
        <v>71019.507827315814</v>
      </c>
      <c r="O92" s="339">
        <f>VLOOKUP($B92,'[13]Div 9 forecast'!$D$549:$AF$630,'[13]Div 9 forecast'!AF$548,FALSE)</f>
        <v>79216.879106886452</v>
      </c>
      <c r="P92" s="95">
        <f t="shared" si="5"/>
        <v>928104.73931829922</v>
      </c>
      <c r="Q92" s="73"/>
      <c r="R92" s="73"/>
      <c r="S92" s="73"/>
      <c r="Y92" s="725"/>
    </row>
    <row r="93" spans="1:25">
      <c r="A93" s="1036">
        <f t="shared" si="6"/>
        <v>82</v>
      </c>
      <c r="B93" s="570">
        <v>9030</v>
      </c>
      <c r="C93" s="73" t="s">
        <v>926</v>
      </c>
      <c r="D93" s="339">
        <f>VLOOKUP($B93,'[13]Div 9 forecast'!$D$549:$AF$630,'[13]Div 9 forecast'!U$548,FALSE)</f>
        <v>73652.947532830352</v>
      </c>
      <c r="E93" s="339">
        <f>VLOOKUP($B93,'[13]Div 9 forecast'!$D$549:$AF$630,'[13]Div 9 forecast'!V$548,FALSE)</f>
        <v>86732.443691817767</v>
      </c>
      <c r="F93" s="339">
        <f>VLOOKUP($B93,'[13]Div 9 forecast'!$D$549:$AF$630,'[13]Div 9 forecast'!W$548,FALSE)</f>
        <v>107819.03881674456</v>
      </c>
      <c r="G93" s="339">
        <f>VLOOKUP($B93,'[13]Div 9 forecast'!$D$549:$AF$630,'[13]Div 9 forecast'!X$548,FALSE)</f>
        <v>96759.594338387586</v>
      </c>
      <c r="H93" s="339">
        <f>VLOOKUP($B93,'[13]Div 9 forecast'!$D$549:$AF$630,'[13]Div 9 forecast'!Y$548,FALSE)</f>
        <v>102289.41517758268</v>
      </c>
      <c r="I93" s="339">
        <f>VLOOKUP($B93,'[13]Div 9 forecast'!$D$549:$AF$630,'[13]Div 9 forecast'!Z$548,FALSE)</f>
        <v>110287.83102543374</v>
      </c>
      <c r="J93" s="339">
        <f>VLOOKUP($B93,'[13]Div 9 forecast'!$D$549:$AF$630,'[13]Div 9 forecast'!AA$548,FALSE)</f>
        <v>102987.99166466488</v>
      </c>
      <c r="K93" s="339">
        <f>VLOOKUP($B93,'[13]Div 9 forecast'!$D$549:$AF$630,'[13]Div 9 forecast'!AB$548,FALSE)</f>
        <v>95069.824567669915</v>
      </c>
      <c r="L93" s="339">
        <f>VLOOKUP($B93,'[13]Div 9 forecast'!$D$549:$AF$630,'[13]Div 9 forecast'!AC$548,FALSE)</f>
        <v>77196.675056548789</v>
      </c>
      <c r="M93" s="339">
        <f>VLOOKUP($B93,'[13]Div 9 forecast'!$D$549:$AF$630,'[13]Div 9 forecast'!AD$548,FALSE)</f>
        <v>94696.073752283992</v>
      </c>
      <c r="N93" s="339">
        <f>VLOOKUP($B93,'[13]Div 9 forecast'!$D$549:$AF$630,'[13]Div 9 forecast'!AE$548,FALSE)</f>
        <v>89299.941146869533</v>
      </c>
      <c r="O93" s="339">
        <f>VLOOKUP($B93,'[13]Div 9 forecast'!$D$549:$AF$630,'[13]Div 9 forecast'!AF$548,FALSE)</f>
        <v>71158.377946410561</v>
      </c>
      <c r="P93" s="95">
        <f t="shared" si="5"/>
        <v>1107950.1547172442</v>
      </c>
      <c r="Q93" s="73"/>
      <c r="R93" s="73"/>
      <c r="S93" s="73"/>
      <c r="Y93" s="725"/>
    </row>
    <row r="94" spans="1:25">
      <c r="A94" s="1036">
        <f t="shared" si="6"/>
        <v>83</v>
      </c>
      <c r="B94" s="570">
        <v>9040</v>
      </c>
      <c r="C94" s="73" t="s">
        <v>927</v>
      </c>
      <c r="D94" s="88">
        <f t="shared" ref="D94:O94" si="7">-0.005*SUM(D17,D19,D23,D36,D37,D39)</f>
        <v>41107.817545294769</v>
      </c>
      <c r="E94" s="88">
        <f t="shared" si="7"/>
        <v>40000.662845096675</v>
      </c>
      <c r="F94" s="88">
        <f t="shared" si="7"/>
        <v>20551.671420996903</v>
      </c>
      <c r="G94" s="88">
        <f t="shared" si="7"/>
        <v>24203.898315526527</v>
      </c>
      <c r="H94" s="88">
        <f t="shared" si="7"/>
        <v>14923.04904227185</v>
      </c>
      <c r="I94" s="88">
        <f t="shared" si="7"/>
        <v>23241.875915875236</v>
      </c>
      <c r="J94" s="88">
        <f t="shared" si="7"/>
        <v>24428.463923156731</v>
      </c>
      <c r="K94" s="88">
        <f t="shared" si="7"/>
        <v>25781.872778714853</v>
      </c>
      <c r="L94" s="88">
        <f t="shared" si="7"/>
        <v>23856.596280470407</v>
      </c>
      <c r="M94" s="88">
        <f t="shared" si="7"/>
        <v>31795.068249348788</v>
      </c>
      <c r="N94" s="88">
        <f t="shared" si="7"/>
        <v>41736.503270258632</v>
      </c>
      <c r="O94" s="88">
        <f t="shared" si="7"/>
        <v>51830.402322597605</v>
      </c>
      <c r="P94" s="95">
        <f t="shared" si="5"/>
        <v>363457.88190960902</v>
      </c>
      <c r="Q94" s="73"/>
      <c r="R94" s="73"/>
      <c r="S94" s="73"/>
      <c r="Y94" s="725"/>
    </row>
    <row r="95" spans="1:25">
      <c r="A95" s="1036">
        <f t="shared" si="6"/>
        <v>84</v>
      </c>
      <c r="B95" s="570">
        <v>9090</v>
      </c>
      <c r="C95" s="73" t="s">
        <v>928</v>
      </c>
      <c r="D95" s="339">
        <f>VLOOKUP($B95,'[13]Div 9 forecast'!$D$549:$AF$630,'[13]Div 9 forecast'!U$548,FALSE)</f>
        <v>13744.811555106466</v>
      </c>
      <c r="E95" s="339">
        <f>VLOOKUP($B95,'[13]Div 9 forecast'!$D$549:$AF$630,'[13]Div 9 forecast'!V$548,FALSE)</f>
        <v>16716.159675325966</v>
      </c>
      <c r="F95" s="339">
        <f>VLOOKUP($B95,'[13]Div 9 forecast'!$D$549:$AF$630,'[13]Div 9 forecast'!W$548,FALSE)</f>
        <v>16285.361396234084</v>
      </c>
      <c r="G95" s="339">
        <f>VLOOKUP($B95,'[13]Div 9 forecast'!$D$549:$AF$630,'[13]Div 9 forecast'!X$548,FALSE)</f>
        <v>14742.212428280913</v>
      </c>
      <c r="H95" s="339">
        <f>VLOOKUP($B95,'[13]Div 9 forecast'!$D$549:$AF$630,'[13]Div 9 forecast'!Y$548,FALSE)</f>
        <v>14765.131771461156</v>
      </c>
      <c r="I95" s="339">
        <f>VLOOKUP($B95,'[13]Div 9 forecast'!$D$549:$AF$630,'[13]Div 9 forecast'!Z$548,FALSE)</f>
        <v>15274.033763798541</v>
      </c>
      <c r="J95" s="339">
        <f>VLOOKUP($B95,'[13]Div 9 forecast'!$D$549:$AF$630,'[13]Div 9 forecast'!AA$548,FALSE)</f>
        <v>14955.901875524996</v>
      </c>
      <c r="K95" s="339">
        <f>VLOOKUP($B95,'[13]Div 9 forecast'!$D$549:$AF$630,'[13]Div 9 forecast'!AB$548,FALSE)</f>
        <v>14654.965734615875</v>
      </c>
      <c r="L95" s="339">
        <f>VLOOKUP($B95,'[13]Div 9 forecast'!$D$549:$AF$630,'[13]Div 9 forecast'!AC$548,FALSE)</f>
        <v>14847.755187310235</v>
      </c>
      <c r="M95" s="339">
        <f>VLOOKUP($B95,'[13]Div 9 forecast'!$D$549:$AF$630,'[13]Div 9 forecast'!AD$548,FALSE)</f>
        <v>12259.416659812179</v>
      </c>
      <c r="N95" s="339">
        <f>VLOOKUP($B95,'[13]Div 9 forecast'!$D$549:$AF$630,'[13]Div 9 forecast'!AE$548,FALSE)</f>
        <v>12032.440985213281</v>
      </c>
      <c r="O95" s="339">
        <f>VLOOKUP($B95,'[13]Div 9 forecast'!$D$549:$AF$630,'[13]Div 9 forecast'!AF$548,FALSE)</f>
        <v>14736.917382264184</v>
      </c>
      <c r="P95" s="95">
        <f t="shared" si="5"/>
        <v>175015.1084149479</v>
      </c>
      <c r="Q95" s="73"/>
      <c r="R95" s="136"/>
      <c r="S95" s="73"/>
      <c r="Y95" s="725"/>
    </row>
    <row r="96" spans="1:25">
      <c r="A96" s="1036">
        <f t="shared" si="6"/>
        <v>85</v>
      </c>
      <c r="B96" s="570">
        <v>9100</v>
      </c>
      <c r="C96" s="183" t="s">
        <v>929</v>
      </c>
      <c r="D96" s="339">
        <f>VLOOKUP($B96,'[13]Div 9 forecast'!$D$549:$AF$630,'[13]Div 9 forecast'!U$548,FALSE)</f>
        <v>10.857631071075017</v>
      </c>
      <c r="E96" s="339">
        <f>VLOOKUP($B96,'[13]Div 9 forecast'!$D$549:$AF$630,'[13]Div 9 forecast'!V$548,FALSE)</f>
        <v>18.820200405528674</v>
      </c>
      <c r="F96" s="339">
        <f>VLOOKUP($B96,'[13]Div 9 forecast'!$D$549:$AF$630,'[13]Div 9 forecast'!W$548,FALSE)</f>
        <v>15.443673870364529</v>
      </c>
      <c r="G96" s="339">
        <f>VLOOKUP($B96,'[13]Div 9 forecast'!$D$549:$AF$630,'[13]Div 9 forecast'!X$548,FALSE)</f>
        <v>7.6374878366939694</v>
      </c>
      <c r="H96" s="339">
        <f>VLOOKUP($B96,'[13]Div 9 forecast'!$D$549:$AF$630,'[13]Div 9 forecast'!Y$548,FALSE)</f>
        <v>8.5145452150703491</v>
      </c>
      <c r="I96" s="339">
        <f>VLOOKUP($B96,'[13]Div 9 forecast'!$D$549:$AF$630,'[13]Div 9 forecast'!Z$548,FALSE)</f>
        <v>9.5648484953482349</v>
      </c>
      <c r="J96" s="339">
        <f>VLOOKUP($B96,'[13]Div 9 forecast'!$D$549:$AF$630,'[13]Div 9 forecast'!AA$548,FALSE)</f>
        <v>8.6697446688571151</v>
      </c>
      <c r="K96" s="339">
        <f>VLOOKUP($B96,'[13]Div 9 forecast'!$D$549:$AF$630,'[13]Div 9 forecast'!AB$548,FALSE)</f>
        <v>7.6800774542447563</v>
      </c>
      <c r="L96" s="339">
        <f>VLOOKUP($B96,'[13]Div 9 forecast'!$D$549:$AF$630,'[13]Div 9 forecast'!AC$548,FALSE)</f>
        <v>9.1354585274853495</v>
      </c>
      <c r="M96" s="339">
        <f>VLOOKUP($B96,'[13]Div 9 forecast'!$D$549:$AF$630,'[13]Div 9 forecast'!AD$548,FALSE)</f>
        <v>5.2488383084892041</v>
      </c>
      <c r="N96" s="339">
        <f>VLOOKUP($B96,'[13]Div 9 forecast'!$D$549:$AF$630,'[13]Div 9 forecast'!AE$548,FALSE)</f>
        <v>5.6212448117849849</v>
      </c>
      <c r="O96" s="339">
        <f>VLOOKUP($B96,'[13]Div 9 forecast'!$D$549:$AF$630,'[13]Div 9 forecast'!AF$548,FALSE)</f>
        <v>9.0084115327575773</v>
      </c>
      <c r="P96" s="95">
        <f t="shared" si="5"/>
        <v>116.20216219769976</v>
      </c>
      <c r="Q96" s="73"/>
      <c r="R96" s="136"/>
      <c r="S96" s="73"/>
      <c r="Y96" s="725"/>
    </row>
    <row r="97" spans="1:25">
      <c r="A97" s="1036">
        <f t="shared" si="6"/>
        <v>86</v>
      </c>
      <c r="B97" s="570">
        <v>9110</v>
      </c>
      <c r="C97" s="73" t="s">
        <v>930</v>
      </c>
      <c r="D97" s="339">
        <f>VLOOKUP($B97,'[13]Div 9 forecast'!$D$549:$AF$630,'[13]Div 9 forecast'!U$548,FALSE)</f>
        <v>9186.8045645794464</v>
      </c>
      <c r="E97" s="339">
        <f>VLOOKUP($B97,'[13]Div 9 forecast'!$D$549:$AF$630,'[13]Div 9 forecast'!V$548,FALSE)</f>
        <v>9471.4882460235822</v>
      </c>
      <c r="F97" s="339">
        <f>VLOOKUP($B97,'[13]Div 9 forecast'!$D$549:$AF$630,'[13]Div 9 forecast'!W$548,FALSE)</f>
        <v>10578.029342049927</v>
      </c>
      <c r="G97" s="339">
        <f>VLOOKUP($B97,'[13]Div 9 forecast'!$D$549:$AF$630,'[13]Div 9 forecast'!X$548,FALSE)</f>
        <v>26478.463654995365</v>
      </c>
      <c r="H97" s="339">
        <f>VLOOKUP($B97,'[13]Div 9 forecast'!$D$549:$AF$630,'[13]Div 9 forecast'!Y$548,FALSE)</f>
        <v>26275.576036910461</v>
      </c>
      <c r="I97" s="339">
        <f>VLOOKUP($B97,'[13]Div 9 forecast'!$D$549:$AF$630,'[13]Div 9 forecast'!Z$548,FALSE)</f>
        <v>24682.1571692945</v>
      </c>
      <c r="J97" s="339">
        <f>VLOOKUP($B97,'[13]Div 9 forecast'!$D$549:$AF$630,'[13]Div 9 forecast'!AA$548,FALSE)</f>
        <v>24082.752018288847</v>
      </c>
      <c r="K97" s="339">
        <f>VLOOKUP($B97,'[13]Div 9 forecast'!$D$549:$AF$630,'[13]Div 9 forecast'!AB$548,FALSE)</f>
        <v>27342.361135453364</v>
      </c>
      <c r="L97" s="339">
        <f>VLOOKUP($B97,'[13]Div 9 forecast'!$D$549:$AF$630,'[13]Div 9 forecast'!AC$548,FALSE)</f>
        <v>31146.468901610016</v>
      </c>
      <c r="M97" s="339">
        <f>VLOOKUP($B97,'[13]Div 9 forecast'!$D$549:$AF$630,'[13]Div 9 forecast'!AD$548,FALSE)</f>
        <v>10128.819475841719</v>
      </c>
      <c r="N97" s="339">
        <f>VLOOKUP($B97,'[13]Div 9 forecast'!$D$549:$AF$630,'[13]Div 9 forecast'!AE$548,FALSE)</f>
        <v>10638.146301201277</v>
      </c>
      <c r="O97" s="339">
        <f>VLOOKUP($B97,'[13]Div 9 forecast'!$D$549:$AF$630,'[13]Div 9 forecast'!AF$548,FALSE)</f>
        <v>11183.047972114713</v>
      </c>
      <c r="P97" s="95">
        <f t="shared" ref="P97:P110" si="8">SUM(D97:O97)</f>
        <v>221194.11481836322</v>
      </c>
      <c r="Q97" s="73"/>
      <c r="R97" s="136"/>
      <c r="S97" s="73"/>
      <c r="Y97" s="725"/>
    </row>
    <row r="98" spans="1:25">
      <c r="A98" s="1036">
        <f t="shared" si="6"/>
        <v>87</v>
      </c>
      <c r="B98" s="570">
        <v>9120</v>
      </c>
      <c r="C98" s="73" t="s">
        <v>931</v>
      </c>
      <c r="D98" s="339">
        <f>VLOOKUP($B98,'[13]Div 9 forecast'!$D$549:$AF$630,'[13]Div 9 forecast'!U$548,FALSE)</f>
        <v>6076.9915167685549</v>
      </c>
      <c r="E98" s="339">
        <f>VLOOKUP($B98,'[13]Div 9 forecast'!$D$549:$AF$630,'[13]Div 9 forecast'!V$548,FALSE)</f>
        <v>8543.4152628582688</v>
      </c>
      <c r="F98" s="339">
        <f>VLOOKUP($B98,'[13]Div 9 forecast'!$D$549:$AF$630,'[13]Div 9 forecast'!W$548,FALSE)</f>
        <v>7654.7306298541662</v>
      </c>
      <c r="G98" s="339">
        <f>VLOOKUP($B98,'[13]Div 9 forecast'!$D$549:$AF$630,'[13]Div 9 forecast'!X$548,FALSE)</f>
        <v>3458.5518110491594</v>
      </c>
      <c r="H98" s="339">
        <f>VLOOKUP($B98,'[13]Div 9 forecast'!$D$549:$AF$630,'[13]Div 9 forecast'!Y$548,FALSE)</f>
        <v>5102.7482203514292</v>
      </c>
      <c r="I98" s="339">
        <f>VLOOKUP($B98,'[13]Div 9 forecast'!$D$549:$AF$630,'[13]Div 9 forecast'!Z$548,FALSE)</f>
        <v>5204.8078731311098</v>
      </c>
      <c r="J98" s="339">
        <f>VLOOKUP($B98,'[13]Div 9 forecast'!$D$549:$AF$630,'[13]Div 9 forecast'!AA$548,FALSE)</f>
        <v>3955.5992295734218</v>
      </c>
      <c r="K98" s="339">
        <f>VLOOKUP($B98,'[13]Div 9 forecast'!$D$549:$AF$630,'[13]Div 9 forecast'!AB$548,FALSE)</f>
        <v>3387.7251327353074</v>
      </c>
      <c r="L98" s="339">
        <f>VLOOKUP($B98,'[13]Div 9 forecast'!$D$549:$AF$630,'[13]Div 9 forecast'!AC$548,FALSE)</f>
        <v>4350.2422630157207</v>
      </c>
      <c r="M98" s="339">
        <f>VLOOKUP($B98,'[13]Div 9 forecast'!$D$549:$AF$630,'[13]Div 9 forecast'!AD$548,FALSE)</f>
        <v>3865.1193243315897</v>
      </c>
      <c r="N98" s="339">
        <f>VLOOKUP($B98,'[13]Div 9 forecast'!$D$549:$AF$630,'[13]Div 9 forecast'!AE$548,FALSE)</f>
        <v>2879.8531456824853</v>
      </c>
      <c r="O98" s="339">
        <f>VLOOKUP($B98,'[13]Div 9 forecast'!$D$549:$AF$630,'[13]Div 9 forecast'!AF$548,FALSE)</f>
        <v>4475.1901205049262</v>
      </c>
      <c r="P98" s="95">
        <f t="shared" si="8"/>
        <v>58954.974529856147</v>
      </c>
      <c r="Q98" s="73"/>
      <c r="R98" s="136"/>
      <c r="S98" s="73"/>
      <c r="Y98" s="725"/>
    </row>
    <row r="99" spans="1:25">
      <c r="A99" s="1036">
        <f t="shared" si="6"/>
        <v>88</v>
      </c>
      <c r="B99" s="570">
        <v>9130</v>
      </c>
      <c r="C99" s="73" t="s">
        <v>932</v>
      </c>
      <c r="D99" s="339">
        <f>VLOOKUP($B99,'[13]Div 9 forecast'!$D$549:$AF$630,'[13]Div 9 forecast'!U$548,FALSE)</f>
        <v>4440.5740003056235</v>
      </c>
      <c r="E99" s="339">
        <f>VLOOKUP($B99,'[13]Div 9 forecast'!$D$549:$AF$630,'[13]Div 9 forecast'!V$548,FALSE)</f>
        <v>7697.1203068384821</v>
      </c>
      <c r="F99" s="339">
        <f>VLOOKUP($B99,'[13]Div 9 forecast'!$D$549:$AF$630,'[13]Div 9 forecast'!W$548,FALSE)</f>
        <v>6316.1822508995992</v>
      </c>
      <c r="G99" s="339">
        <f>VLOOKUP($B99,'[13]Div 9 forecast'!$D$549:$AF$630,'[13]Div 9 forecast'!X$548,FALSE)</f>
        <v>3123.5938754286449</v>
      </c>
      <c r="H99" s="339">
        <f>VLOOKUP($B99,'[13]Div 9 forecast'!$D$549:$AF$630,'[13]Div 9 forecast'!Y$548,FALSE)</f>
        <v>3482.2944212198681</v>
      </c>
      <c r="I99" s="339">
        <f>VLOOKUP($B99,'[13]Div 9 forecast'!$D$549:$AF$630,'[13]Div 9 forecast'!Z$548,FALSE)</f>
        <v>3911.8493958093591</v>
      </c>
      <c r="J99" s="339">
        <f>VLOOKUP($B99,'[13]Div 9 forecast'!$D$549:$AF$630,'[13]Div 9 forecast'!AA$548,FALSE)</f>
        <v>3545.7681803516489</v>
      </c>
      <c r="K99" s="339">
        <f>VLOOKUP($B99,'[13]Div 9 forecast'!$D$549:$AF$630,'[13]Div 9 forecast'!AB$548,FALSE)</f>
        <v>3141.0122558415519</v>
      </c>
      <c r="L99" s="339">
        <f>VLOOKUP($B99,'[13]Div 9 forecast'!$D$549:$AF$630,'[13]Div 9 forecast'!AC$548,FALSE)</f>
        <v>3736.2366940328557</v>
      </c>
      <c r="M99" s="339">
        <f>VLOOKUP($B99,'[13]Div 9 forecast'!$D$549:$AF$630,'[13]Div 9 forecast'!AD$548,FALSE)</f>
        <v>2146.6795815689457</v>
      </c>
      <c r="N99" s="339">
        <f>VLOOKUP($B99,'[13]Div 9 forecast'!$D$549:$AF$630,'[13]Div 9 forecast'!AE$548,FALSE)</f>
        <v>2298.9870808065525</v>
      </c>
      <c r="O99" s="339">
        <f>VLOOKUP($B99,'[13]Div 9 forecast'!$D$549:$AF$630,'[13]Div 9 forecast'!AF$548,FALSE)</f>
        <v>3684.2767795807936</v>
      </c>
      <c r="P99" s="95">
        <f t="shared" si="8"/>
        <v>47524.574822683928</v>
      </c>
      <c r="Q99" s="73"/>
      <c r="R99" s="136"/>
      <c r="S99" s="73"/>
      <c r="Y99" s="725"/>
    </row>
    <row r="100" spans="1:25">
      <c r="A100" s="1036">
        <f t="shared" si="6"/>
        <v>89</v>
      </c>
      <c r="B100" s="570">
        <v>9200</v>
      </c>
      <c r="C100" s="95" t="s">
        <v>1261</v>
      </c>
      <c r="D100" s="339">
        <f>VLOOKUP($B100,'[13]Div 9 forecast'!$D$549:$AF$630,'[13]Div 9 forecast'!U$548,FALSE)</f>
        <v>13699.585353492703</v>
      </c>
      <c r="E100" s="339">
        <f>VLOOKUP($B100,'[13]Div 9 forecast'!$D$549:$AF$630,'[13]Div 9 forecast'!V$548,FALSE)</f>
        <v>13932.577914524065</v>
      </c>
      <c r="F100" s="339">
        <f>VLOOKUP($B100,'[13]Div 9 forecast'!$D$549:$AF$630,'[13]Div 9 forecast'!W$548,FALSE)</f>
        <v>14824.792019054139</v>
      </c>
      <c r="G100" s="339">
        <f>VLOOKUP($B100,'[13]Div 9 forecast'!$D$549:$AF$630,'[13]Div 9 forecast'!X$548,FALSE)</f>
        <v>16964.47526959829</v>
      </c>
      <c r="H100" s="339">
        <f>VLOOKUP($B100,'[13]Div 9 forecast'!$D$549:$AF$630,'[13]Div 9 forecast'!Y$548,FALSE)</f>
        <v>16580.201926468144</v>
      </c>
      <c r="I100" s="339">
        <f>VLOOKUP($B100,'[13]Div 9 forecast'!$D$549:$AF$630,'[13]Div 9 forecast'!Z$548,FALSE)</f>
        <v>16626.631001373356</v>
      </c>
      <c r="J100" s="339">
        <f>VLOOKUP($B100,'[13]Div 9 forecast'!$D$549:$AF$630,'[13]Div 9 forecast'!AA$548,FALSE)</f>
        <v>16437.433170286509</v>
      </c>
      <c r="K100" s="339">
        <f>VLOOKUP($B100,'[13]Div 9 forecast'!$D$549:$AF$630,'[13]Div 9 forecast'!AB$548,FALSE)</f>
        <v>16783.1323495994</v>
      </c>
      <c r="L100" s="339">
        <f>VLOOKUP($B100,'[13]Div 9 forecast'!$D$549:$AF$630,'[13]Div 9 forecast'!AC$548,FALSE)</f>
        <v>15925.126992194604</v>
      </c>
      <c r="M100" s="339">
        <f>VLOOKUP($B100,'[13]Div 9 forecast'!$D$549:$AF$630,'[13]Div 9 forecast'!AD$548,FALSE)</f>
        <v>14650.186201731987</v>
      </c>
      <c r="N100" s="339">
        <f>VLOOKUP($B100,'[13]Div 9 forecast'!$D$549:$AF$630,'[13]Div 9 forecast'!AE$548,FALSE)</f>
        <v>14233.371600943181</v>
      </c>
      <c r="O100" s="339">
        <f>VLOOKUP($B100,'[13]Div 9 forecast'!$D$549:$AF$630,'[13]Div 9 forecast'!AF$548,FALSE)</f>
        <v>16341.850718641792</v>
      </c>
      <c r="P100" s="95">
        <f t="shared" ref="P100" si="9">SUM(D100:O100)</f>
        <v>186999.36451790819</v>
      </c>
      <c r="Q100" s="73"/>
      <c r="R100" s="136"/>
      <c r="S100" s="73"/>
      <c r="Y100" s="725"/>
    </row>
    <row r="101" spans="1:25">
      <c r="A101" s="1036">
        <f t="shared" si="6"/>
        <v>90</v>
      </c>
      <c r="B101" s="570">
        <v>9210</v>
      </c>
      <c r="C101" s="73" t="s">
        <v>933</v>
      </c>
      <c r="D101" s="339">
        <f>VLOOKUP($B101,'[13]Div 9 forecast'!$D$549:$AF$630,'[13]Div 9 forecast'!U$548,FALSE)</f>
        <v>1015.7139659157854</v>
      </c>
      <c r="E101" s="339">
        <f>VLOOKUP($B101,'[13]Div 9 forecast'!$D$549:$AF$630,'[13]Div 9 forecast'!V$548,FALSE)</f>
        <v>1402.1070603753685</v>
      </c>
      <c r="F101" s="339">
        <f>VLOOKUP($B101,'[13]Div 9 forecast'!$D$549:$AF$630,'[13]Div 9 forecast'!W$548,FALSE)</f>
        <v>1105.0005990404186</v>
      </c>
      <c r="G101" s="339">
        <f>VLOOKUP($B101,'[13]Div 9 forecast'!$D$549:$AF$630,'[13]Div 9 forecast'!X$548,FALSE)</f>
        <v>553.17704885727164</v>
      </c>
      <c r="H101" s="339">
        <f>VLOOKUP($B101,'[13]Div 9 forecast'!$D$549:$AF$630,'[13]Div 9 forecast'!Y$548,FALSE)</f>
        <v>546.68886997812899</v>
      </c>
      <c r="I101" s="339">
        <f>VLOOKUP($B101,'[13]Div 9 forecast'!$D$549:$AF$630,'[13]Div 9 forecast'!Z$548,FALSE)</f>
        <v>524.953862569286</v>
      </c>
      <c r="J101" s="339">
        <f>VLOOKUP($B101,'[13]Div 9 forecast'!$D$549:$AF$630,'[13]Div 9 forecast'!AA$548,FALSE)</f>
        <v>614.07167490114693</v>
      </c>
      <c r="K101" s="339">
        <f>VLOOKUP($B101,'[13]Div 9 forecast'!$D$549:$AF$630,'[13]Div 9 forecast'!AB$548,FALSE)</f>
        <v>365.05482034625277</v>
      </c>
      <c r="L101" s="339">
        <f>VLOOKUP($B101,'[13]Div 9 forecast'!$D$549:$AF$630,'[13]Div 9 forecast'!AC$548,FALSE)</f>
        <v>127.5635894923505</v>
      </c>
      <c r="M101" s="339">
        <f>VLOOKUP($B101,'[13]Div 9 forecast'!$D$549:$AF$630,'[13]Div 9 forecast'!AD$548,FALSE)</f>
        <v>692.50710878742962</v>
      </c>
      <c r="N101" s="339">
        <f>VLOOKUP($B101,'[13]Div 9 forecast'!$D$549:$AF$630,'[13]Div 9 forecast'!AE$548,FALSE)</f>
        <v>698.31145978470238</v>
      </c>
      <c r="O101" s="339">
        <f>VLOOKUP($B101,'[13]Div 9 forecast'!$D$549:$AF$630,'[13]Div 9 forecast'!AF$548,FALSE)</f>
        <v>828.31980609629386</v>
      </c>
      <c r="P101" s="95">
        <f t="shared" si="8"/>
        <v>8473.4698661444345</v>
      </c>
      <c r="Q101" s="73"/>
      <c r="R101" s="136"/>
      <c r="S101" s="73"/>
      <c r="Y101" s="725"/>
    </row>
    <row r="102" spans="1:25">
      <c r="A102" s="1036">
        <f t="shared" si="6"/>
        <v>91</v>
      </c>
      <c r="B102" s="570">
        <v>9220</v>
      </c>
      <c r="C102" s="73" t="s">
        <v>934</v>
      </c>
      <c r="D102" s="88">
        <f>-('C.2.2-F 02'!D44+'C.2.2-F 12'!D34+'C.2.2-F 91'!D63)</f>
        <v>1090878.6181110744</v>
      </c>
      <c r="E102" s="88">
        <f>-('C.2.2-F 02'!E44+'C.2.2-F 12'!E34+'C.2.2-F 91'!E63)</f>
        <v>1023854.7360053363</v>
      </c>
      <c r="F102" s="88">
        <f>-('C.2.2-F 02'!F44+'C.2.2-F 12'!F34+'C.2.2-F 91'!F63)</f>
        <v>1199348.3631700487</v>
      </c>
      <c r="G102" s="88">
        <f>-('C.2.2-F 02'!G44+'C.2.2-F 12'!G34+'C.2.2-F 91'!G63)</f>
        <v>1227443.4440062188</v>
      </c>
      <c r="H102" s="88">
        <f>-('C.2.2-F 02'!H44+'C.2.2-F 12'!H34+'C.2.2-F 91'!H63)</f>
        <v>1362182.5005613882</v>
      </c>
      <c r="I102" s="88">
        <f>-('C.2.2-F 02'!I44+'C.2.2-F 12'!I34+'C.2.2-F 91'!I63)</f>
        <v>1200161.734564479</v>
      </c>
      <c r="J102" s="88">
        <f>-('C.2.2-F 02'!J44+'C.2.2-F 12'!J34+'C.2.2-F 91'!J63)</f>
        <v>1310187.7858706554</v>
      </c>
      <c r="K102" s="88">
        <f>-('C.2.2-F 02'!K44+'C.2.2-F 12'!K34+'C.2.2-F 91'!K63)</f>
        <v>1155444.5284203952</v>
      </c>
      <c r="L102" s="88">
        <f>-('C.2.2-F 02'!L44+'C.2.2-F 12'!L34+'C.2.2-F 91'!L63)</f>
        <v>2791199.9127810965</v>
      </c>
      <c r="M102" s="88">
        <f>-('C.2.2-F 02'!M44+'C.2.2-F 12'!M34+'C.2.2-F 91'!M63)</f>
        <v>1148673.0479170671</v>
      </c>
      <c r="N102" s="88">
        <f>-('C.2.2-F 02'!N44+'C.2.2-F 12'!N34+'C.2.2-F 91'!N63)</f>
        <v>844701.17138431198</v>
      </c>
      <c r="O102" s="88">
        <f>-('C.2.2-F 02'!O44+'C.2.2-F 12'!O34+'C.2.2-F 91'!O63)</f>
        <v>1109596.9540405683</v>
      </c>
      <c r="P102" s="95">
        <f>SUM(D102:O102)</f>
        <v>15463672.796832643</v>
      </c>
      <c r="Q102" s="544"/>
      <c r="R102" s="136"/>
      <c r="S102" s="73"/>
      <c r="Y102" s="725"/>
    </row>
    <row r="103" spans="1:25">
      <c r="A103" s="1036">
        <f t="shared" si="6"/>
        <v>92</v>
      </c>
      <c r="B103" s="570">
        <v>9230</v>
      </c>
      <c r="C103" s="73" t="s">
        <v>935</v>
      </c>
      <c r="D103" s="339">
        <f>VLOOKUP($B103,'[13]Div 9 forecast'!$D$549:$AF$630,'[13]Div 9 forecast'!U$548,FALSE)</f>
        <v>17632.428855441482</v>
      </c>
      <c r="E103" s="339">
        <f>VLOOKUP($B103,'[13]Div 9 forecast'!$D$549:$AF$630,'[13]Div 9 forecast'!V$548,FALSE)</f>
        <v>21274.876860380667</v>
      </c>
      <c r="F103" s="339">
        <f>VLOOKUP($B103,'[13]Div 9 forecast'!$D$549:$AF$630,'[13]Div 9 forecast'!W$548,FALSE)</f>
        <v>26899.762418117276</v>
      </c>
      <c r="G103" s="339">
        <f>VLOOKUP($B103,'[13]Div 9 forecast'!$D$549:$AF$630,'[13]Div 9 forecast'!X$548,FALSE)</f>
        <v>21539.135553652792</v>
      </c>
      <c r="H103" s="339">
        <f>VLOOKUP($B103,'[13]Div 9 forecast'!$D$549:$AF$630,'[13]Div 9 forecast'!Y$548,FALSE)</f>
        <v>23186.539917270689</v>
      </c>
      <c r="I103" s="339">
        <f>VLOOKUP($B103,'[13]Div 9 forecast'!$D$549:$AF$630,'[13]Div 9 forecast'!Z$548,FALSE)</f>
        <v>25610.667250807288</v>
      </c>
      <c r="J103" s="339">
        <f>VLOOKUP($B103,'[13]Div 9 forecast'!$D$549:$AF$630,'[13]Div 9 forecast'!AA$548,FALSE)</f>
        <v>23625.012561579635</v>
      </c>
      <c r="K103" s="339">
        <f>VLOOKUP($B103,'[13]Div 9 forecast'!$D$549:$AF$630,'[13]Div 9 forecast'!AB$548,FALSE)</f>
        <v>20962.857221132461</v>
      </c>
      <c r="L103" s="339">
        <f>VLOOKUP($B103,'[13]Div 9 forecast'!$D$549:$AF$630,'[13]Div 9 forecast'!AC$548,FALSE)</f>
        <v>15106.135516612419</v>
      </c>
      <c r="M103" s="339">
        <f>VLOOKUP($B103,'[13]Div 9 forecast'!$D$549:$AF$630,'[13]Div 9 forecast'!AD$548,FALSE)</f>
        <v>23332.783071937556</v>
      </c>
      <c r="N103" s="339">
        <f>VLOOKUP($B103,'[13]Div 9 forecast'!$D$549:$AF$630,'[13]Div 9 forecast'!AE$548,FALSE)</f>
        <v>21769.908717468519</v>
      </c>
      <c r="O103" s="339">
        <f>VLOOKUP($B103,'[13]Div 9 forecast'!$D$549:$AF$630,'[13]Div 9 forecast'!AF$548,FALSE)</f>
        <v>16361.710076654479</v>
      </c>
      <c r="P103" s="95">
        <f t="shared" si="8"/>
        <v>257301.81802105525</v>
      </c>
      <c r="Q103" s="73"/>
      <c r="R103" s="136"/>
      <c r="S103" s="73"/>
      <c r="Y103" s="725"/>
    </row>
    <row r="104" spans="1:25">
      <c r="A104" s="1036">
        <f t="shared" si="6"/>
        <v>93</v>
      </c>
      <c r="B104" s="570">
        <v>9240</v>
      </c>
      <c r="C104" s="73" t="s">
        <v>936</v>
      </c>
      <c r="D104" s="339">
        <f>VLOOKUP($B104,'[13]Div 9 forecast'!$D$549:$AF$630,'[13]Div 9 forecast'!U$548,FALSE)</f>
        <v>12997.23497401812</v>
      </c>
      <c r="E104" s="339">
        <f>VLOOKUP($B104,'[13]Div 9 forecast'!$D$549:$AF$630,'[13]Div 9 forecast'!V$548,FALSE)</f>
        <v>12623.850895398566</v>
      </c>
      <c r="F104" s="339">
        <f>VLOOKUP($B104,'[13]Div 9 forecast'!$D$549:$AF$630,'[13]Div 9 forecast'!W$548,FALSE)</f>
        <v>11920.036737376609</v>
      </c>
      <c r="G104" s="339">
        <f>VLOOKUP($B104,'[13]Div 9 forecast'!$D$549:$AF$630,'[13]Div 9 forecast'!X$548,FALSE)</f>
        <v>343.99892592498952</v>
      </c>
      <c r="H104" s="339">
        <f>VLOOKUP($B104,'[13]Div 9 forecast'!$D$549:$AF$630,'[13]Div 9 forecast'!Y$548,FALSE)</f>
        <v>0</v>
      </c>
      <c r="I104" s="339">
        <f>VLOOKUP($B104,'[13]Div 9 forecast'!$D$549:$AF$630,'[13]Div 9 forecast'!Z$548,FALSE)</f>
        <v>0</v>
      </c>
      <c r="J104" s="339">
        <f>VLOOKUP($B104,'[13]Div 9 forecast'!$D$549:$AF$630,'[13]Div 9 forecast'!AA$548,FALSE)</f>
        <v>573.33154320831591</v>
      </c>
      <c r="K104" s="339">
        <f>VLOOKUP($B104,'[13]Div 9 forecast'!$D$549:$AF$630,'[13]Div 9 forecast'!AB$548,FALSE)</f>
        <v>0</v>
      </c>
      <c r="L104" s="339">
        <f>VLOOKUP($B104,'[13]Div 9 forecast'!$D$549:$AF$630,'[13]Div 9 forecast'!AC$548,FALSE)</f>
        <v>0</v>
      </c>
      <c r="M104" s="339">
        <f>VLOOKUP($B104,'[13]Div 9 forecast'!$D$549:$AF$630,'[13]Div 9 forecast'!AD$548,FALSE)</f>
        <v>11506.61118377938</v>
      </c>
      <c r="N104" s="339">
        <f>VLOOKUP($B104,'[13]Div 9 forecast'!$D$549:$AF$630,'[13]Div 9 forecast'!AE$548,FALSE)</f>
        <v>11009.043492900899</v>
      </c>
      <c r="O104" s="339">
        <f>VLOOKUP($B104,'[13]Div 9 forecast'!$D$549:$AF$630,'[13]Div 9 forecast'!AF$548,FALSE)</f>
        <v>11599.322716526451</v>
      </c>
      <c r="P104" s="95">
        <f t="shared" si="8"/>
        <v>72573.430469133338</v>
      </c>
      <c r="Q104" s="73"/>
      <c r="R104" s="136"/>
      <c r="S104" s="73"/>
      <c r="Y104" s="725"/>
    </row>
    <row r="105" spans="1:25">
      <c r="A105" s="1036">
        <f t="shared" si="6"/>
        <v>94</v>
      </c>
      <c r="B105" s="570">
        <v>9250</v>
      </c>
      <c r="C105" s="73" t="s">
        <v>937</v>
      </c>
      <c r="D105" s="339">
        <f>VLOOKUP($B105,'[13]Div 9 forecast'!$D$549:$AF$630,'[13]Div 9 forecast'!U$548,FALSE)</f>
        <v>6515.7784610850231</v>
      </c>
      <c r="E105" s="339">
        <f>VLOOKUP($B105,'[13]Div 9 forecast'!$D$549:$AF$630,'[13]Div 9 forecast'!V$548,FALSE)</f>
        <v>7096.9196709750104</v>
      </c>
      <c r="F105" s="339">
        <f>VLOOKUP($B105,'[13]Div 9 forecast'!$D$549:$AF$630,'[13]Div 9 forecast'!W$548,FALSE)</f>
        <v>7965.7269100864542</v>
      </c>
      <c r="G105" s="339">
        <f>VLOOKUP($B105,'[13]Div 9 forecast'!$D$549:$AF$630,'[13]Div 9 forecast'!X$548,FALSE)</f>
        <v>4093.6557435737195</v>
      </c>
      <c r="H105" s="339">
        <f>VLOOKUP($B105,'[13]Div 9 forecast'!$D$549:$AF$630,'[13]Div 9 forecast'!Y$548,FALSE)</f>
        <v>4315.5896013951615</v>
      </c>
      <c r="I105" s="339">
        <f>VLOOKUP($B105,'[13]Div 9 forecast'!$D$549:$AF$630,'[13]Div 9 forecast'!Z$548,FALSE)</f>
        <v>4762.1204043717316</v>
      </c>
      <c r="J105" s="339">
        <f>VLOOKUP($B105,'[13]Div 9 forecast'!$D$549:$AF$630,'[13]Div 9 forecast'!AA$548,FALSE)</f>
        <v>4535.7948540068737</v>
      </c>
      <c r="K105" s="339">
        <f>VLOOKUP($B105,'[13]Div 9 forecast'!$D$549:$AF$630,'[13]Div 9 forecast'!AB$548,FALSE)</f>
        <v>3904.8303007151735</v>
      </c>
      <c r="L105" s="339">
        <f>VLOOKUP($B105,'[13]Div 9 forecast'!$D$549:$AF$630,'[13]Div 9 forecast'!AC$548,FALSE)</f>
        <v>2816.123316729997</v>
      </c>
      <c r="M105" s="339">
        <f>VLOOKUP($B105,'[13]Div 9 forecast'!$D$549:$AF$630,'[13]Div 9 forecast'!AD$548,FALSE)</f>
        <v>7214.1280627347023</v>
      </c>
      <c r="N105" s="339">
        <f>VLOOKUP($B105,'[13]Div 9 forecast'!$D$549:$AF$630,'[13]Div 9 forecast'!AE$548,FALSE)</f>
        <v>6830.3119966913737</v>
      </c>
      <c r="O105" s="339">
        <f>VLOOKUP($B105,'[13]Div 9 forecast'!$D$549:$AF$630,'[13]Div 9 forecast'!AF$548,FALSE)</f>
        <v>5943.0648984274239</v>
      </c>
      <c r="P105" s="95">
        <f t="shared" si="8"/>
        <v>65994.044220792639</v>
      </c>
      <c r="Q105" s="73"/>
      <c r="R105" s="136"/>
      <c r="S105" s="73"/>
      <c r="Y105" s="725"/>
    </row>
    <row r="106" spans="1:25">
      <c r="A106" s="1036">
        <f t="shared" si="6"/>
        <v>95</v>
      </c>
      <c r="B106" s="570">
        <v>9260</v>
      </c>
      <c r="C106" s="73" t="s">
        <v>938</v>
      </c>
      <c r="D106" s="339">
        <f>VLOOKUP($B106,'[13]Div 9 forecast'!$D$549:$AF$630,'[13]Div 9 forecast'!U$548,FALSE)</f>
        <v>128588.0717670876</v>
      </c>
      <c r="E106" s="339">
        <f>VLOOKUP($B106,'[13]Div 9 forecast'!$D$549:$AF$630,'[13]Div 9 forecast'!V$548,FALSE)</f>
        <v>130552.88573341547</v>
      </c>
      <c r="F106" s="339">
        <f>VLOOKUP($B106,'[13]Div 9 forecast'!$D$549:$AF$630,'[13]Div 9 forecast'!W$548,FALSE)</f>
        <v>139155.89445690415</v>
      </c>
      <c r="G106" s="339">
        <f>VLOOKUP($B106,'[13]Div 9 forecast'!$D$549:$AF$630,'[13]Div 9 forecast'!X$548,FALSE)</f>
        <v>163239.97701350515</v>
      </c>
      <c r="H106" s="339">
        <f>VLOOKUP($B106,'[13]Div 9 forecast'!$D$549:$AF$630,'[13]Div 9 forecast'!Y$548,FALSE)</f>
        <v>160232.19338835438</v>
      </c>
      <c r="I106" s="339">
        <f>VLOOKUP($B106,'[13]Div 9 forecast'!$D$549:$AF$630,'[13]Div 9 forecast'!Z$548,FALSE)</f>
        <v>159525.26899953571</v>
      </c>
      <c r="J106" s="339">
        <f>VLOOKUP($B106,'[13]Div 9 forecast'!$D$549:$AF$630,'[13]Div 9 forecast'!AA$548,FALSE)</f>
        <v>157448.03524540618</v>
      </c>
      <c r="K106" s="339">
        <f>VLOOKUP($B106,'[13]Div 9 forecast'!$D$549:$AF$630,'[13]Div 9 forecast'!AB$548,FALSE)</f>
        <v>162662.32873031052</v>
      </c>
      <c r="L106" s="339">
        <f>VLOOKUP($B106,'[13]Div 9 forecast'!$D$549:$AF$630,'[13]Div 9 forecast'!AC$548,FALSE)</f>
        <v>155682.79554705959</v>
      </c>
      <c r="M106" s="339">
        <f>VLOOKUP($B106,'[13]Div 9 forecast'!$D$549:$AF$630,'[13]Div 9 forecast'!AD$548,FALSE)</f>
        <v>139965.3376553565</v>
      </c>
      <c r="N106" s="339">
        <f>VLOOKUP($B106,'[13]Div 9 forecast'!$D$549:$AF$630,'[13]Div 9 forecast'!AE$548,FALSE)</f>
        <v>142606.72319733014</v>
      </c>
      <c r="O106" s="339">
        <f>VLOOKUP($B106,'[13]Div 9 forecast'!$D$549:$AF$630,'[13]Div 9 forecast'!AF$548,FALSE)</f>
        <v>154757.72575934418</v>
      </c>
      <c r="P106" s="95">
        <f t="shared" si="8"/>
        <v>1794417.2374936095</v>
      </c>
      <c r="Q106" s="73"/>
      <c r="R106" s="136"/>
      <c r="S106" s="73"/>
      <c r="Y106" s="725"/>
    </row>
    <row r="107" spans="1:25">
      <c r="A107" s="1036">
        <f t="shared" si="6"/>
        <v>96</v>
      </c>
      <c r="B107" s="570">
        <v>9270</v>
      </c>
      <c r="C107" s="73" t="s">
        <v>939</v>
      </c>
      <c r="D107" s="339">
        <f>VLOOKUP($B107,'[13]Div 9 forecast'!$D$549:$AF$630,'[13]Div 9 forecast'!U$548,FALSE)</f>
        <v>47.542891246695653</v>
      </c>
      <c r="E107" s="339">
        <f>VLOOKUP($B107,'[13]Div 9 forecast'!$D$549:$AF$630,'[13]Div 9 forecast'!V$548,FALSE)</f>
        <v>41.608171702885713</v>
      </c>
      <c r="F107" s="339">
        <f>VLOOKUP($B107,'[13]Div 9 forecast'!$D$549:$AF$630,'[13]Div 9 forecast'!W$548,FALSE)</f>
        <v>53.453790028460809</v>
      </c>
      <c r="G107" s="339">
        <f>VLOOKUP($B107,'[13]Div 9 forecast'!$D$549:$AF$630,'[13]Div 9 forecast'!X$548,FALSE)</f>
        <v>57.901821074445429</v>
      </c>
      <c r="H107" s="339">
        <f>VLOOKUP($B107,'[13]Div 9 forecast'!$D$549:$AF$630,'[13]Div 9 forecast'!Y$548,FALSE)</f>
        <v>55.110325522324104</v>
      </c>
      <c r="I107" s="339">
        <f>VLOOKUP($B107,'[13]Div 9 forecast'!$D$549:$AF$630,'[13]Div 9 forecast'!Z$548,FALSE)</f>
        <v>66.896640075725244</v>
      </c>
      <c r="J107" s="339">
        <f>VLOOKUP($B107,'[13]Div 9 forecast'!$D$549:$AF$630,'[13]Div 9 forecast'!AA$548,FALSE)</f>
        <v>85.010344547268062</v>
      </c>
      <c r="K107" s="339">
        <f>VLOOKUP($B107,'[13]Div 9 forecast'!$D$549:$AF$630,'[13]Div 9 forecast'!AB$548,FALSE)</f>
        <v>54.489993177408252</v>
      </c>
      <c r="L107" s="339">
        <f>VLOOKUP($B107,'[13]Div 9 forecast'!$D$549:$AF$630,'[13]Div 9 forecast'!AC$548,FALSE)</f>
        <v>480.23648814005435</v>
      </c>
      <c r="M107" s="339">
        <f>VLOOKUP($B107,'[13]Div 9 forecast'!$D$549:$AF$630,'[13]Div 9 forecast'!AD$548,FALSE)</f>
        <v>48.531452871553547</v>
      </c>
      <c r="N107" s="339">
        <f>VLOOKUP($B107,'[13]Div 9 forecast'!$D$549:$AF$630,'[13]Div 9 forecast'!AE$548,FALSE)</f>
        <v>55.514410011802283</v>
      </c>
      <c r="O107" s="339">
        <f>VLOOKUP($B107,'[13]Div 9 forecast'!$D$549:$AF$630,'[13]Div 9 forecast'!AF$548,FALSE)</f>
        <v>44.849284138602052</v>
      </c>
      <c r="P107" s="95">
        <f t="shared" si="8"/>
        <v>1091.1456125372256</v>
      </c>
      <c r="Q107" s="73"/>
      <c r="R107" s="136"/>
      <c r="S107" s="73"/>
      <c r="Y107" s="725"/>
    </row>
    <row r="108" spans="1:25">
      <c r="A108" s="1036">
        <f t="shared" si="6"/>
        <v>97</v>
      </c>
      <c r="B108" s="570">
        <v>9280</v>
      </c>
      <c r="C108" s="73" t="s">
        <v>940</v>
      </c>
      <c r="D108" s="339">
        <f>VLOOKUP($B108,'[13]Div 9 forecast'!$D$549:$AF$630,'[13]Div 9 forecast'!U$548,FALSE)</f>
        <v>7921.3437568983518</v>
      </c>
      <c r="E108" s="339">
        <f>VLOOKUP($B108,'[13]Div 9 forecast'!$D$549:$AF$630,'[13]Div 9 forecast'!V$548,FALSE)</f>
        <v>7847.3331851078001</v>
      </c>
      <c r="F108" s="339">
        <f>VLOOKUP($B108,'[13]Div 9 forecast'!$D$549:$AF$630,'[13]Div 9 forecast'!W$548,FALSE)</f>
        <v>10013.803045644308</v>
      </c>
      <c r="G108" s="339">
        <f>VLOOKUP($B108,'[13]Div 9 forecast'!$D$549:$AF$630,'[13]Div 9 forecast'!X$548,FALSE)</f>
        <v>9657.4454873552022</v>
      </c>
      <c r="H108" s="339">
        <f>VLOOKUP($B108,'[13]Div 9 forecast'!$D$549:$AF$630,'[13]Div 9 forecast'!Y$548,FALSE)</f>
        <v>9612.3194078757642</v>
      </c>
      <c r="I108" s="339">
        <f>VLOOKUP($B108,'[13]Div 9 forecast'!$D$549:$AF$630,'[13]Div 9 forecast'!Z$548,FALSE)</f>
        <v>11271.270854412345</v>
      </c>
      <c r="J108" s="339">
        <f>VLOOKUP($B108,'[13]Div 9 forecast'!$D$549:$AF$630,'[13]Div 9 forecast'!AA$548,FALSE)</f>
        <v>12926.732220531212</v>
      </c>
      <c r="K108" s="339">
        <f>VLOOKUP($B108,'[13]Div 9 forecast'!$D$549:$AF$630,'[13]Div 9 forecast'!AB$548,FALSE)</f>
        <v>9196.8608409912886</v>
      </c>
      <c r="L108" s="339">
        <f>VLOOKUP($B108,'[13]Div 9 forecast'!$D$549:$AF$630,'[13]Div 9 forecast'!AC$548,FALSE)</f>
        <v>54496.514683375353</v>
      </c>
      <c r="M108" s="339">
        <f>VLOOKUP($B108,'[13]Div 9 forecast'!$D$549:$AF$630,'[13]Div 9 forecast'!AD$548,FALSE)</f>
        <v>8921.0502710063247</v>
      </c>
      <c r="N108" s="339">
        <f>VLOOKUP($B108,'[13]Div 9 forecast'!$D$549:$AF$630,'[13]Div 9 forecast'!AE$548,FALSE)</f>
        <v>9434.4099156895027</v>
      </c>
      <c r="O108" s="339">
        <f>VLOOKUP($B108,'[13]Div 9 forecast'!$D$549:$AF$630,'[13]Div 9 forecast'!AF$548,FALSE)</f>
        <v>7430.0098256537185</v>
      </c>
      <c r="P108" s="95">
        <f t="shared" si="8"/>
        <v>158729.09349454119</v>
      </c>
      <c r="Q108" s="73"/>
      <c r="R108" s="136"/>
      <c r="S108" s="73"/>
      <c r="Y108" s="725"/>
    </row>
    <row r="109" spans="1:25">
      <c r="A109" s="1036">
        <f t="shared" si="6"/>
        <v>98</v>
      </c>
      <c r="B109" s="570">
        <v>9302</v>
      </c>
      <c r="C109" s="73" t="s">
        <v>849</v>
      </c>
      <c r="D109" s="339">
        <f>VLOOKUP($B109,'[13]Div 9 forecast'!$D$549:$AF$630,'[13]Div 9 forecast'!U$548,FALSE)</f>
        <v>15864.723697994592</v>
      </c>
      <c r="E109" s="339">
        <f>VLOOKUP($B109,'[13]Div 9 forecast'!$D$549:$AF$630,'[13]Div 9 forecast'!V$548,FALSE)</f>
        <v>4434.7812043234917</v>
      </c>
      <c r="F109" s="339">
        <f>VLOOKUP($B109,'[13]Div 9 forecast'!$D$549:$AF$630,'[13]Div 9 forecast'!W$548,FALSE)</f>
        <v>11073.378806716773</v>
      </c>
      <c r="G109" s="339">
        <f>VLOOKUP($B109,'[13]Div 9 forecast'!$D$549:$AF$630,'[13]Div 9 forecast'!X$548,FALSE)</f>
        <v>1498.4950235676317</v>
      </c>
      <c r="H109" s="339">
        <f>VLOOKUP($B109,'[13]Div 9 forecast'!$D$549:$AF$630,'[13]Div 9 forecast'!Y$548,FALSE)</f>
        <v>16294.86956373161</v>
      </c>
      <c r="I109" s="339">
        <f>VLOOKUP($B109,'[13]Div 9 forecast'!$D$549:$AF$630,'[13]Div 9 forecast'!Z$548,FALSE)</f>
        <v>12115.206254272283</v>
      </c>
      <c r="J109" s="339">
        <f>VLOOKUP($B109,'[13]Div 9 forecast'!$D$549:$AF$630,'[13]Div 9 forecast'!AA$548,FALSE)</f>
        <v>1952.0695506477005</v>
      </c>
      <c r="K109" s="339">
        <f>VLOOKUP($B109,'[13]Div 9 forecast'!$D$549:$AF$630,'[13]Div 9 forecast'!AB$548,FALSE)</f>
        <v>471.83068938081772</v>
      </c>
      <c r="L109" s="339">
        <f>VLOOKUP($B109,'[13]Div 9 forecast'!$D$549:$AF$630,'[13]Div 9 forecast'!AC$548,FALSE)</f>
        <v>2261.7843762973466</v>
      </c>
      <c r="M109" s="339">
        <f>VLOOKUP($B109,'[13]Div 9 forecast'!$D$549:$AF$630,'[13]Div 9 forecast'!AD$548,FALSE)</f>
        <v>18384.31644790955</v>
      </c>
      <c r="N109" s="339">
        <f>VLOOKUP($B109,'[13]Div 9 forecast'!$D$549:$AF$630,'[13]Div 9 forecast'!AE$548,FALSE)</f>
        <v>4947.7303922957772</v>
      </c>
      <c r="O109" s="339">
        <f>VLOOKUP($B109,'[13]Div 9 forecast'!$D$549:$AF$630,'[13]Div 9 forecast'!AF$548,FALSE)</f>
        <v>6510.2394507598146</v>
      </c>
      <c r="P109" s="95">
        <f t="shared" si="8"/>
        <v>95809.425457897392</v>
      </c>
      <c r="Q109" s="73"/>
      <c r="R109" s="66"/>
      <c r="S109" s="73"/>
      <c r="Y109" s="725"/>
    </row>
    <row r="110" spans="1:25">
      <c r="A110" s="1036">
        <f t="shared" si="6"/>
        <v>99</v>
      </c>
      <c r="B110" s="570">
        <v>9310</v>
      </c>
      <c r="C110" s="95" t="s">
        <v>183</v>
      </c>
      <c r="D110" s="339">
        <f>VLOOKUP($B110,'[13]Div 9 forecast'!$D$549:$AF$630,'[13]Div 9 forecast'!U$548,FALSE)</f>
        <v>265.97382066579428</v>
      </c>
      <c r="E110" s="339">
        <f>VLOOKUP($B110,'[13]Div 9 forecast'!$D$549:$AF$630,'[13]Div 9 forecast'!V$548,FALSE)</f>
        <v>72.704003193683576</v>
      </c>
      <c r="F110" s="339">
        <f>VLOOKUP($B110,'[13]Div 9 forecast'!$D$549:$AF$630,'[13]Div 9 forecast'!W$548,FALSE)</f>
        <v>184.46853112732592</v>
      </c>
      <c r="G110" s="339">
        <f>VLOOKUP($B110,'[13]Div 9 forecast'!$D$549:$AF$630,'[13]Div 9 forecast'!X$548,FALSE)</f>
        <v>22.01867417773736</v>
      </c>
      <c r="H110" s="339">
        <f>VLOOKUP($B110,'[13]Div 9 forecast'!$D$549:$AF$630,'[13]Div 9 forecast'!Y$548,FALSE)</f>
        <v>272.82042183237593</v>
      </c>
      <c r="I110" s="339">
        <f>VLOOKUP($B110,'[13]Div 9 forecast'!$D$549:$AF$630,'[13]Div 9 forecast'!Z$548,FALSE)</f>
        <v>201.33513717314639</v>
      </c>
      <c r="J110" s="339">
        <f>VLOOKUP($B110,'[13]Div 9 forecast'!$D$549:$AF$630,'[13]Div 9 forecast'!AA$548,FALSE)</f>
        <v>28.126594069506968</v>
      </c>
      <c r="K110" s="339">
        <f>VLOOKUP($B110,'[13]Div 9 forecast'!$D$549:$AF$630,'[13]Div 9 forecast'!AB$548,FALSE)</f>
        <v>4.8260107786821607</v>
      </c>
      <c r="L110" s="339">
        <f>VLOOKUP($B110,'[13]Div 9 forecast'!$D$549:$AF$630,'[13]Div 9 forecast'!AC$548,FALSE)</f>
        <v>10.40608574153341</v>
      </c>
      <c r="M110" s="339">
        <f>VLOOKUP($B110,'[13]Div 9 forecast'!$D$549:$AF$630,'[13]Div 9 forecast'!AD$548,FALSE)</f>
        <v>308.59639379893099</v>
      </c>
      <c r="N110" s="339">
        <f>VLOOKUP($B110,'[13]Div 9 forecast'!$D$549:$AF$630,'[13]Div 9 forecast'!AE$548,FALSE)</f>
        <v>80.58487879527155</v>
      </c>
      <c r="O110" s="339">
        <f>VLOOKUP($B110,'[13]Div 9 forecast'!$D$549:$AF$630,'[13]Div 9 forecast'!AF$548,FALSE)</f>
        <v>107.67237241899353</v>
      </c>
      <c r="P110" s="95">
        <f t="shared" si="8"/>
        <v>1559.532923772982</v>
      </c>
      <c r="Q110" s="73"/>
      <c r="R110" s="66"/>
      <c r="S110" s="73"/>
      <c r="Y110" s="725"/>
    </row>
    <row r="111" spans="1:25">
      <c r="A111" s="1036">
        <f t="shared" si="6"/>
        <v>100</v>
      </c>
      <c r="B111" s="669">
        <v>9320</v>
      </c>
      <c r="C111" s="72" t="s">
        <v>184</v>
      </c>
      <c r="D111" s="339">
        <f>VLOOKUP($B111,'[13]Div 9 forecast'!$D$549:$AF$630,'[13]Div 9 forecast'!U$548,FALSE)</f>
        <v>0</v>
      </c>
      <c r="E111" s="339">
        <f>VLOOKUP($B111,'[13]Div 9 forecast'!$D$549:$AF$630,'[13]Div 9 forecast'!V$548,FALSE)</f>
        <v>0</v>
      </c>
      <c r="F111" s="339">
        <f>VLOOKUP($B111,'[13]Div 9 forecast'!$D$549:$AF$630,'[13]Div 9 forecast'!W$548,FALSE)</f>
        <v>0</v>
      </c>
      <c r="G111" s="339">
        <f>VLOOKUP($B111,'[13]Div 9 forecast'!$D$549:$AF$630,'[13]Div 9 forecast'!X$548,FALSE)</f>
        <v>0</v>
      </c>
      <c r="H111" s="339">
        <f>VLOOKUP($B111,'[13]Div 9 forecast'!$D$549:$AF$630,'[13]Div 9 forecast'!Y$548,FALSE)</f>
        <v>0</v>
      </c>
      <c r="I111" s="339">
        <f>VLOOKUP($B111,'[13]Div 9 forecast'!$D$549:$AF$630,'[13]Div 9 forecast'!Z$548,FALSE)</f>
        <v>0</v>
      </c>
      <c r="J111" s="339">
        <f>VLOOKUP($B111,'[13]Div 9 forecast'!$D$549:$AF$630,'[13]Div 9 forecast'!AA$548,FALSE)</f>
        <v>0</v>
      </c>
      <c r="K111" s="339">
        <f>VLOOKUP($B111,'[13]Div 9 forecast'!$D$549:$AF$630,'[13]Div 9 forecast'!AB$548,FALSE)</f>
        <v>0</v>
      </c>
      <c r="L111" s="339">
        <f>VLOOKUP($B111,'[13]Div 9 forecast'!$D$549:$AF$630,'[13]Div 9 forecast'!AC$548,FALSE)</f>
        <v>0</v>
      </c>
      <c r="M111" s="339">
        <f>VLOOKUP($B111,'[13]Div 9 forecast'!$D$549:$AF$630,'[13]Div 9 forecast'!AD$548,FALSE)</f>
        <v>0</v>
      </c>
      <c r="N111" s="339">
        <f>VLOOKUP($B111,'[13]Div 9 forecast'!$D$549:$AF$630,'[13]Div 9 forecast'!AE$548,FALSE)</f>
        <v>0</v>
      </c>
      <c r="O111" s="339">
        <f>VLOOKUP($B111,'[13]Div 9 forecast'!$D$549:$AF$630,'[13]Div 9 forecast'!AF$548,FALSE)</f>
        <v>0</v>
      </c>
      <c r="P111" s="95">
        <f>SUM(D111:O111)</f>
        <v>0</v>
      </c>
      <c r="Q111" s="73"/>
      <c r="R111" s="73"/>
      <c r="S111" s="73"/>
      <c r="Y111" s="725"/>
    </row>
    <row r="112" spans="1:25">
      <c r="A112" s="1036">
        <f t="shared" si="6"/>
        <v>101</v>
      </c>
      <c r="B112" s="669"/>
      <c r="D112" s="942"/>
      <c r="E112" s="942"/>
      <c r="F112" s="942"/>
      <c r="G112" s="942"/>
      <c r="H112" s="942"/>
      <c r="I112" s="942"/>
      <c r="J112" s="942"/>
      <c r="K112" s="942"/>
      <c r="L112" s="942"/>
      <c r="M112" s="942"/>
      <c r="N112" s="942"/>
      <c r="O112" s="942"/>
      <c r="P112" s="544"/>
      <c r="Q112" s="73"/>
      <c r="R112" s="73"/>
      <c r="S112" s="73"/>
      <c r="Y112" s="725"/>
    </row>
    <row r="113" spans="1:25" ht="15.75" thickBot="1">
      <c r="A113" s="1036">
        <f t="shared" si="6"/>
        <v>102</v>
      </c>
      <c r="B113" s="73"/>
      <c r="C113" s="73" t="s">
        <v>728</v>
      </c>
      <c r="D113" s="1131">
        <f t="shared" ref="D113:O113" si="10">SUM(D14:D111)</f>
        <v>-5596644.1741795829</v>
      </c>
      <c r="E113" s="1131">
        <f t="shared" si="10"/>
        <v>-6112640.7937715957</v>
      </c>
      <c r="F113" s="1131">
        <f t="shared" si="10"/>
        <v>-4265418.9767042566</v>
      </c>
      <c r="G113" s="1131">
        <f t="shared" si="10"/>
        <v>-3114155.4096672637</v>
      </c>
      <c r="H113" s="1131">
        <f t="shared" si="10"/>
        <v>-1595987.1174081801</v>
      </c>
      <c r="I113" s="1131">
        <f t="shared" si="10"/>
        <v>-1129627.2934251719</v>
      </c>
      <c r="J113" s="1131">
        <f t="shared" si="10"/>
        <v>-1012753.8863547235</v>
      </c>
      <c r="K113" s="1131">
        <f t="shared" si="10"/>
        <v>-1178971.4296174264</v>
      </c>
      <c r="L113" s="1131">
        <f t="shared" si="10"/>
        <v>345560.17366752506</v>
      </c>
      <c r="M113" s="1131">
        <f t="shared" si="10"/>
        <v>-1770961.5749097925</v>
      </c>
      <c r="N113" s="1131">
        <f t="shared" si="10"/>
        <v>-3427144.8229907439</v>
      </c>
      <c r="O113" s="1131">
        <f t="shared" si="10"/>
        <v>-4633040.9468000317</v>
      </c>
      <c r="P113" s="1131">
        <f>SUM(P12:P111)</f>
        <v>-27201349.522450708</v>
      </c>
      <c r="Q113" s="727"/>
      <c r="R113" s="73"/>
      <c r="S113" s="73"/>
      <c r="Y113" s="725"/>
    </row>
    <row r="114" spans="1:25" ht="15.75" thickTop="1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</row>
    <row r="115" spans="1:25">
      <c r="A115" s="73"/>
      <c r="B115" s="73"/>
      <c r="C115" s="73" t="s">
        <v>196</v>
      </c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</row>
    <row r="116" spans="1:25">
      <c r="A116" s="73"/>
      <c r="B116" s="73"/>
      <c r="C116" s="188" t="s">
        <v>1195</v>
      </c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</row>
    <row r="117" spans="1:25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95"/>
      <c r="Q117" s="95">
        <f>SUM(P30:P111)</f>
        <v>109044302.73419572</v>
      </c>
      <c r="R117" s="73"/>
      <c r="S117" s="73"/>
    </row>
    <row r="118" spans="1:25">
      <c r="A118" s="73"/>
      <c r="B118" s="73"/>
      <c r="C118" s="73"/>
      <c r="D118" s="95">
        <f t="shared" ref="D118:P118" si="11">SUM(D47:D111)+D31+D30</f>
        <v>2256067.1938425289</v>
      </c>
      <c r="E118" s="95">
        <f t="shared" si="11"/>
        <v>2240569.0170447137</v>
      </c>
      <c r="F118" s="95">
        <f t="shared" si="11"/>
        <v>2561668.3278572136</v>
      </c>
      <c r="G118" s="95">
        <f t="shared" si="11"/>
        <v>2589101.1644023634</v>
      </c>
      <c r="H118" s="95">
        <f t="shared" si="11"/>
        <v>2744661.9046407104</v>
      </c>
      <c r="I118" s="95">
        <f t="shared" si="11"/>
        <v>2629160.7988510933</v>
      </c>
      <c r="J118" s="95">
        <f t="shared" si="11"/>
        <v>2706076.1200264446</v>
      </c>
      <c r="K118" s="95">
        <f t="shared" si="11"/>
        <v>2511017.761619193</v>
      </c>
      <c r="L118" s="95">
        <f t="shared" si="11"/>
        <v>4150062.9686708655</v>
      </c>
      <c r="M118" s="95">
        <f t="shared" si="11"/>
        <v>2384557.5067859967</v>
      </c>
      <c r="N118" s="95">
        <f t="shared" si="11"/>
        <v>2060716.6471705693</v>
      </c>
      <c r="O118" s="95">
        <f t="shared" si="11"/>
        <v>2336986.9868104151</v>
      </c>
      <c r="P118" s="95">
        <f t="shared" si="11"/>
        <v>31170646.397722118</v>
      </c>
      <c r="Q118" s="73"/>
      <c r="R118" s="73"/>
      <c r="S118" s="73"/>
    </row>
    <row r="119" spans="1:25">
      <c r="A119" s="73"/>
      <c r="B119" s="73" t="s">
        <v>942</v>
      </c>
      <c r="C119" s="73"/>
      <c r="D119" s="95">
        <f>D118-D102</f>
        <v>1165188.5757314544</v>
      </c>
      <c r="E119" s="95">
        <f t="shared" ref="E119:P119" si="12">E118-E102</f>
        <v>1216714.2810393774</v>
      </c>
      <c r="F119" s="95">
        <f t="shared" si="12"/>
        <v>1362319.9646871649</v>
      </c>
      <c r="G119" s="95">
        <f t="shared" si="12"/>
        <v>1361657.7203961445</v>
      </c>
      <c r="H119" s="95">
        <f t="shared" si="12"/>
        <v>1382479.4040793222</v>
      </c>
      <c r="I119" s="95">
        <f t="shared" si="12"/>
        <v>1428999.0642866143</v>
      </c>
      <c r="J119" s="95">
        <f t="shared" si="12"/>
        <v>1395888.3341557891</v>
      </c>
      <c r="K119" s="95">
        <f t="shared" si="12"/>
        <v>1355573.2331987978</v>
      </c>
      <c r="L119" s="95">
        <f t="shared" si="12"/>
        <v>1358863.055889769</v>
      </c>
      <c r="M119" s="95">
        <f t="shared" si="12"/>
        <v>1235884.4588689297</v>
      </c>
      <c r="N119" s="95">
        <f t="shared" si="12"/>
        <v>1216015.4757862573</v>
      </c>
      <c r="O119" s="95">
        <f t="shared" si="12"/>
        <v>1227390.0327698467</v>
      </c>
      <c r="P119" s="95">
        <f t="shared" si="12"/>
        <v>15706973.600889474</v>
      </c>
      <c r="Q119" s="73"/>
      <c r="R119" s="73"/>
      <c r="S119" s="73"/>
    </row>
    <row r="120" spans="1:25">
      <c r="A120" s="73"/>
      <c r="B120" s="73" t="s">
        <v>1571</v>
      </c>
      <c r="C120" s="73"/>
      <c r="D120" s="665"/>
      <c r="E120" s="665"/>
      <c r="F120" s="665"/>
      <c r="G120" s="73"/>
      <c r="H120" s="73"/>
      <c r="I120" s="73"/>
      <c r="J120" s="73"/>
      <c r="K120" s="73"/>
      <c r="L120" s="73"/>
      <c r="M120" s="73"/>
      <c r="N120" s="73"/>
      <c r="O120" s="73"/>
      <c r="P120" s="95">
        <f>-'C.2.1 F'!D177</f>
        <v>-27201349.522450656</v>
      </c>
      <c r="Q120" s="95">
        <f>P113-P120</f>
        <v>-5.2154064178466797E-8</v>
      </c>
      <c r="R120" s="73"/>
      <c r="S120" s="73"/>
    </row>
    <row r="121" spans="1:25">
      <c r="A121" s="73"/>
      <c r="B121" s="73" t="s">
        <v>1583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</row>
    <row r="122" spans="1:25">
      <c r="A122" s="73"/>
      <c r="B122" s="188" t="s">
        <v>1591</v>
      </c>
      <c r="C122" s="73"/>
      <c r="D122" s="95">
        <f t="shared" ref="D122:P122" si="13">SUM(D47:D111)+D31+D30-D102</f>
        <v>1165188.5757314544</v>
      </c>
      <c r="E122" s="95">
        <f t="shared" si="13"/>
        <v>1216714.2810393774</v>
      </c>
      <c r="F122" s="95">
        <f t="shared" si="13"/>
        <v>1362319.9646871649</v>
      </c>
      <c r="G122" s="95">
        <f t="shared" si="13"/>
        <v>1361657.7203961445</v>
      </c>
      <c r="H122" s="95">
        <f t="shared" si="13"/>
        <v>1382479.4040793222</v>
      </c>
      <c r="I122" s="95">
        <f t="shared" si="13"/>
        <v>1428999.0642866143</v>
      </c>
      <c r="J122" s="95">
        <f t="shared" si="13"/>
        <v>1395888.3341557891</v>
      </c>
      <c r="K122" s="95">
        <f t="shared" si="13"/>
        <v>1355573.2331987978</v>
      </c>
      <c r="L122" s="95">
        <f t="shared" si="13"/>
        <v>1358863.055889769</v>
      </c>
      <c r="M122" s="95">
        <f t="shared" si="13"/>
        <v>1235884.4588689297</v>
      </c>
      <c r="N122" s="95">
        <f t="shared" si="13"/>
        <v>1216015.4757862573</v>
      </c>
      <c r="O122" s="95">
        <f t="shared" si="13"/>
        <v>1227390.0327698467</v>
      </c>
      <c r="P122" s="95">
        <f t="shared" si="13"/>
        <v>15706973.600889474</v>
      </c>
      <c r="Q122" s="73" t="s">
        <v>113</v>
      </c>
      <c r="R122" s="73"/>
      <c r="S122" s="73"/>
    </row>
    <row r="123" spans="1:25">
      <c r="A123" s="73"/>
      <c r="B123" s="73"/>
      <c r="C123" s="73"/>
      <c r="D123" s="95">
        <f>'[13]Div 9 forecast'!U537</f>
        <v>1165188.5757314549</v>
      </c>
      <c r="E123" s="95">
        <f>'[13]Div 9 forecast'!V537</f>
        <v>1216714.2810393774</v>
      </c>
      <c r="F123" s="95">
        <f>'[13]Div 9 forecast'!W537</f>
        <v>1362319.9646871646</v>
      </c>
      <c r="G123" s="95">
        <f>'[13]Div 9 forecast'!X537</f>
        <v>1361657.7203961443</v>
      </c>
      <c r="H123" s="95">
        <f>'[13]Div 9 forecast'!Y537</f>
        <v>1382479.4040793225</v>
      </c>
      <c r="I123" s="95">
        <f>'[13]Div 9 forecast'!Z537</f>
        <v>1428999.0642866145</v>
      </c>
      <c r="J123" s="95">
        <f>'[13]Div 9 forecast'!AA537</f>
        <v>1395888.3341557893</v>
      </c>
      <c r="K123" s="95">
        <f>'[13]Div 9 forecast'!AB537</f>
        <v>1355573.2331987978</v>
      </c>
      <c r="L123" s="95">
        <f>'[13]Div 9 forecast'!AC537</f>
        <v>1358863.055889769</v>
      </c>
      <c r="M123" s="95">
        <f>'[13]Div 9 forecast'!AD537</f>
        <v>1235884.4588689299</v>
      </c>
      <c r="N123" s="95">
        <f>'[13]Div 9 forecast'!AE537</f>
        <v>1216015.4757862568</v>
      </c>
      <c r="O123" s="95">
        <f>'[13]Div 9 forecast'!AF537</f>
        <v>1227390.032769847</v>
      </c>
      <c r="P123" s="95">
        <f>'[13]Div 9 forecast'!AI537</f>
        <v>15706973.600889469</v>
      </c>
      <c r="Q123" s="73"/>
      <c r="R123" s="73"/>
      <c r="S123" s="73"/>
    </row>
    <row r="124" spans="1:25">
      <c r="A124" s="73"/>
      <c r="B124" s="73"/>
      <c r="C124" s="73"/>
      <c r="D124" s="95">
        <f>D122-D123</f>
        <v>0</v>
      </c>
      <c r="E124" s="95">
        <f t="shared" ref="E124:O124" si="14">E122-E123</f>
        <v>0</v>
      </c>
      <c r="F124" s="95">
        <f t="shared" si="14"/>
        <v>0</v>
      </c>
      <c r="G124" s="95">
        <f t="shared" si="14"/>
        <v>0</v>
      </c>
      <c r="H124" s="95">
        <f t="shared" si="14"/>
        <v>0</v>
      </c>
      <c r="I124" s="95">
        <f t="shared" si="14"/>
        <v>0</v>
      </c>
      <c r="J124" s="95">
        <f t="shared" si="14"/>
        <v>0</v>
      </c>
      <c r="K124" s="95">
        <f t="shared" si="14"/>
        <v>0</v>
      </c>
      <c r="L124" s="95">
        <f t="shared" si="14"/>
        <v>0</v>
      </c>
      <c r="M124" s="95">
        <f t="shared" si="14"/>
        <v>0</v>
      </c>
      <c r="N124" s="95">
        <f t="shared" si="14"/>
        <v>0</v>
      </c>
      <c r="O124" s="95">
        <f t="shared" si="14"/>
        <v>0</v>
      </c>
      <c r="P124" s="73"/>
      <c r="Q124" s="95"/>
      <c r="R124" s="73"/>
      <c r="S124" s="73"/>
    </row>
    <row r="125" spans="1:25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150"/>
      <c r="P125" s="95">
        <f>P102</f>
        <v>15463672.796832643</v>
      </c>
      <c r="Q125" s="95" t="s">
        <v>12</v>
      </c>
      <c r="R125" s="73"/>
      <c r="S125" s="73"/>
    </row>
    <row r="126" spans="1:25">
      <c r="A126" s="73"/>
      <c r="B126" s="73"/>
      <c r="C126" s="73"/>
      <c r="D126" s="95">
        <f>D122-D102</f>
        <v>74309.957620379981</v>
      </c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150"/>
      <c r="P126" s="364">
        <f>P119+P125</f>
        <v>31170646.397722118</v>
      </c>
      <c r="Q126" s="73" t="s">
        <v>1532</v>
      </c>
      <c r="R126" s="73"/>
      <c r="S126" s="73"/>
    </row>
    <row r="127" spans="1:25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</row>
    <row r="128" spans="1:25">
      <c r="P128" s="544"/>
    </row>
    <row r="129" spans="3:16">
      <c r="P129" s="590"/>
    </row>
    <row r="130" spans="3:16">
      <c r="C130" s="728"/>
    </row>
    <row r="131" spans="3:16">
      <c r="P131" s="73"/>
    </row>
  </sheetData>
  <mergeCells count="4">
    <mergeCell ref="A1:P1"/>
    <mergeCell ref="A2:P2"/>
    <mergeCell ref="A3:P3"/>
    <mergeCell ref="A4:P4"/>
  </mergeCells>
  <phoneticPr fontId="21" type="noConversion"/>
  <printOptions horizontalCentered="1"/>
  <pageMargins left="0.5" right="0.5" top="0.75" bottom="0.75" header="0.5" footer="0.25"/>
  <pageSetup scale="49" fitToHeight="2" orientation="landscape" verticalDpi="300" r:id="rId1"/>
  <headerFooter alignWithMargins="0">
    <oddFooter>&amp;RSchedule &amp;A
Page &amp;P of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137"/>
  <dimension ref="A1:R56"/>
  <sheetViews>
    <sheetView view="pageBreakPreview" zoomScale="80" zoomScaleNormal="100" zoomScaleSheetLayoutView="80" workbookViewId="0">
      <selection sqref="A1:P1"/>
    </sheetView>
  </sheetViews>
  <sheetFormatPr defaultColWidth="7.109375" defaultRowHeight="15"/>
  <cols>
    <col min="1" max="1" width="4.6640625" style="72" customWidth="1"/>
    <col min="2" max="2" width="6.6640625" style="72" customWidth="1"/>
    <col min="3" max="3" width="38.88671875" style="72" customWidth="1"/>
    <col min="4" max="4" width="14.5546875" style="72" bestFit="1" customWidth="1"/>
    <col min="5" max="5" width="11.88671875" style="72" bestFit="1" customWidth="1"/>
    <col min="6" max="6" width="11.5546875" style="72" bestFit="1" customWidth="1"/>
    <col min="7" max="8" width="11.88671875" style="72" bestFit="1" customWidth="1"/>
    <col min="9" max="9" width="12.6640625" style="72" customWidth="1"/>
    <col min="10" max="10" width="13.109375" style="72" bestFit="1" customWidth="1"/>
    <col min="11" max="14" width="11.77734375" style="72" bestFit="1" customWidth="1"/>
    <col min="15" max="15" width="12.44140625" style="72" customWidth="1"/>
    <col min="16" max="16" width="12.44140625" style="72" bestFit="1" customWidth="1"/>
    <col min="17" max="17" width="9.6640625" style="72" customWidth="1"/>
    <col min="18" max="18" width="12.5546875" style="72" customWidth="1"/>
    <col min="19" max="16384" width="7.109375" style="72"/>
  </cols>
  <sheetData>
    <row r="1" spans="1:18">
      <c r="A1" s="1270" t="str">
        <f>'Table of Contents'!A1:C1</f>
        <v>Atmos Energy Corporation, Kentucky/Mid-States Division</v>
      </c>
      <c r="B1" s="1270"/>
      <c r="C1" s="1270"/>
      <c r="D1" s="1270"/>
      <c r="E1" s="1270"/>
      <c r="F1" s="1270"/>
      <c r="G1" s="1270"/>
      <c r="H1" s="1270"/>
      <c r="I1" s="1270"/>
      <c r="J1" s="1270"/>
      <c r="K1" s="1270"/>
      <c r="L1" s="1270"/>
      <c r="M1" s="1270"/>
      <c r="N1" s="1270"/>
      <c r="O1" s="1270"/>
      <c r="P1" s="1270"/>
      <c r="Q1" s="73"/>
    </row>
    <row r="2" spans="1:18">
      <c r="A2" s="1270" t="str">
        <f>'Table of Contents'!A2:C2</f>
        <v>Kentucky Jurisdiction Case No. 2021-00214</v>
      </c>
      <c r="B2" s="1270"/>
      <c r="C2" s="1270"/>
      <c r="D2" s="1270"/>
      <c r="E2" s="1270"/>
      <c r="F2" s="1270"/>
      <c r="G2" s="1270"/>
      <c r="H2" s="1270"/>
      <c r="I2" s="1270"/>
      <c r="J2" s="1270"/>
      <c r="K2" s="1270"/>
      <c r="L2" s="1270"/>
      <c r="M2" s="1270"/>
      <c r="N2" s="1270"/>
      <c r="O2" s="1270"/>
      <c r="P2" s="1270"/>
      <c r="Q2" s="73"/>
    </row>
    <row r="3" spans="1:18" ht="15.75">
      <c r="A3" s="1271" t="s">
        <v>185</v>
      </c>
      <c r="B3" s="1271"/>
      <c r="C3" s="1271"/>
      <c r="D3" s="1271"/>
      <c r="E3" s="1271"/>
      <c r="F3" s="1271"/>
      <c r="G3" s="1271"/>
      <c r="H3" s="1271"/>
      <c r="I3" s="1271"/>
      <c r="J3" s="1271"/>
      <c r="K3" s="1271"/>
      <c r="L3" s="1271"/>
      <c r="M3" s="1271"/>
      <c r="N3" s="1271"/>
      <c r="O3" s="1271"/>
      <c r="P3" s="1271"/>
      <c r="Q3" s="73"/>
    </row>
    <row r="4" spans="1:18">
      <c r="A4" s="1270" t="str">
        <f>'Table of Contents'!A4:C4</f>
        <v>Forecasted Test Period: Twelve Months Ended December 31, 2022</v>
      </c>
      <c r="B4" s="1270"/>
      <c r="C4" s="1270"/>
      <c r="D4" s="1270"/>
      <c r="E4" s="1270"/>
      <c r="F4" s="1270"/>
      <c r="G4" s="1270"/>
      <c r="H4" s="1270"/>
      <c r="I4" s="1270"/>
      <c r="J4" s="1270"/>
      <c r="K4" s="1270"/>
      <c r="L4" s="1270"/>
      <c r="M4" s="1270"/>
      <c r="N4" s="1270"/>
      <c r="O4" s="1270"/>
      <c r="P4" s="1270"/>
      <c r="Q4" s="73"/>
    </row>
    <row r="5" spans="1:18">
      <c r="A5" s="73"/>
      <c r="B5" s="133"/>
      <c r="C5" s="133"/>
      <c r="D5" s="133"/>
      <c r="E5" s="133"/>
      <c r="F5" s="133"/>
      <c r="G5" s="700"/>
      <c r="H5" s="133"/>
      <c r="I5" s="133"/>
      <c r="J5" s="133"/>
      <c r="K5" s="133"/>
      <c r="L5" s="133"/>
      <c r="M5" s="133"/>
      <c r="N5" s="133"/>
      <c r="O5" s="133"/>
      <c r="P5" s="73"/>
      <c r="Q5" s="73"/>
    </row>
    <row r="6" spans="1:18" ht="15.75">
      <c r="A6" s="472" t="str">
        <f>'C.2.1 F'!A6</f>
        <v>Data:________Base Period___X____Forecasted Period</v>
      </c>
      <c r="B6" s="73"/>
      <c r="C6" s="80"/>
      <c r="D6" s="73"/>
      <c r="E6" s="73"/>
      <c r="F6" s="729"/>
      <c r="G6" s="73"/>
      <c r="H6" s="73"/>
      <c r="I6" s="73"/>
      <c r="J6" s="73"/>
      <c r="K6" s="73"/>
      <c r="L6" s="73"/>
      <c r="M6" s="73"/>
      <c r="N6" s="73"/>
      <c r="O6" s="73"/>
      <c r="P6" s="150" t="s">
        <v>1373</v>
      </c>
      <c r="Q6" s="73"/>
    </row>
    <row r="7" spans="1:18">
      <c r="A7" s="472" t="str">
        <f>'C.2.1 F'!A7</f>
        <v>Type of Filing:___X____Original________Updated ________Revised</v>
      </c>
      <c r="B7" s="73"/>
      <c r="C7" s="80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428" t="s">
        <v>36</v>
      </c>
      <c r="Q7" s="73"/>
    </row>
    <row r="8" spans="1:18">
      <c r="A8" s="1061" t="str">
        <f>'C.2.1 F'!A8</f>
        <v>Workpaper Reference No(s).____________________</v>
      </c>
      <c r="B8" s="74"/>
      <c r="C8" s="366"/>
      <c r="D8" s="134"/>
      <c r="E8" s="134"/>
      <c r="F8" s="134"/>
      <c r="G8" s="134"/>
      <c r="H8" s="134"/>
      <c r="I8" s="134"/>
      <c r="J8" s="134"/>
      <c r="K8" s="134"/>
      <c r="L8" s="134"/>
      <c r="M8" s="74"/>
      <c r="N8" s="74"/>
      <c r="O8" s="74"/>
      <c r="P8" s="1126" t="str">
        <f>'C.1'!J9</f>
        <v>Witness: Christian, Densman</v>
      </c>
      <c r="Q8" s="73"/>
    </row>
    <row r="9" spans="1:18">
      <c r="A9" s="336" t="s">
        <v>92</v>
      </c>
      <c r="B9" s="667" t="s">
        <v>99</v>
      </c>
      <c r="C9" s="730"/>
      <c r="D9" s="720" t="s">
        <v>42</v>
      </c>
      <c r="E9" s="681" t="s">
        <v>42</v>
      </c>
      <c r="F9" s="681" t="s">
        <v>42</v>
      </c>
      <c r="G9" s="681" t="s">
        <v>42</v>
      </c>
      <c r="H9" s="681" t="s">
        <v>42</v>
      </c>
      <c r="I9" s="681" t="s">
        <v>42</v>
      </c>
      <c r="J9" s="681" t="s">
        <v>42</v>
      </c>
      <c r="K9" s="681" t="s">
        <v>42</v>
      </c>
      <c r="L9" s="681" t="s">
        <v>42</v>
      </c>
      <c r="M9" s="681" t="s">
        <v>42</v>
      </c>
      <c r="N9" s="681" t="s">
        <v>42</v>
      </c>
      <c r="O9" s="681" t="s">
        <v>42</v>
      </c>
      <c r="P9" s="731"/>
      <c r="Q9" s="73"/>
    </row>
    <row r="10" spans="1:18">
      <c r="A10" s="337" t="s">
        <v>98</v>
      </c>
      <c r="B10" s="74" t="s">
        <v>98</v>
      </c>
      <c r="C10" s="732" t="s">
        <v>941</v>
      </c>
      <c r="D10" s="1098">
        <f>'C.2.2-F 09'!D10</f>
        <v>44562</v>
      </c>
      <c r="E10" s="1098">
        <f>'C.2.2-F 09'!F10</f>
        <v>44621</v>
      </c>
      <c r="F10" s="1098">
        <f>'C.2.2-F 09'!F10</f>
        <v>44621</v>
      </c>
      <c r="G10" s="1098">
        <f>'C.2.2-F 09'!G10</f>
        <v>44652</v>
      </c>
      <c r="H10" s="1098">
        <f>'C.2.2-F 09'!H10</f>
        <v>44682</v>
      </c>
      <c r="I10" s="1098">
        <f>'C.2.2-F 09'!I10</f>
        <v>44713</v>
      </c>
      <c r="J10" s="1098">
        <f>'C.2.2-F 09'!J10</f>
        <v>44743</v>
      </c>
      <c r="K10" s="1098">
        <f>'C.2.2-F 09'!K10</f>
        <v>44774</v>
      </c>
      <c r="L10" s="1098">
        <f>'C.2.2-F 09'!L10</f>
        <v>44805</v>
      </c>
      <c r="M10" s="1098">
        <f>'C.2.2-F 09'!M10</f>
        <v>44835</v>
      </c>
      <c r="N10" s="1098">
        <f>'C.2.2-F 09'!N10</f>
        <v>44866</v>
      </c>
      <c r="O10" s="1098">
        <f>'C.2.2-F 09'!O10</f>
        <v>44896</v>
      </c>
      <c r="P10" s="1129" t="str">
        <f>'C.2.2 B 09'!P10</f>
        <v>Total</v>
      </c>
      <c r="Q10" s="73"/>
    </row>
    <row r="11" spans="1:18">
      <c r="A11" s="73"/>
      <c r="B11" s="73"/>
      <c r="C11" s="73"/>
      <c r="D11" s="682" t="s">
        <v>145</v>
      </c>
      <c r="E11" s="682" t="s">
        <v>145</v>
      </c>
      <c r="F11" s="682" t="s">
        <v>145</v>
      </c>
      <c r="G11" s="682" t="s">
        <v>145</v>
      </c>
      <c r="H11" s="682" t="s">
        <v>145</v>
      </c>
      <c r="I11" s="682" t="s">
        <v>145</v>
      </c>
      <c r="J11" s="682" t="s">
        <v>145</v>
      </c>
      <c r="K11" s="682" t="s">
        <v>145</v>
      </c>
      <c r="L11" s="682" t="s">
        <v>145</v>
      </c>
      <c r="M11" s="682" t="s">
        <v>145</v>
      </c>
      <c r="N11" s="682" t="s">
        <v>145</v>
      </c>
      <c r="O11" s="682" t="s">
        <v>145</v>
      </c>
      <c r="P11" s="682" t="s">
        <v>145</v>
      </c>
      <c r="Q11" s="73"/>
    </row>
    <row r="12" spans="1:18">
      <c r="A12" s="684">
        <v>1</v>
      </c>
      <c r="B12" s="570">
        <v>4030</v>
      </c>
      <c r="C12" s="73" t="s">
        <v>90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95">
        <f t="shared" ref="P12:P39" si="0">SUM(D12:O12)</f>
        <v>0</v>
      </c>
      <c r="Q12" s="73"/>
    </row>
    <row r="13" spans="1:18">
      <c r="A13" s="1036">
        <f>A12+1</f>
        <v>2</v>
      </c>
      <c r="B13" s="570">
        <v>4081</v>
      </c>
      <c r="C13" s="73" t="s">
        <v>854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95">
        <f t="shared" si="0"/>
        <v>0</v>
      </c>
      <c r="Q13" s="73"/>
    </row>
    <row r="14" spans="1:18">
      <c r="A14" s="1036">
        <f>A13+1</f>
        <v>3</v>
      </c>
      <c r="B14" s="314">
        <v>8210</v>
      </c>
      <c r="C14" s="95" t="s">
        <v>881</v>
      </c>
      <c r="D14" s="481">
        <f>VLOOKUP($B14,'[13]Div 2 forecast'!$D$299:$AF$375,'[13]Div 2 forecast'!U$298,FALSE)</f>
        <v>0</v>
      </c>
      <c r="E14" s="481">
        <f>VLOOKUP($B14,'[13]Div 2 forecast'!$D$299:$AF$375,'[13]Div 2 forecast'!V$298,FALSE)</f>
        <v>0</v>
      </c>
      <c r="F14" s="481">
        <f>VLOOKUP($B14,'[13]Div 2 forecast'!$D$299:$AF$375,'[13]Div 2 forecast'!W$298,FALSE)</f>
        <v>0</v>
      </c>
      <c r="G14" s="481">
        <f>VLOOKUP($B14,'[13]Div 2 forecast'!$D$299:$AF$375,'[13]Div 2 forecast'!X$298,FALSE)</f>
        <v>0</v>
      </c>
      <c r="H14" s="481">
        <f>VLOOKUP($B14,'[13]Div 2 forecast'!$D$299:$AF$375,'[13]Div 2 forecast'!Y$298,FALSE)</f>
        <v>0</v>
      </c>
      <c r="I14" s="481">
        <f>VLOOKUP($B14,'[13]Div 2 forecast'!$D$299:$AF$375,'[13]Div 2 forecast'!Z$298,FALSE)</f>
        <v>0</v>
      </c>
      <c r="J14" s="481">
        <f>VLOOKUP($B14,'[13]Div 2 forecast'!$D$299:$AF$375,'[13]Div 2 forecast'!AA$298,FALSE)</f>
        <v>0</v>
      </c>
      <c r="K14" s="481">
        <f>VLOOKUP($B14,'[13]Div 2 forecast'!$D$299:$AF$375,'[13]Div 2 forecast'!AB$298,FALSE)</f>
        <v>0</v>
      </c>
      <c r="L14" s="481">
        <f>VLOOKUP($B14,'[13]Div 2 forecast'!$D$299:$AF$375,'[13]Div 2 forecast'!AC$298,FALSE)</f>
        <v>0</v>
      </c>
      <c r="M14" s="481">
        <f>VLOOKUP($B14,'[13]Div 2 forecast'!$D$299:$AF$375,'[13]Div 2 forecast'!AD$298,FALSE)</f>
        <v>0</v>
      </c>
      <c r="N14" s="481">
        <f>VLOOKUP($B14,'[13]Div 2 forecast'!$D$299:$AF$375,'[13]Div 2 forecast'!AE$298,FALSE)</f>
        <v>0</v>
      </c>
      <c r="O14" s="481">
        <f>VLOOKUP($B14,'[13]Div 2 forecast'!$D$299:$AF$375,'[13]Div 2 forecast'!AF$298,FALSE)</f>
        <v>0</v>
      </c>
      <c r="P14" s="95">
        <f t="shared" si="0"/>
        <v>0</v>
      </c>
      <c r="Q14" s="73"/>
    </row>
    <row r="15" spans="1:18">
      <c r="A15" s="1036">
        <f t="shared" ref="A15:A27" si="1">A14+1</f>
        <v>4</v>
      </c>
      <c r="B15" s="570">
        <v>8560</v>
      </c>
      <c r="C15" s="73" t="s">
        <v>899</v>
      </c>
      <c r="D15" s="481">
        <f>VLOOKUP($B15,'[13]Div 2 forecast'!$D$299:$AF$375,'[13]Div 2 forecast'!U$298,FALSE)</f>
        <v>0</v>
      </c>
      <c r="E15" s="481">
        <f>VLOOKUP($B15,'[13]Div 2 forecast'!$D$299:$AF$375,'[13]Div 2 forecast'!V$298,FALSE)</f>
        <v>0</v>
      </c>
      <c r="F15" s="481">
        <f>VLOOKUP($B15,'[13]Div 2 forecast'!$D$299:$AF$375,'[13]Div 2 forecast'!W$298,FALSE)</f>
        <v>0</v>
      </c>
      <c r="G15" s="481">
        <f>VLOOKUP($B15,'[13]Div 2 forecast'!$D$299:$AF$375,'[13]Div 2 forecast'!X$298,FALSE)</f>
        <v>0</v>
      </c>
      <c r="H15" s="481">
        <f>VLOOKUP($B15,'[13]Div 2 forecast'!$D$299:$AF$375,'[13]Div 2 forecast'!Y$298,FALSE)</f>
        <v>0</v>
      </c>
      <c r="I15" s="481">
        <f>VLOOKUP($B15,'[13]Div 2 forecast'!$D$299:$AF$375,'[13]Div 2 forecast'!Z$298,FALSE)</f>
        <v>0</v>
      </c>
      <c r="J15" s="481">
        <f>VLOOKUP($B15,'[13]Div 2 forecast'!$D$299:$AF$375,'[13]Div 2 forecast'!AA$298,FALSE)</f>
        <v>0</v>
      </c>
      <c r="K15" s="481">
        <f>VLOOKUP($B15,'[13]Div 2 forecast'!$D$299:$AF$375,'[13]Div 2 forecast'!AB$298,FALSE)</f>
        <v>0</v>
      </c>
      <c r="L15" s="481">
        <f>VLOOKUP($B15,'[13]Div 2 forecast'!$D$299:$AF$375,'[13]Div 2 forecast'!AC$298,FALSE)</f>
        <v>0</v>
      </c>
      <c r="M15" s="481">
        <f>VLOOKUP($B15,'[13]Div 2 forecast'!$D$299:$AF$375,'[13]Div 2 forecast'!AD$298,FALSE)</f>
        <v>0</v>
      </c>
      <c r="N15" s="481">
        <f>VLOOKUP($B15,'[13]Div 2 forecast'!$D$299:$AF$375,'[13]Div 2 forecast'!AE$298,FALSE)</f>
        <v>0</v>
      </c>
      <c r="O15" s="481">
        <f>VLOOKUP($B15,'[13]Div 2 forecast'!$D$299:$AF$375,'[13]Div 2 forecast'!AF$298,FALSE)</f>
        <v>0</v>
      </c>
      <c r="P15" s="95">
        <f t="shared" si="0"/>
        <v>0</v>
      </c>
      <c r="Q15" s="73"/>
      <c r="R15" s="557"/>
    </row>
    <row r="16" spans="1:18">
      <c r="A16" s="1036">
        <f t="shared" si="1"/>
        <v>5</v>
      </c>
      <c r="B16" s="570">
        <v>8700</v>
      </c>
      <c r="C16" s="73" t="s">
        <v>903</v>
      </c>
      <c r="D16" s="481">
        <f>VLOOKUP($B16,'[13]Div 2 forecast'!$D$299:$AF$375,'[13]Div 2 forecast'!U$298,FALSE)</f>
        <v>355.18442603664073</v>
      </c>
      <c r="E16" s="481">
        <f>VLOOKUP($B16,'[13]Div 2 forecast'!$D$299:$AF$375,'[13]Div 2 forecast'!V$298,FALSE)</f>
        <v>374.57459439020806</v>
      </c>
      <c r="F16" s="481">
        <f>VLOOKUP($B16,'[13]Div 2 forecast'!$D$299:$AF$375,'[13]Div 2 forecast'!W$298,FALSE)</f>
        <v>421.03263291622085</v>
      </c>
      <c r="G16" s="481">
        <f>VLOOKUP($B16,'[13]Div 2 forecast'!$D$299:$AF$375,'[13]Div 2 forecast'!X$298,FALSE)</f>
        <v>652.46580751012812</v>
      </c>
      <c r="H16" s="481">
        <f>VLOOKUP($B16,'[13]Div 2 forecast'!$D$299:$AF$375,'[13]Div 2 forecast'!Y$298,FALSE)</f>
        <v>641.18408042767794</v>
      </c>
      <c r="I16" s="481">
        <f>VLOOKUP($B16,'[13]Div 2 forecast'!$D$299:$AF$375,'[13]Div 2 forecast'!Z$298,FALSE)</f>
        <v>661.41295064132908</v>
      </c>
      <c r="J16" s="481">
        <f>VLOOKUP($B16,'[13]Div 2 forecast'!$D$299:$AF$375,'[13]Div 2 forecast'!AA$298,FALSE)</f>
        <v>657.8721596456262</v>
      </c>
      <c r="K16" s="481">
        <f>VLOOKUP($B16,'[13]Div 2 forecast'!$D$299:$AF$375,'[13]Div 2 forecast'!AB$298,FALSE)</f>
        <v>651.52021415754621</v>
      </c>
      <c r="L16" s="481">
        <f>VLOOKUP($B16,'[13]Div 2 forecast'!$D$299:$AF$375,'[13]Div 2 forecast'!AC$298,FALSE)</f>
        <v>674.6400300393467</v>
      </c>
      <c r="M16" s="481">
        <f>VLOOKUP($B16,'[13]Div 2 forecast'!$D$299:$AF$375,'[13]Div 2 forecast'!AD$298,FALSE)</f>
        <v>398.82856701352949</v>
      </c>
      <c r="N16" s="481">
        <f>VLOOKUP($B16,'[13]Div 2 forecast'!$D$299:$AF$375,'[13]Div 2 forecast'!AE$298,FALSE)</f>
        <v>380.87293539751687</v>
      </c>
      <c r="O16" s="481">
        <f>VLOOKUP($B16,'[13]Div 2 forecast'!$D$299:$AF$375,'[13]Div 2 forecast'!AF$298,FALSE)</f>
        <v>476.78450246678</v>
      </c>
      <c r="P16" s="95">
        <f t="shared" si="0"/>
        <v>6346.372900642551</v>
      </c>
      <c r="Q16" s="73"/>
      <c r="R16" s="557"/>
    </row>
    <row r="17" spans="1:17">
      <c r="A17" s="1036">
        <f t="shared" si="1"/>
        <v>6</v>
      </c>
      <c r="B17" s="570">
        <v>8740</v>
      </c>
      <c r="C17" s="73" t="s">
        <v>905</v>
      </c>
      <c r="D17" s="481">
        <f>VLOOKUP($B17,'[13]Div 2 forecast'!$D$299:$AF$375,'[13]Div 2 forecast'!U$298,FALSE)</f>
        <v>73651.003488617149</v>
      </c>
      <c r="E17" s="481">
        <f>VLOOKUP($B17,'[13]Div 2 forecast'!$D$299:$AF$375,'[13]Div 2 forecast'!V$298,FALSE)</f>
        <v>33326.211124212066</v>
      </c>
      <c r="F17" s="481">
        <f>VLOOKUP($B17,'[13]Div 2 forecast'!$D$299:$AF$375,'[13]Div 2 forecast'!W$298,FALSE)</f>
        <v>-225346.01229743237</v>
      </c>
      <c r="G17" s="481">
        <f>VLOOKUP($B17,'[13]Div 2 forecast'!$D$299:$AF$375,'[13]Div 2 forecast'!X$298,FALSE)</f>
        <v>68496.723513510748</v>
      </c>
      <c r="H17" s="481">
        <f>VLOOKUP($B17,'[13]Div 2 forecast'!$D$299:$AF$375,'[13]Div 2 forecast'!Y$298,FALSE)</f>
        <v>68738.418682313728</v>
      </c>
      <c r="I17" s="481">
        <f>VLOOKUP($B17,'[13]Div 2 forecast'!$D$299:$AF$375,'[13]Div 2 forecast'!Z$298,FALSE)</f>
        <v>69346.016145623871</v>
      </c>
      <c r="J17" s="481">
        <f>VLOOKUP($B17,'[13]Div 2 forecast'!$D$299:$AF$375,'[13]Div 2 forecast'!AA$298,FALSE)</f>
        <v>68603.694266142556</v>
      </c>
      <c r="K17" s="481">
        <f>VLOOKUP($B17,'[13]Div 2 forecast'!$D$299:$AF$375,'[13]Div 2 forecast'!AB$298,FALSE)</f>
        <v>68463.082012093015</v>
      </c>
      <c r="L17" s="481">
        <f>VLOOKUP($B17,'[13]Div 2 forecast'!$D$299:$AF$375,'[13]Div 2 forecast'!AC$298,FALSE)</f>
        <v>69328.478311868617</v>
      </c>
      <c r="M17" s="481">
        <f>VLOOKUP($B17,'[13]Div 2 forecast'!$D$299:$AF$375,'[13]Div 2 forecast'!AD$298,FALSE)</f>
        <v>72651.329303600884</v>
      </c>
      <c r="N17" s="481">
        <f>VLOOKUP($B17,'[13]Div 2 forecast'!$D$299:$AF$375,'[13]Div 2 forecast'!AE$298,FALSE)</f>
        <v>70562.007466117881</v>
      </c>
      <c r="O17" s="481">
        <f>VLOOKUP($B17,'[13]Div 2 forecast'!$D$299:$AF$375,'[13]Div 2 forecast'!AF$298,FALSE)</f>
        <v>-34482.229085115665</v>
      </c>
      <c r="P17" s="95">
        <f t="shared" si="0"/>
        <v>403338.7229315525</v>
      </c>
      <c r="Q17" s="73"/>
    </row>
    <row r="18" spans="1:17">
      <c r="A18" s="1036">
        <f t="shared" si="1"/>
        <v>7</v>
      </c>
      <c r="B18" s="314">
        <v>8780</v>
      </c>
      <c r="C18" s="183" t="s">
        <v>909</v>
      </c>
      <c r="D18" s="481">
        <f>VLOOKUP($B18,'[13]Div 2 forecast'!$D$299:$AF$375,'[13]Div 2 forecast'!U$298,FALSE)</f>
        <v>0</v>
      </c>
      <c r="E18" s="481">
        <f>VLOOKUP($B18,'[13]Div 2 forecast'!$D$299:$AF$375,'[13]Div 2 forecast'!V$298,FALSE)</f>
        <v>0</v>
      </c>
      <c r="F18" s="481">
        <f>VLOOKUP($B18,'[13]Div 2 forecast'!$D$299:$AF$375,'[13]Div 2 forecast'!W$298,FALSE)</f>
        <v>0</v>
      </c>
      <c r="G18" s="481">
        <f>VLOOKUP($B18,'[13]Div 2 forecast'!$D$299:$AF$375,'[13]Div 2 forecast'!X$298,FALSE)</f>
        <v>0</v>
      </c>
      <c r="H18" s="481">
        <f>VLOOKUP($B18,'[13]Div 2 forecast'!$D$299:$AF$375,'[13]Div 2 forecast'!Y$298,FALSE)</f>
        <v>0</v>
      </c>
      <c r="I18" s="481">
        <f>VLOOKUP($B18,'[13]Div 2 forecast'!$D$299:$AF$375,'[13]Div 2 forecast'!Z$298,FALSE)</f>
        <v>0</v>
      </c>
      <c r="J18" s="481">
        <f>VLOOKUP($B18,'[13]Div 2 forecast'!$D$299:$AF$375,'[13]Div 2 forecast'!AA$298,FALSE)</f>
        <v>0</v>
      </c>
      <c r="K18" s="481">
        <f>VLOOKUP($B18,'[13]Div 2 forecast'!$D$299:$AF$375,'[13]Div 2 forecast'!AB$298,FALSE)</f>
        <v>0</v>
      </c>
      <c r="L18" s="481">
        <f>VLOOKUP($B18,'[13]Div 2 forecast'!$D$299:$AF$375,'[13]Div 2 forecast'!AC$298,FALSE)</f>
        <v>0</v>
      </c>
      <c r="M18" s="481">
        <f>VLOOKUP($B18,'[13]Div 2 forecast'!$D$299:$AF$375,'[13]Div 2 forecast'!AD$298,FALSE)</f>
        <v>0</v>
      </c>
      <c r="N18" s="481">
        <f>VLOOKUP($B18,'[13]Div 2 forecast'!$D$299:$AF$375,'[13]Div 2 forecast'!AE$298,FALSE)</f>
        <v>0</v>
      </c>
      <c r="O18" s="481">
        <f>VLOOKUP($B18,'[13]Div 2 forecast'!$D$299:$AF$375,'[13]Div 2 forecast'!AF$298,FALSE)</f>
        <v>0</v>
      </c>
      <c r="P18" s="95">
        <f t="shared" si="0"/>
        <v>0</v>
      </c>
      <c r="Q18" s="73"/>
    </row>
    <row r="19" spans="1:17">
      <c r="A19" s="1036">
        <f t="shared" si="1"/>
        <v>8</v>
      </c>
      <c r="B19" s="570">
        <v>8800</v>
      </c>
      <c r="C19" s="73" t="s">
        <v>911</v>
      </c>
      <c r="D19" s="481">
        <f>VLOOKUP($B19,'[13]Div 2 forecast'!$D$299:$AF$375,'[13]Div 2 forecast'!U$298,FALSE)</f>
        <v>1405.4280910728485</v>
      </c>
      <c r="E19" s="481">
        <f>VLOOKUP($B19,'[13]Div 2 forecast'!$D$299:$AF$375,'[13]Div 2 forecast'!V$298,FALSE)</f>
        <v>2124.6741187703237</v>
      </c>
      <c r="F19" s="481">
        <f>VLOOKUP($B19,'[13]Div 2 forecast'!$D$299:$AF$375,'[13]Div 2 forecast'!W$298,FALSE)</f>
        <v>2064.2493280648137</v>
      </c>
      <c r="G19" s="481">
        <f>VLOOKUP($B19,'[13]Div 2 forecast'!$D$299:$AF$375,'[13]Div 2 forecast'!X$298,FALSE)</f>
        <v>2270.1507539182526</v>
      </c>
      <c r="H19" s="481">
        <f>VLOOKUP($B19,'[13]Div 2 forecast'!$D$299:$AF$375,'[13]Div 2 forecast'!Y$298,FALSE)</f>
        <v>2258.4849773053293</v>
      </c>
      <c r="I19" s="481">
        <f>VLOOKUP($B19,'[13]Div 2 forecast'!$D$299:$AF$375,'[13]Div 2 forecast'!Z$298,FALSE)</f>
        <v>2339.3280175560758</v>
      </c>
      <c r="J19" s="481">
        <f>VLOOKUP($B19,'[13]Div 2 forecast'!$D$299:$AF$375,'[13]Div 2 forecast'!AA$298,FALSE)</f>
        <v>2324.7005232851293</v>
      </c>
      <c r="K19" s="481">
        <f>VLOOKUP($B19,'[13]Div 2 forecast'!$D$299:$AF$375,'[13]Div 2 forecast'!AB$298,FALSE)</f>
        <v>2266.2034626409609</v>
      </c>
      <c r="L19" s="481">
        <f>VLOOKUP($B19,'[13]Div 2 forecast'!$D$299:$AF$375,'[13]Div 2 forecast'!AC$298,FALSE)</f>
        <v>20173.946705467268</v>
      </c>
      <c r="M19" s="481">
        <f>VLOOKUP($B19,'[13]Div 2 forecast'!$D$299:$AF$375,'[13]Div 2 forecast'!AD$298,FALSE)</f>
        <v>1671.1039879799048</v>
      </c>
      <c r="N19" s="481">
        <f>VLOOKUP($B19,'[13]Div 2 forecast'!$D$299:$AF$375,'[13]Div 2 forecast'!AE$298,FALSE)</f>
        <v>1677.8434087337382</v>
      </c>
      <c r="O19" s="481">
        <f>VLOOKUP($B19,'[13]Div 2 forecast'!$D$299:$AF$375,'[13]Div 2 forecast'!AF$298,FALSE)</f>
        <v>1964.1410653783742</v>
      </c>
      <c r="P19" s="95">
        <f t="shared" si="0"/>
        <v>42540.254440173019</v>
      </c>
      <c r="Q19" s="73"/>
    </row>
    <row r="20" spans="1:17">
      <c r="A20" s="1036">
        <f t="shared" si="1"/>
        <v>9</v>
      </c>
      <c r="B20" s="314">
        <v>8810</v>
      </c>
      <c r="C20" s="183" t="s">
        <v>912</v>
      </c>
      <c r="D20" s="481">
        <f>VLOOKUP($B20,'[13]Div 2 forecast'!$D$299:$AF$375,'[13]Div 2 forecast'!U$298,FALSE)</f>
        <v>-2638.9371927608681</v>
      </c>
      <c r="E20" s="481">
        <f>VLOOKUP($B20,'[13]Div 2 forecast'!$D$299:$AF$375,'[13]Div 2 forecast'!V$298,FALSE)</f>
        <v>-2555.3526818348346</v>
      </c>
      <c r="F20" s="481">
        <f>VLOOKUP($B20,'[13]Div 2 forecast'!$D$299:$AF$375,'[13]Div 2 forecast'!W$298,FALSE)</f>
        <v>-1458.9090903516833</v>
      </c>
      <c r="G20" s="481">
        <f>VLOOKUP($B20,'[13]Div 2 forecast'!$D$299:$AF$375,'[13]Div 2 forecast'!X$298,FALSE)</f>
        <v>-3040.132100437555</v>
      </c>
      <c r="H20" s="481">
        <f>VLOOKUP($B20,'[13]Div 2 forecast'!$D$299:$AF$375,'[13]Div 2 forecast'!Y$298,FALSE)</f>
        <v>-3040.132100437555</v>
      </c>
      <c r="I20" s="481">
        <f>VLOOKUP($B20,'[13]Div 2 forecast'!$D$299:$AF$375,'[13]Div 2 forecast'!Z$298,FALSE)</f>
        <v>-3045.7770193076108</v>
      </c>
      <c r="J20" s="481">
        <f>VLOOKUP($B20,'[13]Div 2 forecast'!$D$299:$AF$375,'[13]Div 2 forecast'!AA$298,FALSE)</f>
        <v>-3040.132100437555</v>
      </c>
      <c r="K20" s="481">
        <f>VLOOKUP($B20,'[13]Div 2 forecast'!$D$299:$AF$375,'[13]Div 2 forecast'!AB$298,FALSE)</f>
        <v>-3040.132100437555</v>
      </c>
      <c r="L20" s="481">
        <f>VLOOKUP($B20,'[13]Div 2 forecast'!$D$299:$AF$375,'[13]Div 2 forecast'!AC$298,FALSE)</f>
        <v>-3043.1187272246243</v>
      </c>
      <c r="M20" s="481">
        <f>VLOOKUP($B20,'[13]Div 2 forecast'!$D$299:$AF$375,'[13]Div 2 forecast'!AD$298,FALSE)</f>
        <v>-2799.9415675025948</v>
      </c>
      <c r="N20" s="481">
        <f>VLOOKUP($B20,'[13]Div 2 forecast'!$D$299:$AF$375,'[13]Div 2 forecast'!AE$298,FALSE)</f>
        <v>-2709.1563783731863</v>
      </c>
      <c r="O20" s="481">
        <f>VLOOKUP($B20,'[13]Div 2 forecast'!$D$299:$AF$375,'[13]Div 2 forecast'!AF$298,FALSE)</f>
        <v>-2386.2230891768349</v>
      </c>
      <c r="P20" s="95">
        <f t="shared" ref="P20" si="2">SUM(D20:O20)</f>
        <v>-32797.944148282462</v>
      </c>
      <c r="Q20" s="73"/>
    </row>
    <row r="21" spans="1:17">
      <c r="A21" s="1036">
        <f t="shared" si="1"/>
        <v>10</v>
      </c>
      <c r="B21" s="570">
        <v>8850</v>
      </c>
      <c r="C21" s="95" t="s">
        <v>1535</v>
      </c>
      <c r="D21" s="481">
        <f>VLOOKUP($B21,'[13]Div 2 forecast'!$D$299:$AF$375,'[13]Div 2 forecast'!U$298,FALSE)</f>
        <v>0</v>
      </c>
      <c r="E21" s="481">
        <f>VLOOKUP($B21,'[13]Div 2 forecast'!$D$299:$AF$375,'[13]Div 2 forecast'!V$298,FALSE)</f>
        <v>0</v>
      </c>
      <c r="F21" s="481">
        <f>VLOOKUP($B21,'[13]Div 2 forecast'!$D$299:$AF$375,'[13]Div 2 forecast'!W$298,FALSE)</f>
        <v>0</v>
      </c>
      <c r="G21" s="481">
        <f>VLOOKUP($B21,'[13]Div 2 forecast'!$D$299:$AF$375,'[13]Div 2 forecast'!X$298,FALSE)</f>
        <v>0</v>
      </c>
      <c r="H21" s="481">
        <f>VLOOKUP($B21,'[13]Div 2 forecast'!$D$299:$AF$375,'[13]Div 2 forecast'!Y$298,FALSE)</f>
        <v>0</v>
      </c>
      <c r="I21" s="481">
        <f>VLOOKUP($B21,'[13]Div 2 forecast'!$D$299:$AF$375,'[13]Div 2 forecast'!Z$298,FALSE)</f>
        <v>0</v>
      </c>
      <c r="J21" s="481">
        <f>VLOOKUP($B21,'[13]Div 2 forecast'!$D$299:$AF$375,'[13]Div 2 forecast'!AA$298,FALSE)</f>
        <v>0</v>
      </c>
      <c r="K21" s="481">
        <f>VLOOKUP($B21,'[13]Div 2 forecast'!$D$299:$AF$375,'[13]Div 2 forecast'!AB$298,FALSE)</f>
        <v>0</v>
      </c>
      <c r="L21" s="481">
        <f>VLOOKUP($B21,'[13]Div 2 forecast'!$D$299:$AF$375,'[13]Div 2 forecast'!AC$298,FALSE)</f>
        <v>0</v>
      </c>
      <c r="M21" s="481">
        <f>VLOOKUP($B21,'[13]Div 2 forecast'!$D$299:$AF$375,'[13]Div 2 forecast'!AD$298,FALSE)</f>
        <v>0</v>
      </c>
      <c r="N21" s="481">
        <f>VLOOKUP($B21,'[13]Div 2 forecast'!$D$299:$AF$375,'[13]Div 2 forecast'!AE$298,FALSE)</f>
        <v>0</v>
      </c>
      <c r="O21" s="481">
        <f>VLOOKUP($B21,'[13]Div 2 forecast'!$D$299:$AF$375,'[13]Div 2 forecast'!AF$298,FALSE)</f>
        <v>0</v>
      </c>
      <c r="P21" s="95">
        <f t="shared" si="0"/>
        <v>0</v>
      </c>
      <c r="Q21" s="73"/>
    </row>
    <row r="22" spans="1:17">
      <c r="A22" s="1036">
        <f t="shared" si="1"/>
        <v>11</v>
      </c>
      <c r="B22" s="314">
        <v>8900</v>
      </c>
      <c r="C22" s="72" t="s">
        <v>917</v>
      </c>
      <c r="D22" s="481">
        <f>VLOOKUP($B22,'[13]Div 2 forecast'!$D$299:$AF$375,'[13]Div 2 forecast'!U$298,FALSE)</f>
        <v>0</v>
      </c>
      <c r="E22" s="481">
        <f>VLOOKUP($B22,'[13]Div 2 forecast'!$D$299:$AF$375,'[13]Div 2 forecast'!V$298,FALSE)</f>
        <v>0</v>
      </c>
      <c r="F22" s="481">
        <f>VLOOKUP($B22,'[13]Div 2 forecast'!$D$299:$AF$375,'[13]Div 2 forecast'!W$298,FALSE)</f>
        <v>0</v>
      </c>
      <c r="G22" s="481">
        <f>VLOOKUP($B22,'[13]Div 2 forecast'!$D$299:$AF$375,'[13]Div 2 forecast'!X$298,FALSE)</f>
        <v>0</v>
      </c>
      <c r="H22" s="481">
        <f>VLOOKUP($B22,'[13]Div 2 forecast'!$D$299:$AF$375,'[13]Div 2 forecast'!Y$298,FALSE)</f>
        <v>0</v>
      </c>
      <c r="I22" s="481">
        <f>VLOOKUP($B22,'[13]Div 2 forecast'!$D$299:$AF$375,'[13]Div 2 forecast'!Z$298,FALSE)</f>
        <v>0</v>
      </c>
      <c r="J22" s="481">
        <f>VLOOKUP($B22,'[13]Div 2 forecast'!$D$299:$AF$375,'[13]Div 2 forecast'!AA$298,FALSE)</f>
        <v>0</v>
      </c>
      <c r="K22" s="481">
        <f>VLOOKUP($B22,'[13]Div 2 forecast'!$D$299:$AF$375,'[13]Div 2 forecast'!AB$298,FALSE)</f>
        <v>0</v>
      </c>
      <c r="L22" s="481">
        <f>VLOOKUP($B22,'[13]Div 2 forecast'!$D$299:$AF$375,'[13]Div 2 forecast'!AC$298,FALSE)</f>
        <v>0</v>
      </c>
      <c r="M22" s="481">
        <f>VLOOKUP($B22,'[13]Div 2 forecast'!$D$299:$AF$375,'[13]Div 2 forecast'!AD$298,FALSE)</f>
        <v>0</v>
      </c>
      <c r="N22" s="481">
        <f>VLOOKUP($B22,'[13]Div 2 forecast'!$D$299:$AF$375,'[13]Div 2 forecast'!AE$298,FALSE)</f>
        <v>0</v>
      </c>
      <c r="O22" s="481">
        <f>VLOOKUP($B22,'[13]Div 2 forecast'!$D$299:$AF$375,'[13]Div 2 forecast'!AF$298,FALSE)</f>
        <v>0</v>
      </c>
      <c r="P22" s="95">
        <f t="shared" si="0"/>
        <v>0</v>
      </c>
      <c r="Q22" s="73"/>
    </row>
    <row r="23" spans="1:17">
      <c r="A23" s="1036">
        <f t="shared" si="1"/>
        <v>12</v>
      </c>
      <c r="B23" s="570">
        <v>9010</v>
      </c>
      <c r="C23" s="73" t="s">
        <v>180</v>
      </c>
      <c r="D23" s="481">
        <f>VLOOKUP($B23,'[13]Div 2 forecast'!$D$299:$AF$375,'[13]Div 2 forecast'!U$298,FALSE)</f>
        <v>0</v>
      </c>
      <c r="E23" s="481">
        <f>VLOOKUP($B23,'[13]Div 2 forecast'!$D$299:$AF$375,'[13]Div 2 forecast'!V$298,FALSE)</f>
        <v>0</v>
      </c>
      <c r="F23" s="481">
        <f>VLOOKUP($B23,'[13]Div 2 forecast'!$D$299:$AF$375,'[13]Div 2 forecast'!W$298,FALSE)</f>
        <v>0</v>
      </c>
      <c r="G23" s="481">
        <f>VLOOKUP($B23,'[13]Div 2 forecast'!$D$299:$AF$375,'[13]Div 2 forecast'!X$298,FALSE)</f>
        <v>0</v>
      </c>
      <c r="H23" s="481">
        <f>VLOOKUP($B23,'[13]Div 2 forecast'!$D$299:$AF$375,'[13]Div 2 forecast'!Y$298,FALSE)</f>
        <v>0</v>
      </c>
      <c r="I23" s="481">
        <f>VLOOKUP($B23,'[13]Div 2 forecast'!$D$299:$AF$375,'[13]Div 2 forecast'!Z$298,FALSE)</f>
        <v>0</v>
      </c>
      <c r="J23" s="481">
        <f>VLOOKUP($B23,'[13]Div 2 forecast'!$D$299:$AF$375,'[13]Div 2 forecast'!AA$298,FALSE)</f>
        <v>0</v>
      </c>
      <c r="K23" s="481">
        <f>VLOOKUP($B23,'[13]Div 2 forecast'!$D$299:$AF$375,'[13]Div 2 forecast'!AB$298,FALSE)</f>
        <v>0</v>
      </c>
      <c r="L23" s="481">
        <f>VLOOKUP($B23,'[13]Div 2 forecast'!$D$299:$AF$375,'[13]Div 2 forecast'!AC$298,FALSE)</f>
        <v>0</v>
      </c>
      <c r="M23" s="481">
        <f>VLOOKUP($B23,'[13]Div 2 forecast'!$D$299:$AF$375,'[13]Div 2 forecast'!AD$298,FALSE)</f>
        <v>0</v>
      </c>
      <c r="N23" s="481">
        <f>VLOOKUP($B23,'[13]Div 2 forecast'!$D$299:$AF$375,'[13]Div 2 forecast'!AE$298,FALSE)</f>
        <v>0</v>
      </c>
      <c r="O23" s="481">
        <f>VLOOKUP($B23,'[13]Div 2 forecast'!$D$299:$AF$375,'[13]Div 2 forecast'!AF$298,FALSE)</f>
        <v>0</v>
      </c>
      <c r="P23" s="95">
        <f t="shared" si="0"/>
        <v>0</v>
      </c>
      <c r="Q23" s="73"/>
    </row>
    <row r="24" spans="1:17">
      <c r="A24" s="1036">
        <f t="shared" si="1"/>
        <v>13</v>
      </c>
      <c r="B24" s="570">
        <v>9030</v>
      </c>
      <c r="C24" s="73" t="s">
        <v>926</v>
      </c>
      <c r="D24" s="481">
        <f>VLOOKUP($B24,'[13]Div 2 forecast'!$D$299:$AF$375,'[13]Div 2 forecast'!U$298,FALSE)</f>
        <v>8820.7730061416241</v>
      </c>
      <c r="E24" s="481">
        <f>VLOOKUP($B24,'[13]Div 2 forecast'!$D$299:$AF$375,'[13]Div 2 forecast'!V$298,FALSE)</f>
        <v>7932.5964810165397</v>
      </c>
      <c r="F24" s="481">
        <f>VLOOKUP($B24,'[13]Div 2 forecast'!$D$299:$AF$375,'[13]Div 2 forecast'!W$298,FALSE)</f>
        <v>10341.843311022589</v>
      </c>
      <c r="G24" s="481">
        <f>VLOOKUP($B24,'[13]Div 2 forecast'!$D$299:$AF$375,'[13]Div 2 forecast'!X$298,FALSE)</f>
        <v>9282.1481375359563</v>
      </c>
      <c r="H24" s="481">
        <f>VLOOKUP($B24,'[13]Div 2 forecast'!$D$299:$AF$375,'[13]Div 2 forecast'!Y$298,FALSE)</f>
        <v>8880.6150885258758</v>
      </c>
      <c r="I24" s="481">
        <f>VLOOKUP($B24,'[13]Div 2 forecast'!$D$299:$AF$375,'[13]Div 2 forecast'!Z$298,FALSE)</f>
        <v>9730.9453772400793</v>
      </c>
      <c r="J24" s="481">
        <f>VLOOKUP($B24,'[13]Div 2 forecast'!$D$299:$AF$375,'[13]Div 2 forecast'!AA$298,FALSE)</f>
        <v>9322.7446418930958</v>
      </c>
      <c r="K24" s="481">
        <f>VLOOKUP($B24,'[13]Div 2 forecast'!$D$299:$AF$375,'[13]Div 2 forecast'!AB$298,FALSE)</f>
        <v>9317.9709148966431</v>
      </c>
      <c r="L24" s="481">
        <f>VLOOKUP($B24,'[13]Div 2 forecast'!$D$299:$AF$375,'[13]Div 2 forecast'!AC$298,FALSE)</f>
        <v>9445.574707128686</v>
      </c>
      <c r="M24" s="481">
        <f>VLOOKUP($B24,'[13]Div 2 forecast'!$D$299:$AF$375,'[13]Div 2 forecast'!AD$298,FALSE)</f>
        <v>9580.1805168136198</v>
      </c>
      <c r="N24" s="481">
        <f>VLOOKUP($B24,'[13]Div 2 forecast'!$D$299:$AF$375,'[13]Div 2 forecast'!AE$298,FALSE)</f>
        <v>8547.5250502072813</v>
      </c>
      <c r="O24" s="481">
        <f>VLOOKUP($B24,'[13]Div 2 forecast'!$D$299:$AF$375,'[13]Div 2 forecast'!AF$298,FALSE)</f>
        <v>10298.702721201458</v>
      </c>
      <c r="P24" s="95">
        <f t="shared" si="0"/>
        <v>111501.61995362345</v>
      </c>
      <c r="Q24" s="73"/>
    </row>
    <row r="25" spans="1:17">
      <c r="A25" s="1036">
        <f t="shared" si="1"/>
        <v>14</v>
      </c>
      <c r="B25" s="314">
        <v>9040</v>
      </c>
      <c r="C25" s="183" t="s">
        <v>927</v>
      </c>
      <c r="D25" s="481">
        <f>VLOOKUP($B25,'[13]Div 2 forecast'!$D$299:$AF$375,'[13]Div 2 forecast'!U$298,FALSE)</f>
        <v>0</v>
      </c>
      <c r="E25" s="481">
        <f>VLOOKUP($B25,'[13]Div 2 forecast'!$D$299:$AF$375,'[13]Div 2 forecast'!V$298,FALSE)</f>
        <v>0</v>
      </c>
      <c r="F25" s="481">
        <f>VLOOKUP($B25,'[13]Div 2 forecast'!$D$299:$AF$375,'[13]Div 2 forecast'!W$298,FALSE)</f>
        <v>0</v>
      </c>
      <c r="G25" s="481">
        <f>VLOOKUP($B25,'[13]Div 2 forecast'!$D$299:$AF$375,'[13]Div 2 forecast'!X$298,FALSE)</f>
        <v>0</v>
      </c>
      <c r="H25" s="481">
        <f>VLOOKUP($B25,'[13]Div 2 forecast'!$D$299:$AF$375,'[13]Div 2 forecast'!Y$298,FALSE)</f>
        <v>0</v>
      </c>
      <c r="I25" s="481">
        <f>VLOOKUP($B25,'[13]Div 2 forecast'!$D$299:$AF$375,'[13]Div 2 forecast'!Z$298,FALSE)</f>
        <v>0</v>
      </c>
      <c r="J25" s="481">
        <f>VLOOKUP($B25,'[13]Div 2 forecast'!$D$299:$AF$375,'[13]Div 2 forecast'!AA$298,FALSE)</f>
        <v>0</v>
      </c>
      <c r="K25" s="481">
        <f>VLOOKUP($B25,'[13]Div 2 forecast'!$D$299:$AF$375,'[13]Div 2 forecast'!AB$298,FALSE)</f>
        <v>0</v>
      </c>
      <c r="L25" s="481">
        <f>VLOOKUP($B25,'[13]Div 2 forecast'!$D$299:$AF$375,'[13]Div 2 forecast'!AC$298,FALSE)</f>
        <v>20493544</v>
      </c>
      <c r="M25" s="481">
        <f>VLOOKUP($B25,'[13]Div 2 forecast'!$D$299:$AF$375,'[13]Div 2 forecast'!AD$298,FALSE)</f>
        <v>0</v>
      </c>
      <c r="N25" s="481">
        <f>VLOOKUP($B25,'[13]Div 2 forecast'!$D$299:$AF$375,'[13]Div 2 forecast'!AE$298,FALSE)</f>
        <v>0</v>
      </c>
      <c r="O25" s="481">
        <f>VLOOKUP($B25,'[13]Div 2 forecast'!$D$299:$AF$375,'[13]Div 2 forecast'!AF$298,FALSE)</f>
        <v>0</v>
      </c>
      <c r="P25" s="95">
        <f t="shared" ref="P25" si="3">SUM(D25:O25)</f>
        <v>20493544</v>
      </c>
      <c r="Q25" s="73"/>
    </row>
    <row r="26" spans="1:17">
      <c r="A26" s="1036">
        <f t="shared" si="1"/>
        <v>15</v>
      </c>
      <c r="B26" s="570">
        <v>9100</v>
      </c>
      <c r="C26" s="73" t="s">
        <v>929</v>
      </c>
      <c r="D26" s="481">
        <f>VLOOKUP($B26,'[13]Div 2 forecast'!$D$299:$AF$375,'[13]Div 2 forecast'!U$298,FALSE)</f>
        <v>0</v>
      </c>
      <c r="E26" s="481">
        <f>VLOOKUP($B26,'[13]Div 2 forecast'!$D$299:$AF$375,'[13]Div 2 forecast'!V$298,FALSE)</f>
        <v>0</v>
      </c>
      <c r="F26" s="481">
        <f>VLOOKUP($B26,'[13]Div 2 forecast'!$D$299:$AF$375,'[13]Div 2 forecast'!W$298,FALSE)</f>
        <v>0</v>
      </c>
      <c r="G26" s="481">
        <f>VLOOKUP($B26,'[13]Div 2 forecast'!$D$299:$AF$375,'[13]Div 2 forecast'!X$298,FALSE)</f>
        <v>0</v>
      </c>
      <c r="H26" s="481">
        <f>VLOOKUP($B26,'[13]Div 2 forecast'!$D$299:$AF$375,'[13]Div 2 forecast'!Y$298,FALSE)</f>
        <v>0</v>
      </c>
      <c r="I26" s="481">
        <f>VLOOKUP($B26,'[13]Div 2 forecast'!$D$299:$AF$375,'[13]Div 2 forecast'!Z$298,FALSE)</f>
        <v>0</v>
      </c>
      <c r="J26" s="481">
        <f>VLOOKUP($B26,'[13]Div 2 forecast'!$D$299:$AF$375,'[13]Div 2 forecast'!AA$298,FALSE)</f>
        <v>0</v>
      </c>
      <c r="K26" s="481">
        <f>VLOOKUP($B26,'[13]Div 2 forecast'!$D$299:$AF$375,'[13]Div 2 forecast'!AB$298,FALSE)</f>
        <v>0</v>
      </c>
      <c r="L26" s="481">
        <f>VLOOKUP($B26,'[13]Div 2 forecast'!$D$299:$AF$375,'[13]Div 2 forecast'!AC$298,FALSE)</f>
        <v>0</v>
      </c>
      <c r="M26" s="481">
        <f>VLOOKUP($B26,'[13]Div 2 forecast'!$D$299:$AF$375,'[13]Div 2 forecast'!AD$298,FALSE)</f>
        <v>0</v>
      </c>
      <c r="N26" s="481">
        <f>VLOOKUP($B26,'[13]Div 2 forecast'!$D$299:$AF$375,'[13]Div 2 forecast'!AE$298,FALSE)</f>
        <v>0</v>
      </c>
      <c r="O26" s="481">
        <f>VLOOKUP($B26,'[13]Div 2 forecast'!$D$299:$AF$375,'[13]Div 2 forecast'!AF$298,FALSE)</f>
        <v>0</v>
      </c>
      <c r="P26" s="95">
        <f t="shared" si="0"/>
        <v>0</v>
      </c>
      <c r="Q26" s="73"/>
    </row>
    <row r="27" spans="1:17">
      <c r="A27" s="1036">
        <f t="shared" si="1"/>
        <v>16</v>
      </c>
      <c r="B27" s="570">
        <v>9120</v>
      </c>
      <c r="C27" s="95" t="s">
        <v>1205</v>
      </c>
      <c r="D27" s="481">
        <f>VLOOKUP($B27,'[13]Div 2 forecast'!$D$299:$AF$375,'[13]Div 2 forecast'!U$298,FALSE)</f>
        <v>9248.4787300402731</v>
      </c>
      <c r="E27" s="481">
        <f>VLOOKUP($B27,'[13]Div 2 forecast'!$D$299:$AF$375,'[13]Div 2 forecast'!V$298,FALSE)</f>
        <v>8991.4775044534927</v>
      </c>
      <c r="F27" s="481">
        <f>VLOOKUP($B27,'[13]Div 2 forecast'!$D$299:$AF$375,'[13]Div 2 forecast'!W$298,FALSE)</f>
        <v>11319.705071654045</v>
      </c>
      <c r="G27" s="481">
        <f>VLOOKUP($B27,'[13]Div 2 forecast'!$D$299:$AF$375,'[13]Div 2 forecast'!X$298,FALSE)</f>
        <v>15148.158187377789</v>
      </c>
      <c r="H27" s="481">
        <f>VLOOKUP($B27,'[13]Div 2 forecast'!$D$299:$AF$375,'[13]Div 2 forecast'!Y$298,FALSE)</f>
        <v>16138.248265882978</v>
      </c>
      <c r="I27" s="481">
        <f>VLOOKUP($B27,'[13]Div 2 forecast'!$D$299:$AF$375,'[13]Div 2 forecast'!Z$298,FALSE)</f>
        <v>15141.919408882181</v>
      </c>
      <c r="J27" s="481">
        <f>VLOOKUP($B27,'[13]Div 2 forecast'!$D$299:$AF$375,'[13]Div 2 forecast'!AA$298,FALSE)</f>
        <v>17524.905820454333</v>
      </c>
      <c r="K27" s="481">
        <f>VLOOKUP($B27,'[13]Div 2 forecast'!$D$299:$AF$375,'[13]Div 2 forecast'!AB$298,FALSE)</f>
        <v>16532.988900916334</v>
      </c>
      <c r="L27" s="481">
        <f>VLOOKUP($B27,'[13]Div 2 forecast'!$D$299:$AF$375,'[13]Div 2 forecast'!AC$298,FALSE)</f>
        <v>17511.066391107463</v>
      </c>
      <c r="M27" s="481">
        <f>VLOOKUP($B27,'[13]Div 2 forecast'!$D$299:$AF$375,'[13]Div 2 forecast'!AD$298,FALSE)</f>
        <v>21053.75605267207</v>
      </c>
      <c r="N27" s="481">
        <f>VLOOKUP($B27,'[13]Div 2 forecast'!$D$299:$AF$375,'[13]Div 2 forecast'!AE$298,FALSE)</f>
        <v>11706.989754638369</v>
      </c>
      <c r="O27" s="481">
        <f>VLOOKUP($B27,'[13]Div 2 forecast'!$D$299:$AF$375,'[13]Div 2 forecast'!AF$298,FALSE)</f>
        <v>18315.712886541769</v>
      </c>
      <c r="P27" s="95">
        <f t="shared" si="0"/>
        <v>178633.40697462109</v>
      </c>
      <c r="Q27" s="73"/>
    </row>
    <row r="28" spans="1:17">
      <c r="A28" s="1036">
        <f t="shared" ref="A28:A44" si="4">A27+1</f>
        <v>17</v>
      </c>
      <c r="B28" s="570">
        <v>9160</v>
      </c>
      <c r="C28" s="95" t="s">
        <v>829</v>
      </c>
      <c r="D28" s="481">
        <f>VLOOKUP($B28,'[13]Div 2 forecast'!$D$299:$AF$375,'[13]Div 2 forecast'!U$298,FALSE)</f>
        <v>0</v>
      </c>
      <c r="E28" s="481">
        <f>VLOOKUP($B28,'[13]Div 2 forecast'!$D$299:$AF$375,'[13]Div 2 forecast'!V$298,FALSE)</f>
        <v>0</v>
      </c>
      <c r="F28" s="481">
        <f>VLOOKUP($B28,'[13]Div 2 forecast'!$D$299:$AF$375,'[13]Div 2 forecast'!W$298,FALSE)</f>
        <v>0</v>
      </c>
      <c r="G28" s="481">
        <f>VLOOKUP($B28,'[13]Div 2 forecast'!$D$299:$AF$375,'[13]Div 2 forecast'!X$298,FALSE)</f>
        <v>0</v>
      </c>
      <c r="H28" s="481">
        <f>VLOOKUP($B28,'[13]Div 2 forecast'!$D$299:$AF$375,'[13]Div 2 forecast'!Y$298,FALSE)</f>
        <v>0</v>
      </c>
      <c r="I28" s="481">
        <f>VLOOKUP($B28,'[13]Div 2 forecast'!$D$299:$AF$375,'[13]Div 2 forecast'!Z$298,FALSE)</f>
        <v>0</v>
      </c>
      <c r="J28" s="481">
        <f>VLOOKUP($B28,'[13]Div 2 forecast'!$D$299:$AF$375,'[13]Div 2 forecast'!AA$298,FALSE)</f>
        <v>0</v>
      </c>
      <c r="K28" s="481">
        <f>VLOOKUP($B28,'[13]Div 2 forecast'!$D$299:$AF$375,'[13]Div 2 forecast'!AB$298,FALSE)</f>
        <v>0</v>
      </c>
      <c r="L28" s="481">
        <f>VLOOKUP($B28,'[13]Div 2 forecast'!$D$299:$AF$375,'[13]Div 2 forecast'!AC$298,FALSE)</f>
        <v>0</v>
      </c>
      <c r="M28" s="481">
        <f>VLOOKUP($B28,'[13]Div 2 forecast'!$D$299:$AF$375,'[13]Div 2 forecast'!AD$298,FALSE)</f>
        <v>0</v>
      </c>
      <c r="N28" s="481">
        <f>VLOOKUP($B28,'[13]Div 2 forecast'!$D$299:$AF$375,'[13]Div 2 forecast'!AE$298,FALSE)</f>
        <v>0</v>
      </c>
      <c r="O28" s="481">
        <f>VLOOKUP($B28,'[13]Div 2 forecast'!$D$299:$AF$375,'[13]Div 2 forecast'!AF$298,FALSE)</f>
        <v>0</v>
      </c>
      <c r="P28" s="95">
        <f t="shared" ref="P28" si="5">SUM(D28:O28)</f>
        <v>0</v>
      </c>
      <c r="Q28" s="73"/>
    </row>
    <row r="29" spans="1:17">
      <c r="A29" s="1036">
        <f t="shared" si="4"/>
        <v>18</v>
      </c>
      <c r="B29" s="570">
        <v>9200</v>
      </c>
      <c r="C29" s="73" t="s">
        <v>181</v>
      </c>
      <c r="D29" s="481">
        <f>VLOOKUP($B29,'[13]Div 2 forecast'!$D$299:$AF$375,'[13]Div 2 forecast'!U$298,FALSE)</f>
        <v>-2802652.4099780433</v>
      </c>
      <c r="E29" s="481">
        <f>VLOOKUP($B29,'[13]Div 2 forecast'!$D$299:$AF$375,'[13]Div 2 forecast'!V$298,FALSE)</f>
        <v>-3070148.2988499645</v>
      </c>
      <c r="F29" s="481">
        <f>VLOOKUP($B29,'[13]Div 2 forecast'!$D$299:$AF$375,'[13]Div 2 forecast'!W$298,FALSE)</f>
        <v>-2141142.0949446713</v>
      </c>
      <c r="G29" s="481">
        <f>VLOOKUP($B29,'[13]Div 2 forecast'!$D$299:$AF$375,'[13]Div 2 forecast'!X$298,FALSE)</f>
        <v>-3401814.4629443302</v>
      </c>
      <c r="H29" s="481">
        <f>VLOOKUP($B29,'[13]Div 2 forecast'!$D$299:$AF$375,'[13]Div 2 forecast'!Y$298,FALSE)</f>
        <v>-4787911.0084594553</v>
      </c>
      <c r="I29" s="481">
        <f>VLOOKUP($B29,'[13]Div 2 forecast'!$D$299:$AF$375,'[13]Div 2 forecast'!Z$298,FALSE)</f>
        <v>-3418494.9592910646</v>
      </c>
      <c r="J29" s="481">
        <f>VLOOKUP($B29,'[13]Div 2 forecast'!$D$299:$AF$375,'[13]Div 2 forecast'!AA$298,FALSE)</f>
        <v>-3817267.7754949541</v>
      </c>
      <c r="K29" s="481">
        <f>VLOOKUP($B29,'[13]Div 2 forecast'!$D$299:$AF$375,'[13]Div 2 forecast'!AB$298,FALSE)</f>
        <v>-2888087.1331804697</v>
      </c>
      <c r="L29" s="481">
        <f>VLOOKUP($B29,'[13]Div 2 forecast'!$D$299:$AF$375,'[13]Div 2 forecast'!AC$298,FALSE)</f>
        <v>-2994804.4953003977</v>
      </c>
      <c r="M29" s="481">
        <f>VLOOKUP($B29,'[13]Div 2 forecast'!$D$299:$AF$375,'[13]Div 2 forecast'!AD$298,FALSE)</f>
        <v>-380081.40531521384</v>
      </c>
      <c r="N29" s="481">
        <f>VLOOKUP($B29,'[13]Div 2 forecast'!$D$299:$AF$375,'[13]Div 2 forecast'!AE$298,FALSE)</f>
        <v>-2982050.8724863692</v>
      </c>
      <c r="O29" s="481">
        <f>VLOOKUP($B29,'[13]Div 2 forecast'!$D$299:$AF$375,'[13]Div 2 forecast'!AF$298,FALSE)</f>
        <v>-1068384.4755263692</v>
      </c>
      <c r="P29" s="95">
        <f t="shared" si="0"/>
        <v>-33752839.391771302</v>
      </c>
      <c r="Q29" s="73"/>
    </row>
    <row r="30" spans="1:17">
      <c r="A30" s="1036">
        <f t="shared" si="4"/>
        <v>19</v>
      </c>
      <c r="B30" s="570">
        <v>9210</v>
      </c>
      <c r="C30" s="73" t="s">
        <v>933</v>
      </c>
      <c r="D30" s="481">
        <f>VLOOKUP($B30,'[13]Div 2 forecast'!$D$299:$AF$375,'[13]Div 2 forecast'!U$298,FALSE)</f>
        <v>2413386.2920247815</v>
      </c>
      <c r="E30" s="481">
        <f>VLOOKUP($B30,'[13]Div 2 forecast'!$D$299:$AF$375,'[13]Div 2 forecast'!V$298,FALSE)</f>
        <v>2547301.1645046766</v>
      </c>
      <c r="F30" s="481">
        <f>VLOOKUP($B30,'[13]Div 2 forecast'!$D$299:$AF$375,'[13]Div 2 forecast'!W$298,FALSE)</f>
        <v>2877164.1549470103</v>
      </c>
      <c r="G30" s="481">
        <f>VLOOKUP($B30,'[13]Div 2 forecast'!$D$299:$AF$375,'[13]Div 2 forecast'!X$298,FALSE)</f>
        <v>3592791.722185717</v>
      </c>
      <c r="H30" s="481">
        <f>VLOOKUP($B30,'[13]Div 2 forecast'!$D$299:$AF$375,'[13]Div 2 forecast'!Y$298,FALSE)</f>
        <v>3360712.1266616024</v>
      </c>
      <c r="I30" s="481">
        <f>VLOOKUP($B30,'[13]Div 2 forecast'!$D$299:$AF$375,'[13]Div 2 forecast'!Z$298,FALSE)</f>
        <v>3416733.722998878</v>
      </c>
      <c r="J30" s="481">
        <f>VLOOKUP($B30,'[13]Div 2 forecast'!$D$299:$AF$375,'[13]Div 2 forecast'!AA$298,FALSE)</f>
        <v>3385039.199422481</v>
      </c>
      <c r="K30" s="481">
        <f>VLOOKUP($B30,'[13]Div 2 forecast'!$D$299:$AF$375,'[13]Div 2 forecast'!AB$298,FALSE)</f>
        <v>3321938.7189634759</v>
      </c>
      <c r="L30" s="481">
        <f>VLOOKUP($B30,'[13]Div 2 forecast'!$D$299:$AF$375,'[13]Div 2 forecast'!AC$298,FALSE)</f>
        <v>5023503.1415613638</v>
      </c>
      <c r="M30" s="481">
        <f>VLOOKUP($B30,'[13]Div 2 forecast'!$D$299:$AF$375,'[13]Div 2 forecast'!AD$298,FALSE)</f>
        <v>2538982.5969090243</v>
      </c>
      <c r="N30" s="481">
        <f>VLOOKUP($B30,'[13]Div 2 forecast'!$D$299:$AF$375,'[13]Div 2 forecast'!AE$298,FALSE)</f>
        <v>2428634.8498993553</v>
      </c>
      <c r="O30" s="481">
        <f>VLOOKUP($B30,'[13]Div 2 forecast'!$D$299:$AF$375,'[13]Div 2 forecast'!AF$298,FALSE)</f>
        <v>2592654.8117151489</v>
      </c>
      <c r="P30" s="95">
        <f t="shared" si="0"/>
        <v>37498842.501793519</v>
      </c>
      <c r="Q30" s="73"/>
    </row>
    <row r="31" spans="1:17">
      <c r="A31" s="1036">
        <f t="shared" si="4"/>
        <v>20</v>
      </c>
      <c r="B31" s="570">
        <v>9220</v>
      </c>
      <c r="C31" s="73" t="s">
        <v>934</v>
      </c>
      <c r="D31" s="88">
        <f t="shared" ref="D31:O31" si="6">-(SUM(D12:D30,D32:D39))</f>
        <v>-8335433.9149289047</v>
      </c>
      <c r="E31" s="88">
        <f t="shared" si="6"/>
        <v>-8082379.5849139094</v>
      </c>
      <c r="F31" s="88">
        <f t="shared" si="6"/>
        <v>-10131158.143594239</v>
      </c>
      <c r="G31" s="88">
        <f t="shared" si="6"/>
        <v>-9219942.9612175617</v>
      </c>
      <c r="H31" s="88">
        <f t="shared" si="6"/>
        <v>-12160424.005015522</v>
      </c>
      <c r="I31" s="88">
        <f t="shared" si="6"/>
        <v>-9826740.7398184855</v>
      </c>
      <c r="J31" s="88">
        <f t="shared" si="6"/>
        <v>-10691452.615331609</v>
      </c>
      <c r="K31" s="88">
        <f t="shared" si="6"/>
        <v>-8849211.6153316125</v>
      </c>
      <c r="L31" s="88">
        <f t="shared" si="6"/>
        <v>-41966639.222245768</v>
      </c>
      <c r="M31" s="88">
        <f t="shared" si="6"/>
        <v>-10037893.10574875</v>
      </c>
      <c r="N31" s="88">
        <f t="shared" si="6"/>
        <v>-6278069.1447830508</v>
      </c>
      <c r="O31" s="88">
        <f t="shared" si="6"/>
        <v>-9337623.2866969164</v>
      </c>
      <c r="P31" s="95">
        <f t="shared" si="0"/>
        <v>-144916968.33962634</v>
      </c>
      <c r="Q31" s="73"/>
    </row>
    <row r="32" spans="1:17">
      <c r="A32" s="1036">
        <f t="shared" si="4"/>
        <v>21</v>
      </c>
      <c r="B32" s="570">
        <v>9230</v>
      </c>
      <c r="C32" s="73" t="s">
        <v>935</v>
      </c>
      <c r="D32" s="481">
        <f>VLOOKUP($B32,'[13]Div 2 forecast'!$D$299:$AF$375,'[13]Div 2 forecast'!U$298,FALSE)</f>
        <v>723475.43906114635</v>
      </c>
      <c r="E32" s="481">
        <f>VLOOKUP($B32,'[13]Div 2 forecast'!$D$299:$AF$375,'[13]Div 2 forecast'!V$298,FALSE)</f>
        <v>1112346.2948580468</v>
      </c>
      <c r="F32" s="481">
        <f>VLOOKUP($B32,'[13]Div 2 forecast'!$D$299:$AF$375,'[13]Div 2 forecast'!W$298,FALSE)</f>
        <v>1108099.1956573313</v>
      </c>
      <c r="G32" s="481">
        <f>VLOOKUP($B32,'[13]Div 2 forecast'!$D$299:$AF$375,'[13]Div 2 forecast'!X$298,FALSE)</f>
        <v>1213656.911136491</v>
      </c>
      <c r="H32" s="481">
        <f>VLOOKUP($B32,'[13]Div 2 forecast'!$D$299:$AF$375,'[13]Div 2 forecast'!Y$298,FALSE)</f>
        <v>1261804.2058908818</v>
      </c>
      <c r="I32" s="481">
        <f>VLOOKUP($B32,'[13]Div 2 forecast'!$D$299:$AF$375,'[13]Div 2 forecast'!Z$298,FALSE)</f>
        <v>1262220.6781484687</v>
      </c>
      <c r="J32" s="481">
        <f>VLOOKUP($B32,'[13]Div 2 forecast'!$D$299:$AF$375,'[13]Div 2 forecast'!AA$298,FALSE)</f>
        <v>1270704.4520515266</v>
      </c>
      <c r="K32" s="481">
        <f>VLOOKUP($B32,'[13]Div 2 forecast'!$D$299:$AF$375,'[13]Div 2 forecast'!AB$298,FALSE)</f>
        <v>1210441.9884677809</v>
      </c>
      <c r="L32" s="481">
        <f>VLOOKUP($B32,'[13]Div 2 forecast'!$D$299:$AF$375,'[13]Div 2 forecast'!AC$298,FALSE)</f>
        <v>11006399.541510385</v>
      </c>
      <c r="M32" s="481">
        <f>VLOOKUP($B32,'[13]Div 2 forecast'!$D$299:$AF$375,'[13]Div 2 forecast'!AD$298,FALSE)</f>
        <v>854280.62617498485</v>
      </c>
      <c r="N32" s="481">
        <f>VLOOKUP($B32,'[13]Div 2 forecast'!$D$299:$AF$375,'[13]Div 2 forecast'!AE$298,FALSE)</f>
        <v>865578.16542500095</v>
      </c>
      <c r="O32" s="481">
        <f>VLOOKUP($B32,'[13]Div 2 forecast'!$D$299:$AF$375,'[13]Div 2 forecast'!AF$298,FALSE)</f>
        <v>1014345.316011723</v>
      </c>
      <c r="P32" s="95">
        <f t="shared" si="0"/>
        <v>22903352.81439377</v>
      </c>
      <c r="Q32" s="73"/>
    </row>
    <row r="33" spans="1:18">
      <c r="A33" s="1036">
        <f t="shared" si="4"/>
        <v>22</v>
      </c>
      <c r="B33" s="570">
        <v>9240</v>
      </c>
      <c r="C33" s="73" t="s">
        <v>936</v>
      </c>
      <c r="D33" s="481">
        <f>VLOOKUP($B33,'[13]Div 2 forecast'!$D$299:$AF$375,'[13]Div 2 forecast'!U$298,FALSE)</f>
        <v>11272.559386967303</v>
      </c>
      <c r="E33" s="481">
        <f>VLOOKUP($B33,'[13]Div 2 forecast'!$D$299:$AF$375,'[13]Div 2 forecast'!V$298,FALSE)</f>
        <v>11272.260321448917</v>
      </c>
      <c r="F33" s="481">
        <f>VLOOKUP($B33,'[13]Div 2 forecast'!$D$299:$AF$375,'[13]Div 2 forecast'!W$298,FALSE)</f>
        <v>457.78927530713037</v>
      </c>
      <c r="G33" s="481">
        <f>VLOOKUP($B33,'[13]Div 2 forecast'!$D$299:$AF$375,'[13]Div 2 forecast'!X$298,FALSE)</f>
        <v>10825.165236247549</v>
      </c>
      <c r="H33" s="481">
        <f>VLOOKUP($B33,'[13]Div 2 forecast'!$D$299:$AF$375,'[13]Div 2 forecast'!Y$298,FALSE)</f>
        <v>10825.165236247549</v>
      </c>
      <c r="I33" s="481">
        <f>VLOOKUP($B33,'[13]Div 2 forecast'!$D$299:$AF$375,'[13]Div 2 forecast'!Z$298,FALSE)</f>
        <v>10825.165236247549</v>
      </c>
      <c r="J33" s="481">
        <f>VLOOKUP($B33,'[13]Div 2 forecast'!$D$299:$AF$375,'[13]Div 2 forecast'!AA$298,FALSE)</f>
        <v>10825.165236247549</v>
      </c>
      <c r="K33" s="481">
        <f>VLOOKUP($B33,'[13]Div 2 forecast'!$D$299:$AF$375,'[13]Div 2 forecast'!AB$298,FALSE)</f>
        <v>10900.039603801652</v>
      </c>
      <c r="L33" s="481">
        <f>VLOOKUP($B33,'[13]Div 2 forecast'!$D$299:$AF$375,'[13]Div 2 forecast'!AC$298,FALSE)</f>
        <v>10825.165236247549</v>
      </c>
      <c r="M33" s="481">
        <f>VLOOKUP($B33,'[13]Div 2 forecast'!$D$299:$AF$375,'[13]Div 2 forecast'!AD$298,FALSE)</f>
        <v>11247.030218694039</v>
      </c>
      <c r="N33" s="481">
        <f>VLOOKUP($B33,'[13]Div 2 forecast'!$D$299:$AF$375,'[13]Div 2 forecast'!AE$298,FALSE)</f>
        <v>9323.1554309850635</v>
      </c>
      <c r="O33" s="481">
        <f>VLOOKUP($B33,'[13]Div 2 forecast'!$D$299:$AF$375,'[13]Div 2 forecast'!AF$298,FALSE)</f>
        <v>11272.295366597551</v>
      </c>
      <c r="P33" s="95">
        <f t="shared" si="0"/>
        <v>119870.95578503939</v>
      </c>
      <c r="Q33" s="73"/>
    </row>
    <row r="34" spans="1:18">
      <c r="A34" s="1036">
        <f t="shared" si="4"/>
        <v>23</v>
      </c>
      <c r="B34" s="570">
        <v>9250</v>
      </c>
      <c r="C34" s="73" t="s">
        <v>937</v>
      </c>
      <c r="D34" s="481">
        <f>VLOOKUP($B34,'[13]Div 2 forecast'!$D$299:$AF$375,'[13]Div 2 forecast'!U$298,FALSE)</f>
        <v>2761972.5185352028</v>
      </c>
      <c r="E34" s="481">
        <f>VLOOKUP($B34,'[13]Div 2 forecast'!$D$299:$AF$375,'[13]Div 2 forecast'!V$298,FALSE)</f>
        <v>2761291.9310293584</v>
      </c>
      <c r="F34" s="481">
        <f>VLOOKUP($B34,'[13]Div 2 forecast'!$D$299:$AF$375,'[13]Div 2 forecast'!W$298,FALSE)</f>
        <v>119245.38714102328</v>
      </c>
      <c r="G34" s="481">
        <f>VLOOKUP($B34,'[13]Div 2 forecast'!$D$299:$AF$375,'[13]Div 2 forecast'!X$298,FALSE)</f>
        <v>2653293.5670903698</v>
      </c>
      <c r="H34" s="481">
        <f>VLOOKUP($B34,'[13]Div 2 forecast'!$D$299:$AF$375,'[13]Div 2 forecast'!Y$298,FALSE)</f>
        <v>2652955.4711463749</v>
      </c>
      <c r="I34" s="481">
        <f>VLOOKUP($B34,'[13]Div 2 forecast'!$D$299:$AF$375,'[13]Div 2 forecast'!Z$298,FALSE)</f>
        <v>2653303.6611810625</v>
      </c>
      <c r="J34" s="481">
        <f>VLOOKUP($B34,'[13]Div 2 forecast'!$D$299:$AF$375,'[13]Div 2 forecast'!AA$298,FALSE)</f>
        <v>2653320.7250094293</v>
      </c>
      <c r="K34" s="481">
        <f>VLOOKUP($B34,'[13]Div 2 forecast'!$D$299:$AF$375,'[13]Div 2 forecast'!AB$298,FALSE)</f>
        <v>2671619.9209085791</v>
      </c>
      <c r="L34" s="481">
        <f>VLOOKUP($B34,'[13]Div 2 forecast'!$D$299:$AF$375,'[13]Div 2 forecast'!AC$298,FALSE)</f>
        <v>2653320.7296552951</v>
      </c>
      <c r="M34" s="481">
        <f>VLOOKUP($B34,'[13]Div 2 forecast'!$D$299:$AF$375,'[13]Div 2 forecast'!AD$298,FALSE)</f>
        <v>2756430.0284919469</v>
      </c>
      <c r="N34" s="481">
        <f>VLOOKUP($B34,'[13]Div 2 forecast'!$D$299:$AF$375,'[13]Div 2 forecast'!AE$298,FALSE)</f>
        <v>2285660.412565744</v>
      </c>
      <c r="O34" s="481">
        <f>VLOOKUP($B34,'[13]Div 2 forecast'!$D$299:$AF$375,'[13]Div 2 forecast'!AF$298,FALSE)</f>
        <v>2763322.5541674243</v>
      </c>
      <c r="P34" s="95">
        <f t="shared" si="0"/>
        <v>29385736.906921811</v>
      </c>
      <c r="Q34" s="73"/>
      <c r="R34" s="557"/>
    </row>
    <row r="35" spans="1:18">
      <c r="A35" s="1036">
        <f t="shared" si="4"/>
        <v>24</v>
      </c>
      <c r="B35" s="570">
        <v>9260</v>
      </c>
      <c r="C35" s="73" t="s">
        <v>938</v>
      </c>
      <c r="D35" s="481">
        <f>VLOOKUP($B35,'[13]Div 2 forecast'!$D$299:$AF$375,'[13]Div 2 forecast'!U$298,FALSE)</f>
        <v>4013605.0587421623</v>
      </c>
      <c r="E35" s="481">
        <f>VLOOKUP($B35,'[13]Div 2 forecast'!$D$299:$AF$375,'[13]Div 2 forecast'!V$298,FALSE)</f>
        <v>3713777.5616447059</v>
      </c>
      <c r="F35" s="481">
        <f>VLOOKUP($B35,'[13]Div 2 forecast'!$D$299:$AF$375,'[13]Div 2 forecast'!W$298,FALSE)</f>
        <v>5821103.1131768515</v>
      </c>
      <c r="G35" s="481">
        <f>VLOOKUP($B35,'[13]Div 2 forecast'!$D$299:$AF$375,'[13]Div 2 forecast'!X$298,FALSE)</f>
        <v>4344285.4391976427</v>
      </c>
      <c r="H35" s="481">
        <f>VLOOKUP($B35,'[13]Div 2 forecast'!$D$299:$AF$375,'[13]Div 2 forecast'!Y$298,FALSE)</f>
        <v>8852871.7899919339</v>
      </c>
      <c r="I35" s="481">
        <f>VLOOKUP($B35,'[13]Div 2 forecast'!$D$299:$AF$375,'[13]Div 2 forecast'!Z$298,FALSE)</f>
        <v>4514052.5818975801</v>
      </c>
      <c r="J35" s="481">
        <f>VLOOKUP($B35,'[13]Div 2 forecast'!$D$299:$AF$375,'[13]Div 2 forecast'!AA$298,FALSE)</f>
        <v>6376622.39552812</v>
      </c>
      <c r="K35" s="481">
        <f>VLOOKUP($B35,'[13]Div 2 forecast'!$D$299:$AF$375,'[13]Div 2 forecast'!AB$298,FALSE)</f>
        <v>3712582.1401156024</v>
      </c>
      <c r="L35" s="481">
        <f>VLOOKUP($B35,'[13]Div 2 forecast'!$D$299:$AF$375,'[13]Div 2 forecast'!AC$298,FALSE)</f>
        <v>3803190.4614692079</v>
      </c>
      <c r="M35" s="481">
        <f>VLOOKUP($B35,'[13]Div 2 forecast'!$D$299:$AF$375,'[13]Div 2 forecast'!AD$298,FALSE)</f>
        <v>3091240.5232376903</v>
      </c>
      <c r="N35" s="481">
        <f>VLOOKUP($B35,'[13]Div 2 forecast'!$D$299:$AF$375,'[13]Div 2 forecast'!AE$298,FALSE)</f>
        <v>3002993.2003841484</v>
      </c>
      <c r="O35" s="481">
        <f>VLOOKUP($B35,'[13]Div 2 forecast'!$D$299:$AF$375,'[13]Div 2 forecast'!AF$298,FALSE)</f>
        <v>3152463.1127172895</v>
      </c>
      <c r="P35" s="95">
        <f t="shared" si="0"/>
        <v>54398787.378102943</v>
      </c>
      <c r="Q35" s="73"/>
    </row>
    <row r="36" spans="1:18">
      <c r="A36" s="1036">
        <f t="shared" si="4"/>
        <v>25</v>
      </c>
      <c r="B36" s="570">
        <v>9301</v>
      </c>
      <c r="C36" s="73" t="s">
        <v>182</v>
      </c>
      <c r="D36" s="481">
        <f>VLOOKUP($B36,'[13]Div 2 forecast'!$D$299:$AF$375,'[13]Div 2 forecast'!U$298,FALSE)</f>
        <v>0</v>
      </c>
      <c r="E36" s="481">
        <f>VLOOKUP($B36,'[13]Div 2 forecast'!$D$299:$AF$375,'[13]Div 2 forecast'!V$298,FALSE)</f>
        <v>0</v>
      </c>
      <c r="F36" s="481">
        <f>VLOOKUP($B36,'[13]Div 2 forecast'!$D$299:$AF$375,'[13]Div 2 forecast'!W$298,FALSE)</f>
        <v>0</v>
      </c>
      <c r="G36" s="481">
        <f>VLOOKUP($B36,'[13]Div 2 forecast'!$D$299:$AF$375,'[13]Div 2 forecast'!X$298,FALSE)</f>
        <v>0</v>
      </c>
      <c r="H36" s="481">
        <f>VLOOKUP($B36,'[13]Div 2 forecast'!$D$299:$AF$375,'[13]Div 2 forecast'!Y$298,FALSE)</f>
        <v>0</v>
      </c>
      <c r="I36" s="481">
        <f>VLOOKUP($B36,'[13]Div 2 forecast'!$D$299:$AF$375,'[13]Div 2 forecast'!Z$298,FALSE)</f>
        <v>0</v>
      </c>
      <c r="J36" s="481">
        <f>VLOOKUP($B36,'[13]Div 2 forecast'!$D$299:$AF$375,'[13]Div 2 forecast'!AA$298,FALSE)</f>
        <v>0</v>
      </c>
      <c r="K36" s="481">
        <f>VLOOKUP($B36,'[13]Div 2 forecast'!$D$299:$AF$375,'[13]Div 2 forecast'!AB$298,FALSE)</f>
        <v>0</v>
      </c>
      <c r="L36" s="481">
        <f>VLOOKUP($B36,'[13]Div 2 forecast'!$D$299:$AF$375,'[13]Div 2 forecast'!AC$298,FALSE)</f>
        <v>0</v>
      </c>
      <c r="M36" s="481">
        <f>VLOOKUP($B36,'[13]Div 2 forecast'!$D$299:$AF$375,'[13]Div 2 forecast'!AD$298,FALSE)</f>
        <v>0</v>
      </c>
      <c r="N36" s="481">
        <f>VLOOKUP($B36,'[13]Div 2 forecast'!$D$299:$AF$375,'[13]Div 2 forecast'!AE$298,FALSE)</f>
        <v>0</v>
      </c>
      <c r="O36" s="481">
        <f>VLOOKUP($B36,'[13]Div 2 forecast'!$D$299:$AF$375,'[13]Div 2 forecast'!AF$298,FALSE)</f>
        <v>0</v>
      </c>
      <c r="P36" s="95">
        <f t="shared" si="0"/>
        <v>0</v>
      </c>
      <c r="Q36" s="73"/>
    </row>
    <row r="37" spans="1:18">
      <c r="A37" s="1036">
        <f t="shared" si="4"/>
        <v>26</v>
      </c>
      <c r="B37" s="570">
        <v>9302</v>
      </c>
      <c r="C37" s="73" t="s">
        <v>849</v>
      </c>
      <c r="D37" s="481">
        <f>VLOOKUP($B37,'[13]Div 2 forecast'!$D$299:$AF$375,'[13]Div 2 forecast'!U$298,FALSE)</f>
        <v>702831.90501897899</v>
      </c>
      <c r="E37" s="481">
        <f>VLOOKUP($B37,'[13]Div 2 forecast'!$D$299:$AF$375,'[13]Div 2 forecast'!V$298,FALSE)</f>
        <v>523219.60629197047</v>
      </c>
      <c r="F37" s="481">
        <f>VLOOKUP($B37,'[13]Div 2 forecast'!$D$299:$AF$375,'[13]Div 2 forecast'!W$298,FALSE)</f>
        <v>2150192.5528687835</v>
      </c>
      <c r="G37" s="481">
        <f>VLOOKUP($B37,'[13]Div 2 forecast'!$D$299:$AF$375,'[13]Div 2 forecast'!X$298,FALSE)</f>
        <v>214879.02444943885</v>
      </c>
      <c r="H37" s="481">
        <f>VLOOKUP($B37,'[13]Div 2 forecast'!$D$299:$AF$375,'[13]Div 2 forecast'!Y$298,FALSE)</f>
        <v>217213.60353239247</v>
      </c>
      <c r="I37" s="481">
        <f>VLOOKUP($B37,'[13]Div 2 forecast'!$D$299:$AF$375,'[13]Div 2 forecast'!Z$298,FALSE)</f>
        <v>794456.33155038464</v>
      </c>
      <c r="J37" s="481">
        <f>VLOOKUP($B37,'[13]Div 2 forecast'!$D$299:$AF$375,'[13]Div 2 forecast'!AA$298,FALSE)</f>
        <v>217756.78776682273</v>
      </c>
      <c r="K37" s="481">
        <f>VLOOKUP($B37,'[13]Div 2 forecast'!$D$299:$AF$375,'[13]Div 2 forecast'!AB$298,FALSE)</f>
        <v>217254.0450031863</v>
      </c>
      <c r="L37" s="481">
        <f>VLOOKUP($B37,'[13]Div 2 forecast'!$D$299:$AF$375,'[13]Div 2 forecast'!AC$298,FALSE)</f>
        <v>1283872.2026455146</v>
      </c>
      <c r="M37" s="481">
        <f>VLOOKUP($B37,'[13]Div 2 forecast'!$D$299:$AF$375,'[13]Div 2 forecast'!AD$298,FALSE)</f>
        <v>613258.76993331057</v>
      </c>
      <c r="N37" s="481">
        <f>VLOOKUP($B37,'[13]Div 2 forecast'!$D$299:$AF$375,'[13]Div 2 forecast'!AE$298,FALSE)</f>
        <v>142453.96569910919</v>
      </c>
      <c r="O37" s="481">
        <f>VLOOKUP($B37,'[13]Div 2 forecast'!$D$299:$AF$375,'[13]Div 2 forecast'!AF$298,FALSE)</f>
        <v>434404.1201878477</v>
      </c>
      <c r="P37" s="95">
        <f t="shared" si="0"/>
        <v>7511792.9149477398</v>
      </c>
      <c r="Q37" s="73"/>
    </row>
    <row r="38" spans="1:18">
      <c r="A38" s="1036">
        <f t="shared" si="4"/>
        <v>27</v>
      </c>
      <c r="B38" s="570">
        <v>9310</v>
      </c>
      <c r="C38" s="73" t="s">
        <v>183</v>
      </c>
      <c r="D38" s="481">
        <f>VLOOKUP($B38,'[13]Div 2 forecast'!$D$299:$AF$375,'[13]Div 2 forecast'!U$298,FALSE)</f>
        <v>400259.67798592499</v>
      </c>
      <c r="E38" s="481">
        <f>VLOOKUP($B38,'[13]Div 2 forecast'!$D$299:$AF$375,'[13]Div 2 forecast'!V$298,FALSE)</f>
        <v>410965.83174444077</v>
      </c>
      <c r="F38" s="481">
        <f>VLOOKUP($B38,'[13]Div 2 forecast'!$D$299:$AF$375,'[13]Div 2 forecast'!W$298,FALSE)</f>
        <v>376679.44996830268</v>
      </c>
      <c r="G38" s="481">
        <f>VLOOKUP($B38,'[13]Div 2 forecast'!$D$299:$AF$375,'[13]Div 2 forecast'!X$298,FALSE)</f>
        <v>471795.44015733991</v>
      </c>
      <c r="H38" s="481">
        <f>VLOOKUP($B38,'[13]Div 2 forecast'!$D$299:$AF$375,'[13]Div 2 forecast'!Y$298,FALSE)</f>
        <v>471807.23736069928</v>
      </c>
      <c r="I38" s="481">
        <f>VLOOKUP($B38,'[13]Div 2 forecast'!$D$299:$AF$375,'[13]Div 2 forecast'!Z$298,FALSE)</f>
        <v>472408.38179578341</v>
      </c>
      <c r="J38" s="481">
        <f>VLOOKUP($B38,'[13]Div 2 forecast'!$D$299:$AF$375,'[13]Div 2 forecast'!AA$298,FALSE)</f>
        <v>471925.0775955026</v>
      </c>
      <c r="K38" s="481">
        <f>VLOOKUP($B38,'[13]Div 2 forecast'!$D$299:$AF$375,'[13]Div 2 forecast'!AB$298,FALSE)</f>
        <v>471802.07539647486</v>
      </c>
      <c r="L38" s="481">
        <f>VLOOKUP($B38,'[13]Div 2 forecast'!$D$299:$AF$375,'[13]Div 2 forecast'!AC$298,FALSE)</f>
        <v>509032.43427796412</v>
      </c>
      <c r="M38" s="481">
        <f>VLOOKUP($B38,'[13]Div 2 forecast'!$D$299:$AF$375,'[13]Div 2 forecast'!AD$298,FALSE)</f>
        <v>428170.68781025079</v>
      </c>
      <c r="N38" s="481">
        <f>VLOOKUP($B38,'[13]Div 2 forecast'!$D$299:$AF$375,'[13]Div 2 forecast'!AE$298,FALSE)</f>
        <v>414268.94577235071</v>
      </c>
      <c r="O38" s="481">
        <f>VLOOKUP($B38,'[13]Div 2 forecast'!$D$299:$AF$375,'[13]Div 2 forecast'!AF$298,FALSE)</f>
        <v>421335.66671873012</v>
      </c>
      <c r="P38" s="95">
        <f t="shared" si="0"/>
        <v>5320450.9065837646</v>
      </c>
      <c r="Q38" s="73"/>
    </row>
    <row r="39" spans="1:18">
      <c r="A39" s="1036">
        <f t="shared" si="4"/>
        <v>28</v>
      </c>
      <c r="B39" s="570">
        <v>9320</v>
      </c>
      <c r="C39" s="73" t="s">
        <v>184</v>
      </c>
      <c r="D39" s="481">
        <f>VLOOKUP($B39,'[13]Div 2 forecast'!$D$299:$AF$375,'[13]Div 2 forecast'!U$298,FALSE)</f>
        <v>20440.943602636267</v>
      </c>
      <c r="E39" s="481">
        <f>VLOOKUP($B39,'[13]Div 2 forecast'!$D$299:$AF$375,'[13]Div 2 forecast'!V$298,FALSE)</f>
        <v>22159.052228219145</v>
      </c>
      <c r="F39" s="481">
        <f>VLOOKUP($B39,'[13]Div 2 forecast'!$D$299:$AF$375,'[13]Div 2 forecast'!W$298,FALSE)</f>
        <v>22016.686548426656</v>
      </c>
      <c r="G39" s="481">
        <f>VLOOKUP($B39,'[13]Div 2 forecast'!$D$299:$AF$375,'[13]Div 2 forecast'!X$298,FALSE)</f>
        <v>27420.640409229214</v>
      </c>
      <c r="H39" s="481">
        <f>VLOOKUP($B39,'[13]Div 2 forecast'!$D$299:$AF$375,'[13]Div 2 forecast'!Y$298,FALSE)</f>
        <v>26528.594660828538</v>
      </c>
      <c r="I39" s="481">
        <f>VLOOKUP($B39,'[13]Div 2 forecast'!$D$299:$AF$375,'[13]Div 2 forecast'!Z$298,FALSE)</f>
        <v>27061.331420510418</v>
      </c>
      <c r="J39" s="481">
        <f>VLOOKUP($B39,'[13]Div 2 forecast'!$D$299:$AF$375,'[13]Div 2 forecast'!AA$298,FALSE)</f>
        <v>27132.802905450317</v>
      </c>
      <c r="K39" s="481">
        <f>VLOOKUP($B39,'[13]Div 2 forecast'!$D$299:$AF$375,'[13]Div 2 forecast'!AB$298,FALSE)</f>
        <v>26568.186648914623</v>
      </c>
      <c r="L39" s="481">
        <f>VLOOKUP($B39,'[13]Div 2 forecast'!$D$299:$AF$375,'[13]Div 2 forecast'!AC$298,FALSE)</f>
        <v>63665.453771795539</v>
      </c>
      <c r="M39" s="481">
        <f>VLOOKUP($B39,'[13]Div 2 forecast'!$D$299:$AF$375,'[13]Div 2 forecast'!AD$298,FALSE)</f>
        <v>21808.991427483594</v>
      </c>
      <c r="N39" s="481">
        <f>VLOOKUP($B39,'[13]Div 2 forecast'!$D$299:$AF$375,'[13]Div 2 forecast'!AE$298,FALSE)</f>
        <v>21041.239856005039</v>
      </c>
      <c r="O39" s="481">
        <f>VLOOKUP($B39,'[13]Div 2 forecast'!$D$299:$AF$375,'[13]Div 2 forecast'!AF$298,FALSE)</f>
        <v>22022.996337229288</v>
      </c>
      <c r="P39" s="95">
        <f t="shared" si="0"/>
        <v>327866.91981672868</v>
      </c>
      <c r="Q39" s="73"/>
    </row>
    <row r="40" spans="1:18" ht="15.75" thickBot="1">
      <c r="A40" s="1036">
        <f t="shared" si="4"/>
        <v>29</v>
      </c>
      <c r="B40" s="73" t="s">
        <v>728</v>
      </c>
      <c r="C40" s="73"/>
      <c r="D40" s="1131">
        <f t="shared" ref="D40:P40" si="7">SUM(D12:D39)</f>
        <v>1.2078089639544487E-9</v>
      </c>
      <c r="E40" s="1131">
        <f t="shared" si="7"/>
        <v>1.3751559890806675E-9</v>
      </c>
      <c r="F40" s="1131">
        <f t="shared" si="7"/>
        <v>-9.6406438387930393E-10</v>
      </c>
      <c r="G40" s="1131">
        <f t="shared" si="7"/>
        <v>-5.0931703299283981E-11</v>
      </c>
      <c r="H40" s="1131">
        <f t="shared" si="7"/>
        <v>2.6266206987202168E-9</v>
      </c>
      <c r="I40" s="1131">
        <f t="shared" si="7"/>
        <v>1.8553691916167736E-9</v>
      </c>
      <c r="J40" s="1131">
        <f t="shared" si="7"/>
        <v>3.2378011383116245E-10</v>
      </c>
      <c r="K40" s="1131">
        <f t="shared" si="7"/>
        <v>3.2378011383116245E-10</v>
      </c>
      <c r="L40" s="1131">
        <f t="shared" si="7"/>
        <v>-7.2323018684983253E-9</v>
      </c>
      <c r="M40" s="1131">
        <f t="shared" si="7"/>
        <v>-1.7716956790536642E-9</v>
      </c>
      <c r="N40" s="1131">
        <f t="shared" si="7"/>
        <v>-2.5829649530351162E-10</v>
      </c>
      <c r="O40" s="1131">
        <f t="shared" si="7"/>
        <v>7.6397554948925972E-11</v>
      </c>
      <c r="P40" s="1131">
        <f t="shared" si="7"/>
        <v>1.1175870895385742E-8</v>
      </c>
      <c r="Q40" s="73"/>
    </row>
    <row r="41" spans="1:18" ht="15.75" thickTop="1">
      <c r="A41" s="1036">
        <f t="shared" si="4"/>
        <v>30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1:18">
      <c r="A42" s="1036">
        <f t="shared" si="4"/>
        <v>31</v>
      </c>
      <c r="B42" s="1132">
        <f t="shared" ref="B42:O42" si="8">B31</f>
        <v>9220</v>
      </c>
      <c r="C42" s="95" t="str">
        <f t="shared" si="8"/>
        <v>A&amp;G-Administrative expense transferred-Credit</v>
      </c>
      <c r="D42" s="95">
        <f t="shared" si="8"/>
        <v>-8335433.9149289047</v>
      </c>
      <c r="E42" s="95">
        <f t="shared" si="8"/>
        <v>-8082379.5849139094</v>
      </c>
      <c r="F42" s="95">
        <f t="shared" si="8"/>
        <v>-10131158.143594239</v>
      </c>
      <c r="G42" s="95">
        <f t="shared" si="8"/>
        <v>-9219942.9612175617</v>
      </c>
      <c r="H42" s="95">
        <f t="shared" si="8"/>
        <v>-12160424.005015522</v>
      </c>
      <c r="I42" s="95">
        <f t="shared" si="8"/>
        <v>-9826740.7398184855</v>
      </c>
      <c r="J42" s="95">
        <f t="shared" si="8"/>
        <v>-10691452.615331609</v>
      </c>
      <c r="K42" s="95">
        <f t="shared" si="8"/>
        <v>-8849211.6153316125</v>
      </c>
      <c r="L42" s="95">
        <f t="shared" si="8"/>
        <v>-41966639.222245768</v>
      </c>
      <c r="M42" s="95">
        <f t="shared" si="8"/>
        <v>-10037893.10574875</v>
      </c>
      <c r="N42" s="95">
        <f t="shared" si="8"/>
        <v>-6278069.1447830508</v>
      </c>
      <c r="O42" s="95">
        <f t="shared" si="8"/>
        <v>-9337623.2866969164</v>
      </c>
      <c r="P42" s="73"/>
      <c r="Q42" s="73"/>
    </row>
    <row r="43" spans="1:18">
      <c r="A43" s="1036">
        <f t="shared" si="4"/>
        <v>32</v>
      </c>
      <c r="B43" s="73"/>
      <c r="C43" s="73" t="s">
        <v>194</v>
      </c>
      <c r="D43" s="1133">
        <f>Allocation!$E$14</f>
        <v>4.9714119999999994E-2</v>
      </c>
      <c r="E43" s="1133">
        <f>D43</f>
        <v>4.9714119999999994E-2</v>
      </c>
      <c r="F43" s="1133">
        <f t="shared" ref="F43:O43" si="9">E43</f>
        <v>4.9714119999999994E-2</v>
      </c>
      <c r="G43" s="1133">
        <f t="shared" si="9"/>
        <v>4.9714119999999994E-2</v>
      </c>
      <c r="H43" s="1133">
        <f t="shared" si="9"/>
        <v>4.9714119999999994E-2</v>
      </c>
      <c r="I43" s="1133">
        <f t="shared" si="9"/>
        <v>4.9714119999999994E-2</v>
      </c>
      <c r="J43" s="1133">
        <f t="shared" si="9"/>
        <v>4.9714119999999994E-2</v>
      </c>
      <c r="K43" s="1133">
        <f t="shared" si="9"/>
        <v>4.9714119999999994E-2</v>
      </c>
      <c r="L43" s="1133">
        <f t="shared" si="9"/>
        <v>4.9714119999999994E-2</v>
      </c>
      <c r="M43" s="1133">
        <f t="shared" si="9"/>
        <v>4.9714119999999994E-2</v>
      </c>
      <c r="N43" s="1133">
        <f t="shared" si="9"/>
        <v>4.9714119999999994E-2</v>
      </c>
      <c r="O43" s="1133">
        <f t="shared" si="9"/>
        <v>4.9714119999999994E-2</v>
      </c>
      <c r="P43" s="66"/>
      <c r="Q43" s="73"/>
    </row>
    <row r="44" spans="1:18">
      <c r="A44" s="1036">
        <f t="shared" si="4"/>
        <v>33</v>
      </c>
      <c r="B44" s="73"/>
      <c r="C44" s="73" t="s">
        <v>209</v>
      </c>
      <c r="D44" s="95">
        <f t="shared" ref="D44:N44" si="10">ROUND(D42*D43,3)</f>
        <v>-414388.76199999999</v>
      </c>
      <c r="E44" s="95">
        <f t="shared" si="10"/>
        <v>-401808.38900000002</v>
      </c>
      <c r="F44" s="95">
        <f t="shared" si="10"/>
        <v>-503661.61200000002</v>
      </c>
      <c r="G44" s="95">
        <f t="shared" si="10"/>
        <v>-458361.35100000002</v>
      </c>
      <c r="H44" s="95">
        <f t="shared" si="10"/>
        <v>-604544.77800000005</v>
      </c>
      <c r="I44" s="95">
        <f t="shared" si="10"/>
        <v>-488527.76799999998</v>
      </c>
      <c r="J44" s="95">
        <f t="shared" si="10"/>
        <v>-531516.15800000005</v>
      </c>
      <c r="K44" s="95">
        <f t="shared" si="10"/>
        <v>-439930.76799999998</v>
      </c>
      <c r="L44" s="95">
        <f t="shared" si="10"/>
        <v>-2086334.5379999999</v>
      </c>
      <c r="M44" s="95">
        <f t="shared" si="10"/>
        <v>-499025.022</v>
      </c>
      <c r="N44" s="95">
        <f t="shared" si="10"/>
        <v>-312108.68300000002</v>
      </c>
      <c r="O44" s="95">
        <f>ROUND(O42*O43,3)</f>
        <v>-464211.72499999998</v>
      </c>
      <c r="P44" s="95">
        <f>SUM(D44:O44)</f>
        <v>-7204419.5539999995</v>
      </c>
      <c r="Q44" s="733"/>
    </row>
    <row r="45" spans="1:18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1:18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1:18">
      <c r="A47" s="73"/>
      <c r="B47" s="73" t="s">
        <v>557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66"/>
      <c r="P47" s="710"/>
      <c r="Q47" s="73"/>
    </row>
    <row r="48" spans="1:18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1:17">
      <c r="A49" s="73"/>
      <c r="B49" s="73"/>
      <c r="C49" s="150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66"/>
      <c r="Q49" s="73"/>
    </row>
    <row r="50" spans="1:17">
      <c r="A50" s="73"/>
      <c r="B50" s="73" t="s">
        <v>942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66"/>
      <c r="Q50" s="73"/>
    </row>
    <row r="51" spans="1:17">
      <c r="A51" s="73"/>
      <c r="B51" s="73" t="s">
        <v>1571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66"/>
      <c r="Q51" s="73"/>
    </row>
    <row r="52" spans="1:17">
      <c r="A52" s="73"/>
      <c r="B52" s="73"/>
      <c r="C52" s="73"/>
      <c r="D52" s="364">
        <f>D31</f>
        <v>-8335433.9149289047</v>
      </c>
      <c r="E52" s="364">
        <f t="shared" ref="E52:O52" si="11">E31</f>
        <v>-8082379.5849139094</v>
      </c>
      <c r="F52" s="364">
        <f t="shared" si="11"/>
        <v>-10131158.143594239</v>
      </c>
      <c r="G52" s="364">
        <f t="shared" si="11"/>
        <v>-9219942.9612175617</v>
      </c>
      <c r="H52" s="364">
        <f t="shared" si="11"/>
        <v>-12160424.005015522</v>
      </c>
      <c r="I52" s="364">
        <f t="shared" si="11"/>
        <v>-9826740.7398184855</v>
      </c>
      <c r="J52" s="364">
        <f t="shared" si="11"/>
        <v>-10691452.615331609</v>
      </c>
      <c r="K52" s="364">
        <f t="shared" si="11"/>
        <v>-8849211.6153316125</v>
      </c>
      <c r="L52" s="364">
        <f t="shared" si="11"/>
        <v>-41966639.222245768</v>
      </c>
      <c r="M52" s="364">
        <f t="shared" si="11"/>
        <v>-10037893.10574875</v>
      </c>
      <c r="N52" s="364">
        <f t="shared" si="11"/>
        <v>-6278069.1447830508</v>
      </c>
      <c r="O52" s="364">
        <f t="shared" si="11"/>
        <v>-9337623.2866969164</v>
      </c>
      <c r="P52" s="665"/>
      <c r="Q52" s="73"/>
    </row>
    <row r="53" spans="1:17">
      <c r="A53" s="73"/>
      <c r="B53" s="73"/>
      <c r="C53" s="73"/>
      <c r="D53" s="364">
        <f>'[13]Div 2 forecast'!U288</f>
        <v>8335433.914928901</v>
      </c>
      <c r="E53" s="364">
        <f>'[13]Div 2 forecast'!V288</f>
        <v>8082379.5849139122</v>
      </c>
      <c r="F53" s="364">
        <f>'[13]Div 2 forecast'!W288</f>
        <v>10131158.143594243</v>
      </c>
      <c r="G53" s="364">
        <f>'[13]Div 2 forecast'!X288</f>
        <v>9219942.9612175655</v>
      </c>
      <c r="H53" s="364">
        <f>'[13]Div 2 forecast'!Y288</f>
        <v>12160424.005015528</v>
      </c>
      <c r="I53" s="364">
        <f>'[13]Div 2 forecast'!Z288</f>
        <v>9826740.7398184892</v>
      </c>
      <c r="J53" s="364">
        <f>'[13]Div 2 forecast'!AA288</f>
        <v>10691452.615331614</v>
      </c>
      <c r="K53" s="364">
        <f>'[13]Div 2 forecast'!AB288</f>
        <v>8849211.6153316125</v>
      </c>
      <c r="L53" s="364">
        <f>'[13]Div 2 forecast'!AC288</f>
        <v>41966639.22224576</v>
      </c>
      <c r="M53" s="364">
        <f>'[13]Div 2 forecast'!AD288</f>
        <v>10037893.10574875</v>
      </c>
      <c r="N53" s="364">
        <f>'[13]Div 2 forecast'!AE288</f>
        <v>6278069.1447830573</v>
      </c>
      <c r="O53" s="364">
        <f>'[13]Div 2 forecast'!AF288</f>
        <v>9337623.2866969183</v>
      </c>
      <c r="P53" s="665"/>
      <c r="Q53" s="73"/>
    </row>
    <row r="54" spans="1:17">
      <c r="A54" s="73"/>
      <c r="B54" s="73"/>
      <c r="C54" s="73"/>
      <c r="D54" s="95">
        <f>D52+D53</f>
        <v>0</v>
      </c>
      <c r="E54" s="95">
        <f t="shared" ref="E54:O54" si="12">E52+E53</f>
        <v>0</v>
      </c>
      <c r="F54" s="95">
        <f t="shared" si="12"/>
        <v>0</v>
      </c>
      <c r="G54" s="95">
        <f t="shared" si="12"/>
        <v>0</v>
      </c>
      <c r="H54" s="95">
        <f t="shared" si="12"/>
        <v>0</v>
      </c>
      <c r="I54" s="95">
        <f t="shared" si="12"/>
        <v>0</v>
      </c>
      <c r="J54" s="95">
        <f t="shared" si="12"/>
        <v>0</v>
      </c>
      <c r="K54" s="95">
        <f t="shared" si="12"/>
        <v>0</v>
      </c>
      <c r="L54" s="95">
        <f t="shared" si="12"/>
        <v>0</v>
      </c>
      <c r="M54" s="95">
        <f t="shared" si="12"/>
        <v>0</v>
      </c>
      <c r="N54" s="95">
        <f t="shared" si="12"/>
        <v>0</v>
      </c>
      <c r="O54" s="95">
        <f t="shared" si="12"/>
        <v>0</v>
      </c>
      <c r="P54" s="665"/>
      <c r="Q54" s="73"/>
    </row>
    <row r="55" spans="1:17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665"/>
      <c r="P55" s="665"/>
      <c r="Q55" s="73"/>
    </row>
    <row r="56" spans="1:17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665"/>
      <c r="P56" s="665"/>
      <c r="Q56" s="73"/>
    </row>
  </sheetData>
  <mergeCells count="4">
    <mergeCell ref="A1:P1"/>
    <mergeCell ref="A2:P2"/>
    <mergeCell ref="A3:P3"/>
    <mergeCell ref="A4:P4"/>
  </mergeCells>
  <phoneticPr fontId="21" type="noConversion"/>
  <printOptions horizontalCentered="1"/>
  <pageMargins left="0.5" right="0.5" top="0.75" bottom="0.5" header="0.5" footer="0.25"/>
  <pageSetup scale="49" fitToHeight="2" orientation="landscape" verticalDpi="300" r:id="rId1"/>
  <headerFooter alignWithMargins="0">
    <oddFooter>&amp;RSchedule &amp;A
Page &amp;P of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138"/>
  <dimension ref="A1:Q45"/>
  <sheetViews>
    <sheetView view="pageBreakPreview" zoomScale="80" zoomScaleNormal="100" zoomScaleSheetLayoutView="80" workbookViewId="0">
      <selection sqref="A1:P1"/>
    </sheetView>
  </sheetViews>
  <sheetFormatPr defaultColWidth="7.109375" defaultRowHeight="15"/>
  <cols>
    <col min="1" max="1" width="4.6640625" style="72" customWidth="1"/>
    <col min="2" max="2" width="7.21875" style="72" customWidth="1"/>
    <col min="3" max="3" width="43.21875" style="72" customWidth="1"/>
    <col min="4" max="4" width="12.44140625" style="72" bestFit="1" customWidth="1"/>
    <col min="5" max="6" width="11.109375" style="72" customWidth="1"/>
    <col min="7" max="7" width="11.77734375" style="72" bestFit="1" customWidth="1"/>
    <col min="8" max="8" width="11.33203125" style="72" bestFit="1" customWidth="1"/>
    <col min="9" max="9" width="11.109375" style="72" customWidth="1"/>
    <col min="10" max="10" width="10.88671875" style="72" customWidth="1"/>
    <col min="11" max="14" width="11.33203125" style="72" bestFit="1" customWidth="1"/>
    <col min="15" max="15" width="12.44140625" style="72" customWidth="1"/>
    <col min="16" max="16" width="12.44140625" style="72" bestFit="1" customWidth="1"/>
    <col min="17" max="17" width="12.44140625" style="72" customWidth="1"/>
    <col min="18" max="18" width="12.5546875" style="72" customWidth="1"/>
    <col min="19" max="19" width="11.33203125" style="72" bestFit="1" customWidth="1"/>
    <col min="20" max="16384" width="7.109375" style="72"/>
  </cols>
  <sheetData>
    <row r="1" spans="1:17">
      <c r="A1" s="1270" t="str">
        <f>'Table of Contents'!A1:C1</f>
        <v>Atmos Energy Corporation, Kentucky/Mid-States Division</v>
      </c>
      <c r="B1" s="1270"/>
      <c r="C1" s="1270"/>
      <c r="D1" s="1270"/>
      <c r="E1" s="1270"/>
      <c r="F1" s="1270"/>
      <c r="G1" s="1270"/>
      <c r="H1" s="1270"/>
      <c r="I1" s="1270"/>
      <c r="J1" s="1270"/>
      <c r="K1" s="1270"/>
      <c r="L1" s="1270"/>
      <c r="M1" s="1270"/>
      <c r="N1" s="1270"/>
      <c r="O1" s="1270"/>
      <c r="P1" s="1270"/>
      <c r="Q1" s="73"/>
    </row>
    <row r="2" spans="1:17">
      <c r="A2" s="1270" t="str">
        <f>'Table of Contents'!A2:C2</f>
        <v>Kentucky Jurisdiction Case No. 2021-00214</v>
      </c>
      <c r="B2" s="1270"/>
      <c r="C2" s="1270"/>
      <c r="D2" s="1270"/>
      <c r="E2" s="1270"/>
      <c r="F2" s="1270"/>
      <c r="G2" s="1270"/>
      <c r="H2" s="1270"/>
      <c r="I2" s="1270"/>
      <c r="J2" s="1270"/>
      <c r="K2" s="1270"/>
      <c r="L2" s="1270"/>
      <c r="M2" s="1270"/>
      <c r="N2" s="1270"/>
      <c r="O2" s="1270"/>
      <c r="P2" s="1270"/>
      <c r="Q2" s="73"/>
    </row>
    <row r="3" spans="1:17" ht="15.75">
      <c r="A3" s="1271" t="s">
        <v>186</v>
      </c>
      <c r="B3" s="1271"/>
      <c r="C3" s="1271"/>
      <c r="D3" s="1271"/>
      <c r="E3" s="1271"/>
      <c r="F3" s="1271"/>
      <c r="G3" s="1271"/>
      <c r="H3" s="1271"/>
      <c r="I3" s="1271"/>
      <c r="J3" s="1271"/>
      <c r="K3" s="1271"/>
      <c r="L3" s="1271"/>
      <c r="M3" s="1271"/>
      <c r="N3" s="1271"/>
      <c r="O3" s="1271"/>
      <c r="P3" s="1271"/>
      <c r="Q3" s="73"/>
    </row>
    <row r="4" spans="1:17">
      <c r="A4" s="1270" t="str">
        <f>'Table of Contents'!A4:C4</f>
        <v>Forecasted Test Period: Twelve Months Ended December 31, 2022</v>
      </c>
      <c r="B4" s="1270"/>
      <c r="C4" s="1270"/>
      <c r="D4" s="1270"/>
      <c r="E4" s="1270"/>
      <c r="F4" s="1270"/>
      <c r="G4" s="1270"/>
      <c r="H4" s="1270"/>
      <c r="I4" s="1270"/>
      <c r="J4" s="1270"/>
      <c r="K4" s="1270"/>
      <c r="L4" s="1270"/>
      <c r="M4" s="1270"/>
      <c r="N4" s="1270"/>
      <c r="O4" s="1270"/>
      <c r="P4" s="1270"/>
      <c r="Q4" s="73"/>
    </row>
    <row r="5" spans="1:17">
      <c r="A5" s="73"/>
      <c r="B5" s="133"/>
      <c r="C5" s="133"/>
      <c r="D5" s="133"/>
      <c r="E5" s="133"/>
      <c r="F5" s="133"/>
      <c r="G5" s="700"/>
      <c r="H5" s="133"/>
      <c r="I5" s="133"/>
      <c r="J5" s="133"/>
      <c r="K5" s="133"/>
      <c r="L5" s="133"/>
      <c r="M5" s="133"/>
      <c r="N5" s="133"/>
      <c r="O5" s="133"/>
      <c r="P5" s="73"/>
      <c r="Q5" s="73"/>
    </row>
    <row r="6" spans="1:17" ht="15.75">
      <c r="A6" s="472" t="str">
        <f>'C.2.1 F'!A6</f>
        <v>Data:________Base Period___X____Forecasted Period</v>
      </c>
      <c r="B6" s="73"/>
      <c r="C6" s="80"/>
      <c r="D6" s="73"/>
      <c r="E6" s="729"/>
      <c r="F6" s="73"/>
      <c r="G6" s="73"/>
      <c r="H6" s="73"/>
      <c r="I6" s="73"/>
      <c r="J6" s="73"/>
      <c r="K6" s="73"/>
      <c r="L6" s="73"/>
      <c r="M6" s="73"/>
      <c r="N6" s="73"/>
      <c r="O6" s="73"/>
      <c r="P6" s="150" t="s">
        <v>1373</v>
      </c>
      <c r="Q6" s="73"/>
    </row>
    <row r="7" spans="1:17">
      <c r="A7" s="472" t="str">
        <f>'C.2.1 F'!A7</f>
        <v>Type of Filing:___X____Original________Updated ________Revised</v>
      </c>
      <c r="B7" s="73"/>
      <c r="C7" s="80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428" t="s">
        <v>36</v>
      </c>
      <c r="Q7" s="73"/>
    </row>
    <row r="8" spans="1:17">
      <c r="A8" s="1061" t="str">
        <f>'C.2.1 F'!A8</f>
        <v>Workpaper Reference No(s).____________________</v>
      </c>
      <c r="B8" s="74"/>
      <c r="C8" s="366"/>
      <c r="D8" s="134"/>
      <c r="E8" s="134"/>
      <c r="F8" s="134"/>
      <c r="G8" s="134"/>
      <c r="H8" s="134"/>
      <c r="I8" s="134"/>
      <c r="J8" s="134"/>
      <c r="K8" s="134"/>
      <c r="L8" s="134"/>
      <c r="M8" s="74"/>
      <c r="N8" s="74"/>
      <c r="O8" s="74"/>
      <c r="P8" s="1126" t="str">
        <f>'C.1'!J9</f>
        <v>Witness: Christian, Densman</v>
      </c>
      <c r="Q8" s="73"/>
    </row>
    <row r="9" spans="1:17">
      <c r="A9" s="336" t="s">
        <v>92</v>
      </c>
      <c r="B9" s="667" t="s">
        <v>99</v>
      </c>
      <c r="C9" s="730"/>
      <c r="D9" s="720" t="s">
        <v>42</v>
      </c>
      <c r="E9" s="681" t="s">
        <v>42</v>
      </c>
      <c r="F9" s="681" t="s">
        <v>42</v>
      </c>
      <c r="G9" s="681" t="s">
        <v>42</v>
      </c>
      <c r="H9" s="681" t="s">
        <v>42</v>
      </c>
      <c r="I9" s="681" t="s">
        <v>42</v>
      </c>
      <c r="J9" s="681" t="s">
        <v>42</v>
      </c>
      <c r="K9" s="681" t="s">
        <v>42</v>
      </c>
      <c r="L9" s="681" t="s">
        <v>42</v>
      </c>
      <c r="M9" s="681" t="s">
        <v>42</v>
      </c>
      <c r="N9" s="681" t="s">
        <v>42</v>
      </c>
      <c r="O9" s="681" t="s">
        <v>42</v>
      </c>
      <c r="P9" s="731"/>
      <c r="Q9" s="73"/>
    </row>
    <row r="10" spans="1:17">
      <c r="A10" s="337" t="s">
        <v>98</v>
      </c>
      <c r="B10" s="74" t="s">
        <v>98</v>
      </c>
      <c r="C10" s="732" t="s">
        <v>941</v>
      </c>
      <c r="D10" s="1098">
        <f>'C.2.2-F 09'!D10</f>
        <v>44562</v>
      </c>
      <c r="E10" s="1098">
        <f>'C.2.2-F 09'!F10</f>
        <v>44621</v>
      </c>
      <c r="F10" s="1098">
        <f>'C.2.2-F 09'!F10</f>
        <v>44621</v>
      </c>
      <c r="G10" s="1098">
        <f>'C.2.2-F 09'!G10</f>
        <v>44652</v>
      </c>
      <c r="H10" s="1098">
        <f>'C.2.2-F 09'!H10</f>
        <v>44682</v>
      </c>
      <c r="I10" s="1098">
        <f>'C.2.2-F 09'!I10</f>
        <v>44713</v>
      </c>
      <c r="J10" s="1098">
        <f>'C.2.2-F 09'!J10</f>
        <v>44743</v>
      </c>
      <c r="K10" s="1098">
        <f>'C.2.2-F 09'!K10</f>
        <v>44774</v>
      </c>
      <c r="L10" s="1098">
        <f>'C.2.2-F 09'!L10</f>
        <v>44805</v>
      </c>
      <c r="M10" s="1098">
        <f>'C.2.2-F 09'!M10</f>
        <v>44835</v>
      </c>
      <c r="N10" s="1098">
        <f>'C.2.2-F 09'!N10</f>
        <v>44866</v>
      </c>
      <c r="O10" s="1098">
        <f>'C.2.2-F 09'!O10</f>
        <v>44896</v>
      </c>
      <c r="P10" s="1129" t="str">
        <f>'C.2.2 B 09'!P10</f>
        <v>Total</v>
      </c>
      <c r="Q10" s="68"/>
    </row>
    <row r="11" spans="1:17">
      <c r="A11" s="73"/>
      <c r="B11" s="73"/>
      <c r="C11" s="73"/>
      <c r="D11" s="682" t="s">
        <v>145</v>
      </c>
      <c r="E11" s="682" t="s">
        <v>145</v>
      </c>
      <c r="F11" s="682" t="s">
        <v>145</v>
      </c>
      <c r="G11" s="682" t="s">
        <v>145</v>
      </c>
      <c r="H11" s="682" t="s">
        <v>145</v>
      </c>
      <c r="I11" s="682" t="s">
        <v>145</v>
      </c>
      <c r="J11" s="682" t="s">
        <v>145</v>
      </c>
      <c r="K11" s="682" t="s">
        <v>145</v>
      </c>
      <c r="L11" s="682" t="s">
        <v>145</v>
      </c>
      <c r="M11" s="682" t="s">
        <v>145</v>
      </c>
      <c r="N11" s="682" t="s">
        <v>145</v>
      </c>
      <c r="O11" s="682" t="s">
        <v>145</v>
      </c>
      <c r="P11" s="682" t="s">
        <v>145</v>
      </c>
      <c r="Q11" s="682"/>
    </row>
    <row r="12" spans="1:17">
      <c r="A12" s="684">
        <v>1</v>
      </c>
      <c r="B12" s="570">
        <v>4030</v>
      </c>
      <c r="C12" s="73" t="s">
        <v>90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95">
        <f t="shared" ref="P12:P28" si="0">SUM(D12:O12)</f>
        <v>0</v>
      </c>
      <c r="Q12" s="73"/>
    </row>
    <row r="13" spans="1:17">
      <c r="A13" s="1036">
        <f>A12+1</f>
        <v>2</v>
      </c>
      <c r="B13" s="570">
        <v>4081</v>
      </c>
      <c r="C13" s="73" t="s">
        <v>854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95">
        <f t="shared" si="0"/>
        <v>0</v>
      </c>
      <c r="Q13" s="73"/>
    </row>
    <row r="14" spans="1:17">
      <c r="A14" s="1036">
        <f t="shared" ref="A14:A34" si="1">A13+1</f>
        <v>3</v>
      </c>
      <c r="B14" s="570">
        <v>8700</v>
      </c>
      <c r="C14" s="73" t="s">
        <v>903</v>
      </c>
      <c r="D14" s="88">
        <f>VLOOKUP($B14,'[13]Div 12 forecast'!$D$171:$AF$247,'[13]Div 12 forecast'!U$170,FALSE)</f>
        <v>697.62082033074796</v>
      </c>
      <c r="E14" s="88">
        <f>VLOOKUP($B14,'[13]Div 12 forecast'!$D$171:$AF$247,'[13]Div 12 forecast'!V$170,FALSE)</f>
        <v>524.15941313689837</v>
      </c>
      <c r="F14" s="88">
        <f>VLOOKUP($B14,'[13]Div 12 forecast'!$D$171:$AF$247,'[13]Div 12 forecast'!W$170,FALSE)</f>
        <v>756.40544712406688</v>
      </c>
      <c r="G14" s="88">
        <f>VLOOKUP($B14,'[13]Div 12 forecast'!$D$171:$AF$247,'[13]Div 12 forecast'!X$170,FALSE)</f>
        <v>117.40310176145465</v>
      </c>
      <c r="H14" s="88">
        <f>VLOOKUP($B14,'[13]Div 12 forecast'!$D$171:$AF$247,'[13]Div 12 forecast'!Y$170,FALSE)</f>
        <v>114.61865088192474</v>
      </c>
      <c r="I14" s="88">
        <f>VLOOKUP($B14,'[13]Div 12 forecast'!$D$171:$AF$247,'[13]Div 12 forecast'!Z$170,FALSE)</f>
        <v>113.32674397121139</v>
      </c>
      <c r="J14" s="88">
        <f>VLOOKUP($B14,'[13]Div 12 forecast'!$D$171:$AF$247,'[13]Div 12 forecast'!AA$170,FALSE)</f>
        <v>117.83373739835912</v>
      </c>
      <c r="K14" s="88">
        <f>VLOOKUP($B14,'[13]Div 12 forecast'!$D$171:$AF$247,'[13]Div 12 forecast'!AB$170,FALSE)</f>
        <v>111.17356578668912</v>
      </c>
      <c r="L14" s="88">
        <f>VLOOKUP($B14,'[13]Div 12 forecast'!$D$171:$AF$247,'[13]Div 12 forecast'!AC$170,FALSE)</f>
        <v>109.98714487224683</v>
      </c>
      <c r="M14" s="88">
        <f>VLOOKUP($B14,'[13]Div 12 forecast'!$D$171:$AF$247,'[13]Div 12 forecast'!AD$170,FALSE)</f>
        <v>683.84245393239451</v>
      </c>
      <c r="N14" s="88">
        <f>VLOOKUP($B14,'[13]Div 12 forecast'!$D$171:$AF$247,'[13]Div 12 forecast'!AE$170,FALSE)</f>
        <v>649.99203718334888</v>
      </c>
      <c r="O14" s="88">
        <f>VLOOKUP($B14,'[13]Div 12 forecast'!$D$171:$AF$247,'[13]Div 12 forecast'!AF$170,FALSE)</f>
        <v>636.23982829254339</v>
      </c>
      <c r="P14" s="95">
        <f t="shared" si="0"/>
        <v>4632.6029446718858</v>
      </c>
      <c r="Q14" s="73"/>
    </row>
    <row r="15" spans="1:17">
      <c r="A15" s="1036">
        <f t="shared" si="1"/>
        <v>4</v>
      </c>
      <c r="B15" s="570">
        <v>8740</v>
      </c>
      <c r="C15" s="73" t="s">
        <v>905</v>
      </c>
      <c r="D15" s="88">
        <f>VLOOKUP($B15,'[13]Div 12 forecast'!$D$171:$AF$247,'[13]Div 12 forecast'!U$170,FALSE)</f>
        <v>8129.1473942033654</v>
      </c>
      <c r="E15" s="88">
        <f>VLOOKUP($B15,'[13]Div 12 forecast'!$D$171:$AF$247,'[13]Div 12 forecast'!V$170,FALSE)</f>
        <v>7935.8219123884173</v>
      </c>
      <c r="F15" s="88">
        <f>VLOOKUP($B15,'[13]Div 12 forecast'!$D$171:$AF$247,'[13]Div 12 forecast'!W$170,FALSE)</f>
        <v>8069.2461187106628</v>
      </c>
      <c r="G15" s="88">
        <f>VLOOKUP($B15,'[13]Div 12 forecast'!$D$171:$AF$247,'[13]Div 12 forecast'!X$170,FALSE)</f>
        <v>9953.6362057435472</v>
      </c>
      <c r="H15" s="88">
        <f>VLOOKUP($B15,'[13]Div 12 forecast'!$D$171:$AF$247,'[13]Div 12 forecast'!Y$170,FALSE)</f>
        <v>9578.4057434272345</v>
      </c>
      <c r="I15" s="88">
        <f>VLOOKUP($B15,'[13]Div 12 forecast'!$D$171:$AF$247,'[13]Div 12 forecast'!Z$170,FALSE)</f>
        <v>9953.6362057435472</v>
      </c>
      <c r="J15" s="88">
        <f>VLOOKUP($B15,'[13]Div 12 forecast'!$D$171:$AF$247,'[13]Div 12 forecast'!AA$170,FALSE)</f>
        <v>9659.2933870183424</v>
      </c>
      <c r="K15" s="88">
        <f>VLOOKUP($B15,'[13]Div 12 forecast'!$D$171:$AF$247,'[13]Div 12 forecast'!AB$170,FALSE)</f>
        <v>9659.2933870183424</v>
      </c>
      <c r="L15" s="88">
        <f>VLOOKUP($B15,'[13]Div 12 forecast'!$D$171:$AF$247,'[13]Div 12 forecast'!AC$170,FALSE)</f>
        <v>9659.2852337222648</v>
      </c>
      <c r="M15" s="88">
        <f>VLOOKUP($B15,'[13]Div 12 forecast'!$D$171:$AF$247,'[13]Div 12 forecast'!AD$170,FALSE)</f>
        <v>8244.0673503750313</v>
      </c>
      <c r="N15" s="88">
        <f>VLOOKUP($B15,'[13]Div 12 forecast'!$D$171:$AF$247,'[13]Div 12 forecast'!AE$170,FALSE)</f>
        <v>10286.355543143176</v>
      </c>
      <c r="O15" s="88">
        <f>VLOOKUP($B15,'[13]Div 12 forecast'!$D$171:$AF$247,'[13]Div 12 forecast'!AF$170,FALSE)</f>
        <v>9889.2800687182189</v>
      </c>
      <c r="P15" s="95">
        <f t="shared" si="0"/>
        <v>111017.46855021216</v>
      </c>
      <c r="Q15" s="73"/>
    </row>
    <row r="16" spans="1:17">
      <c r="A16" s="1036">
        <f t="shared" si="1"/>
        <v>5</v>
      </c>
      <c r="B16" s="570">
        <v>8800</v>
      </c>
      <c r="C16" s="73" t="s">
        <v>911</v>
      </c>
      <c r="D16" s="88">
        <f>VLOOKUP($B16,'[13]Div 12 forecast'!$D$171:$AF$247,'[13]Div 12 forecast'!U$170,FALSE)</f>
        <v>0</v>
      </c>
      <c r="E16" s="88">
        <f>VLOOKUP($B16,'[13]Div 12 forecast'!$D$171:$AF$247,'[13]Div 12 forecast'!V$170,FALSE)</f>
        <v>0</v>
      </c>
      <c r="F16" s="88">
        <f>VLOOKUP($B16,'[13]Div 12 forecast'!$D$171:$AF$247,'[13]Div 12 forecast'!W$170,FALSE)</f>
        <v>0</v>
      </c>
      <c r="G16" s="88">
        <f>VLOOKUP($B16,'[13]Div 12 forecast'!$D$171:$AF$247,'[13]Div 12 forecast'!X$170,FALSE)</f>
        <v>0</v>
      </c>
      <c r="H16" s="88">
        <f>VLOOKUP($B16,'[13]Div 12 forecast'!$D$171:$AF$247,'[13]Div 12 forecast'!Y$170,FALSE)</f>
        <v>0</v>
      </c>
      <c r="I16" s="88">
        <f>VLOOKUP($B16,'[13]Div 12 forecast'!$D$171:$AF$247,'[13]Div 12 forecast'!Z$170,FALSE)</f>
        <v>0</v>
      </c>
      <c r="J16" s="88">
        <f>VLOOKUP($B16,'[13]Div 12 forecast'!$D$171:$AF$247,'[13]Div 12 forecast'!AA$170,FALSE)</f>
        <v>0</v>
      </c>
      <c r="K16" s="88">
        <f>VLOOKUP($B16,'[13]Div 12 forecast'!$D$171:$AF$247,'[13]Div 12 forecast'!AB$170,FALSE)</f>
        <v>0</v>
      </c>
      <c r="L16" s="88">
        <f>VLOOKUP($B16,'[13]Div 12 forecast'!$D$171:$AF$247,'[13]Div 12 forecast'!AC$170,FALSE)</f>
        <v>0</v>
      </c>
      <c r="M16" s="88">
        <f>VLOOKUP($B16,'[13]Div 12 forecast'!$D$171:$AF$247,'[13]Div 12 forecast'!AD$170,FALSE)</f>
        <v>0</v>
      </c>
      <c r="N16" s="88">
        <f>VLOOKUP($B16,'[13]Div 12 forecast'!$D$171:$AF$247,'[13]Div 12 forecast'!AE$170,FALSE)</f>
        <v>0</v>
      </c>
      <c r="O16" s="88">
        <f>VLOOKUP($B16,'[13]Div 12 forecast'!$D$171:$AF$247,'[13]Div 12 forecast'!AF$170,FALSE)</f>
        <v>0</v>
      </c>
      <c r="P16" s="95">
        <f t="shared" si="0"/>
        <v>0</v>
      </c>
      <c r="Q16" s="73"/>
    </row>
    <row r="17" spans="1:17">
      <c r="A17" s="1036">
        <f t="shared" si="1"/>
        <v>6</v>
      </c>
      <c r="B17" s="570">
        <v>9010</v>
      </c>
      <c r="C17" s="73" t="s">
        <v>180</v>
      </c>
      <c r="D17" s="88">
        <f>VLOOKUP($B17,'[13]Div 12 forecast'!$D$171:$AF$247,'[13]Div 12 forecast'!U$170,FALSE)</f>
        <v>392610.0956739937</v>
      </c>
      <c r="E17" s="88">
        <f>VLOOKUP($B17,'[13]Div 12 forecast'!$D$171:$AF$247,'[13]Div 12 forecast'!V$170,FALSE)</f>
        <v>366333.65992456558</v>
      </c>
      <c r="F17" s="88">
        <f>VLOOKUP($B17,'[13]Div 12 forecast'!$D$171:$AF$247,'[13]Div 12 forecast'!W$170,FALSE)</f>
        <v>414082.36763616465</v>
      </c>
      <c r="G17" s="88">
        <f>VLOOKUP($B17,'[13]Div 12 forecast'!$D$171:$AF$247,'[13]Div 12 forecast'!X$170,FALSE)</f>
        <v>470363.17899403116</v>
      </c>
      <c r="H17" s="88">
        <f>VLOOKUP($B17,'[13]Div 12 forecast'!$D$171:$AF$247,'[13]Div 12 forecast'!Y$170,FALSE)</f>
        <v>447926.83534720552</v>
      </c>
      <c r="I17" s="88">
        <f>VLOOKUP($B17,'[13]Div 12 forecast'!$D$171:$AF$247,'[13]Div 12 forecast'!Z$170,FALSE)</f>
        <v>468264.92091232323</v>
      </c>
      <c r="J17" s="88">
        <f>VLOOKUP($B17,'[13]Div 12 forecast'!$D$171:$AF$247,'[13]Div 12 forecast'!AA$170,FALSE)</f>
        <v>454662.31578064861</v>
      </c>
      <c r="K17" s="88">
        <f>VLOOKUP($B17,'[13]Div 12 forecast'!$D$171:$AF$247,'[13]Div 12 forecast'!AB$170,FALSE)</f>
        <v>452064.60573611577</v>
      </c>
      <c r="L17" s="88">
        <f>VLOOKUP($B17,'[13]Div 12 forecast'!$D$171:$AF$247,'[13]Div 12 forecast'!AC$170,FALSE)</f>
        <v>451892.77198218886</v>
      </c>
      <c r="M17" s="88">
        <f>VLOOKUP($B17,'[13]Div 12 forecast'!$D$171:$AF$247,'[13]Div 12 forecast'!AD$170,FALSE)</f>
        <v>398855.29311553546</v>
      </c>
      <c r="N17" s="88">
        <f>VLOOKUP($B17,'[13]Div 12 forecast'!$D$171:$AF$247,'[13]Div 12 forecast'!AE$170,FALSE)</f>
        <v>381459.16294098046</v>
      </c>
      <c r="O17" s="88">
        <f>VLOOKUP($B17,'[13]Div 12 forecast'!$D$171:$AF$247,'[13]Div 12 forecast'!AF$170,FALSE)</f>
        <v>423859.25106710929</v>
      </c>
      <c r="P17" s="95">
        <f t="shared" si="0"/>
        <v>5122374.4591108626</v>
      </c>
      <c r="Q17" s="73"/>
    </row>
    <row r="18" spans="1:17">
      <c r="A18" s="1036">
        <f t="shared" si="1"/>
        <v>7</v>
      </c>
      <c r="B18" s="314">
        <v>9020</v>
      </c>
      <c r="C18" s="183" t="s">
        <v>922</v>
      </c>
      <c r="D18" s="88">
        <f>VLOOKUP($B18,'[13]Div 12 forecast'!$D$171:$AF$247,'[13]Div 12 forecast'!U$170,FALSE)</f>
        <v>0</v>
      </c>
      <c r="E18" s="88">
        <f>VLOOKUP($B18,'[13]Div 12 forecast'!$D$171:$AF$247,'[13]Div 12 forecast'!V$170,FALSE)</f>
        <v>0</v>
      </c>
      <c r="F18" s="88">
        <f>VLOOKUP($B18,'[13]Div 12 forecast'!$D$171:$AF$247,'[13]Div 12 forecast'!W$170,FALSE)</f>
        <v>0</v>
      </c>
      <c r="G18" s="88">
        <f>VLOOKUP($B18,'[13]Div 12 forecast'!$D$171:$AF$247,'[13]Div 12 forecast'!X$170,FALSE)</f>
        <v>0</v>
      </c>
      <c r="H18" s="88">
        <f>VLOOKUP($B18,'[13]Div 12 forecast'!$D$171:$AF$247,'[13]Div 12 forecast'!Y$170,FALSE)</f>
        <v>0</v>
      </c>
      <c r="I18" s="88">
        <f>VLOOKUP($B18,'[13]Div 12 forecast'!$D$171:$AF$247,'[13]Div 12 forecast'!Z$170,FALSE)</f>
        <v>0</v>
      </c>
      <c r="J18" s="88">
        <f>VLOOKUP($B18,'[13]Div 12 forecast'!$D$171:$AF$247,'[13]Div 12 forecast'!AA$170,FALSE)</f>
        <v>0</v>
      </c>
      <c r="K18" s="88">
        <f>VLOOKUP($B18,'[13]Div 12 forecast'!$D$171:$AF$247,'[13]Div 12 forecast'!AB$170,FALSE)</f>
        <v>0</v>
      </c>
      <c r="L18" s="88">
        <f>VLOOKUP($B18,'[13]Div 12 forecast'!$D$171:$AF$247,'[13]Div 12 forecast'!AC$170,FALSE)</f>
        <v>0</v>
      </c>
      <c r="M18" s="88">
        <f>VLOOKUP($B18,'[13]Div 12 forecast'!$D$171:$AF$247,'[13]Div 12 forecast'!AD$170,FALSE)</f>
        <v>0</v>
      </c>
      <c r="N18" s="88">
        <f>VLOOKUP($B18,'[13]Div 12 forecast'!$D$171:$AF$247,'[13]Div 12 forecast'!AE$170,FALSE)</f>
        <v>0</v>
      </c>
      <c r="O18" s="88">
        <f>VLOOKUP($B18,'[13]Div 12 forecast'!$D$171:$AF$247,'[13]Div 12 forecast'!AF$170,FALSE)</f>
        <v>0</v>
      </c>
      <c r="P18" s="95">
        <f t="shared" si="0"/>
        <v>0</v>
      </c>
      <c r="Q18" s="73"/>
    </row>
    <row r="19" spans="1:17">
      <c r="A19" s="1036">
        <f t="shared" si="1"/>
        <v>8</v>
      </c>
      <c r="B19" s="570">
        <v>9030</v>
      </c>
      <c r="C19" s="73" t="s">
        <v>926</v>
      </c>
      <c r="D19" s="88">
        <f>VLOOKUP($B19,'[13]Div 12 forecast'!$D$171:$AF$247,'[13]Div 12 forecast'!U$170,FALSE)</f>
        <v>1876219.0015756739</v>
      </c>
      <c r="E19" s="88">
        <f>VLOOKUP($B19,'[13]Div 12 forecast'!$D$171:$AF$247,'[13]Div 12 forecast'!V$170,FALSE)</f>
        <v>1700961.5564471716</v>
      </c>
      <c r="F19" s="88">
        <f>VLOOKUP($B19,'[13]Div 12 forecast'!$D$171:$AF$247,'[13]Div 12 forecast'!W$170,FALSE)</f>
        <v>1940305.6880675415</v>
      </c>
      <c r="G19" s="88">
        <f>VLOOKUP($B19,'[13]Div 12 forecast'!$D$171:$AF$247,'[13]Div 12 forecast'!X$170,FALSE)</f>
        <v>2199494.8091337155</v>
      </c>
      <c r="H19" s="88">
        <f>VLOOKUP($B19,'[13]Div 12 forecast'!$D$171:$AF$247,'[13]Div 12 forecast'!Y$170,FALSE)</f>
        <v>2065939.1808459344</v>
      </c>
      <c r="I19" s="88">
        <f>VLOOKUP($B19,'[13]Div 12 forecast'!$D$171:$AF$247,'[13]Div 12 forecast'!Z$170,FALSE)</f>
        <v>2159812.2932159184</v>
      </c>
      <c r="J19" s="88">
        <f>VLOOKUP($B19,'[13]Div 12 forecast'!$D$171:$AF$247,'[13]Div 12 forecast'!AA$170,FALSE)</f>
        <v>2125542.9542032648</v>
      </c>
      <c r="K19" s="88">
        <f>VLOOKUP($B19,'[13]Div 12 forecast'!$D$171:$AF$247,'[13]Div 12 forecast'!AB$170,FALSE)</f>
        <v>2086342.6322978202</v>
      </c>
      <c r="L19" s="88">
        <f>VLOOKUP($B19,'[13]Div 12 forecast'!$D$171:$AF$247,'[13]Div 12 forecast'!AC$170,FALSE)</f>
        <v>2085138.3257892882</v>
      </c>
      <c r="M19" s="88">
        <f>VLOOKUP($B19,'[13]Div 12 forecast'!$D$171:$AF$247,'[13]Div 12 forecast'!AD$170,FALSE)</f>
        <v>1912350.7282178767</v>
      </c>
      <c r="N19" s="88">
        <f>VLOOKUP($B19,'[13]Div 12 forecast'!$D$171:$AF$247,'[13]Div 12 forecast'!AE$170,FALSE)</f>
        <v>1775361.0756032947</v>
      </c>
      <c r="O19" s="88">
        <f>VLOOKUP($B19,'[13]Div 12 forecast'!$D$171:$AF$247,'[13]Div 12 forecast'!AF$170,FALSE)</f>
        <v>1972931.4846727066</v>
      </c>
      <c r="P19" s="95">
        <f t="shared" si="0"/>
        <v>23900399.730070207</v>
      </c>
      <c r="Q19" s="73"/>
    </row>
    <row r="20" spans="1:17">
      <c r="A20" s="1036">
        <f t="shared" si="1"/>
        <v>9</v>
      </c>
      <c r="B20" s="570">
        <v>9200</v>
      </c>
      <c r="C20" s="73" t="s">
        <v>181</v>
      </c>
      <c r="D20" s="88">
        <f>VLOOKUP($B20,'[13]Div 12 forecast'!$D$171:$AF$247,'[13]Div 12 forecast'!U$170,FALSE)</f>
        <v>295163.87517656403</v>
      </c>
      <c r="E20" s="88">
        <f>VLOOKUP($B20,'[13]Div 12 forecast'!$D$171:$AF$247,'[13]Div 12 forecast'!V$170,FALSE)</f>
        <v>273890.73518406553</v>
      </c>
      <c r="F20" s="88">
        <f>VLOOKUP($B20,'[13]Div 12 forecast'!$D$171:$AF$247,'[13]Div 12 forecast'!W$170,FALSE)</f>
        <v>311739.77787781204</v>
      </c>
      <c r="G20" s="88">
        <f>VLOOKUP($B20,'[13]Div 12 forecast'!$D$171:$AF$247,'[13]Div 12 forecast'!X$170,FALSE)</f>
        <v>348756.78278199729</v>
      </c>
      <c r="H20" s="88">
        <f>VLOOKUP($B20,'[13]Div 12 forecast'!$D$171:$AF$247,'[13]Div 12 forecast'!Y$170,FALSE)</f>
        <v>333285.54284279287</v>
      </c>
      <c r="I20" s="88">
        <f>VLOOKUP($B20,'[13]Div 12 forecast'!$D$171:$AF$247,'[13]Div 12 forecast'!Z$170,FALSE)</f>
        <v>348756.78278199729</v>
      </c>
      <c r="J20" s="88">
        <f>VLOOKUP($B20,'[13]Div 12 forecast'!$D$171:$AF$247,'[13]Div 12 forecast'!AA$170,FALSE)</f>
        <v>336620.64558042708</v>
      </c>
      <c r="K20" s="88">
        <f>VLOOKUP($B20,'[13]Div 12 forecast'!$D$171:$AF$247,'[13]Div 12 forecast'!AB$170,FALSE)</f>
        <v>336620.64558042708</v>
      </c>
      <c r="L20" s="88">
        <f>VLOOKUP($B20,'[13]Div 12 forecast'!$D$171:$AF$247,'[13]Div 12 forecast'!AC$170,FALSE)</f>
        <v>336620.3094094267</v>
      </c>
      <c r="M20" s="88">
        <f>VLOOKUP($B20,'[13]Div 12 forecast'!$D$171:$AF$247,'[13]Div 12 forecast'!AD$170,FALSE)</f>
        <v>300199.30130742193</v>
      </c>
      <c r="N20" s="88">
        <f>VLOOKUP($B20,'[13]Div 12 forecast'!$D$171:$AF$247,'[13]Div 12 forecast'!AE$170,FALSE)</f>
        <v>286559.10855650099</v>
      </c>
      <c r="O20" s="88">
        <f>VLOOKUP($B20,'[13]Div 12 forecast'!$D$171:$AF$247,'[13]Div 12 forecast'!AF$170,FALSE)</f>
        <v>318754.4710784824</v>
      </c>
      <c r="P20" s="95">
        <f t="shared" si="0"/>
        <v>3826967.9781579156</v>
      </c>
      <c r="Q20" s="73"/>
    </row>
    <row r="21" spans="1:17">
      <c r="A21" s="1036">
        <f t="shared" si="1"/>
        <v>10</v>
      </c>
      <c r="B21" s="570">
        <v>9210</v>
      </c>
      <c r="C21" s="73" t="s">
        <v>933</v>
      </c>
      <c r="D21" s="88">
        <f>VLOOKUP($B21,'[13]Div 12 forecast'!$D$171:$AF$247,'[13]Div 12 forecast'!U$170,FALSE)</f>
        <v>684858.88360492943</v>
      </c>
      <c r="E21" s="88">
        <f>VLOOKUP($B21,'[13]Div 12 forecast'!$D$171:$AF$247,'[13]Div 12 forecast'!V$170,FALSE)</f>
        <v>688915.69087941456</v>
      </c>
      <c r="F21" s="88">
        <f>VLOOKUP($B21,'[13]Div 12 forecast'!$D$171:$AF$247,'[13]Div 12 forecast'!W$170,FALSE)</f>
        <v>709316.33410132083</v>
      </c>
      <c r="G21" s="88">
        <f>VLOOKUP($B21,'[13]Div 12 forecast'!$D$171:$AF$247,'[13]Div 12 forecast'!X$170,FALSE)</f>
        <v>208930.2136277417</v>
      </c>
      <c r="H21" s="88">
        <f>VLOOKUP($B21,'[13]Div 12 forecast'!$D$171:$AF$247,'[13]Div 12 forecast'!Y$170,FALSE)</f>
        <v>175445.48509584501</v>
      </c>
      <c r="I21" s="88">
        <f>VLOOKUP($B21,'[13]Div 12 forecast'!$D$171:$AF$247,'[13]Div 12 forecast'!Z$170,FALSE)</f>
        <v>190749.5601261991</v>
      </c>
      <c r="J21" s="88">
        <f>VLOOKUP($B21,'[13]Div 12 forecast'!$D$171:$AF$247,'[13]Div 12 forecast'!AA$170,FALSE)</f>
        <v>207776.55482664966</v>
      </c>
      <c r="K21" s="88">
        <f>VLOOKUP($B21,'[13]Div 12 forecast'!$D$171:$AF$247,'[13]Div 12 forecast'!AB$170,FALSE)</f>
        <v>185986.46078597062</v>
      </c>
      <c r="L21" s="88">
        <f>VLOOKUP($B21,'[13]Div 12 forecast'!$D$171:$AF$247,'[13]Div 12 forecast'!AC$170,FALSE)</f>
        <v>178664.74735281381</v>
      </c>
      <c r="M21" s="88">
        <f>VLOOKUP($B21,'[13]Div 12 forecast'!$D$171:$AF$247,'[13]Div 12 forecast'!AD$170,FALSE)</f>
        <v>677498.8018131787</v>
      </c>
      <c r="N21" s="88">
        <f>VLOOKUP($B21,'[13]Div 12 forecast'!$D$171:$AF$247,'[13]Div 12 forecast'!AE$170,FALSE)</f>
        <v>662205.35764260951</v>
      </c>
      <c r="O21" s="88">
        <f>VLOOKUP($B21,'[13]Div 12 forecast'!$D$171:$AF$247,'[13]Div 12 forecast'!AF$170,FALSE)</f>
        <v>640733.36195854656</v>
      </c>
      <c r="P21" s="95">
        <f t="shared" si="0"/>
        <v>5211081.4518152196</v>
      </c>
      <c r="Q21" s="73"/>
    </row>
    <row r="22" spans="1:17">
      <c r="A22" s="1036">
        <f t="shared" si="1"/>
        <v>11</v>
      </c>
      <c r="B22" s="570">
        <v>9220</v>
      </c>
      <c r="C22" s="73" t="s">
        <v>934</v>
      </c>
      <c r="D22" s="88">
        <f t="shared" ref="D22:O22" si="2">-(SUM(D12:D21)+SUM(D23:D28))</f>
        <v>-4320566.2070685495</v>
      </c>
      <c r="E22" s="88">
        <f t="shared" si="2"/>
        <v>-4056689.6340455078</v>
      </c>
      <c r="F22" s="88">
        <f t="shared" si="2"/>
        <v>-4522529.9078770373</v>
      </c>
      <c r="G22" s="88">
        <f t="shared" si="2"/>
        <v>-4460938.1926109893</v>
      </c>
      <c r="H22" s="88">
        <f t="shared" si="2"/>
        <v>-4224623.9717521379</v>
      </c>
      <c r="I22" s="88">
        <f t="shared" si="2"/>
        <v>-4387179.1926109893</v>
      </c>
      <c r="J22" s="88">
        <f t="shared" si="2"/>
        <v>-4321227.676415721</v>
      </c>
      <c r="K22" s="88">
        <f t="shared" si="2"/>
        <v>-4239186.676415721</v>
      </c>
      <c r="L22" s="88">
        <f t="shared" si="2"/>
        <v>-4224691.8450205224</v>
      </c>
      <c r="M22" s="88">
        <f t="shared" si="2"/>
        <v>-4360209.5921201799</v>
      </c>
      <c r="N22" s="88">
        <f t="shared" si="2"/>
        <v>-4167444.4118591975</v>
      </c>
      <c r="O22" s="88">
        <f t="shared" si="2"/>
        <v>-4473773.7294602152</v>
      </c>
      <c r="P22" s="95">
        <f t="shared" si="0"/>
        <v>-51759061.03725677</v>
      </c>
      <c r="Q22" s="73"/>
    </row>
    <row r="23" spans="1:17">
      <c r="A23" s="1036">
        <f t="shared" si="1"/>
        <v>12</v>
      </c>
      <c r="B23" s="570">
        <v>9230</v>
      </c>
      <c r="C23" s="73" t="s">
        <v>935</v>
      </c>
      <c r="D23" s="88">
        <f>VLOOKUP($B23,'[13]Div 12 forecast'!$D$171:$AF$247,'[13]Div 12 forecast'!U$170,FALSE)</f>
        <v>79428.763777402564</v>
      </c>
      <c r="E23" s="88">
        <f>VLOOKUP($B23,'[13]Div 12 forecast'!$D$171:$AF$247,'[13]Div 12 forecast'!V$170,FALSE)</f>
        <v>102774.33626832673</v>
      </c>
      <c r="F23" s="88">
        <f>VLOOKUP($B23,'[13]Div 12 forecast'!$D$171:$AF$247,'[13]Div 12 forecast'!W$170,FALSE)</f>
        <v>91421.137637183652</v>
      </c>
      <c r="G23" s="88">
        <f>VLOOKUP($B23,'[13]Div 12 forecast'!$D$171:$AF$247,'[13]Div 12 forecast'!X$170,FALSE)</f>
        <v>81879.238881814061</v>
      </c>
      <c r="H23" s="88">
        <f>VLOOKUP($B23,'[13]Div 12 forecast'!$D$171:$AF$247,'[13]Div 12 forecast'!Y$170,FALSE)</f>
        <v>35861.245558563547</v>
      </c>
      <c r="I23" s="88">
        <f>VLOOKUP($B23,'[13]Div 12 forecast'!$D$171:$AF$247,'[13]Div 12 forecast'!Z$170,FALSE)</f>
        <v>64467.025191935492</v>
      </c>
      <c r="J23" s="88">
        <f>VLOOKUP($B23,'[13]Div 12 forecast'!$D$171:$AF$247,'[13]Div 12 forecast'!AA$170,FALSE)</f>
        <v>76508.588555390481</v>
      </c>
      <c r="K23" s="88">
        <f>VLOOKUP($B23,'[13]Div 12 forecast'!$D$171:$AF$247,'[13]Div 12 forecast'!AB$170,FALSE)</f>
        <v>58135.311122888736</v>
      </c>
      <c r="L23" s="88">
        <f>VLOOKUP($B23,'[13]Div 12 forecast'!$D$171:$AF$247,'[13]Div 12 forecast'!AC$170,FALSE)</f>
        <v>49650.814270366085</v>
      </c>
      <c r="M23" s="88">
        <f>VLOOKUP($B23,'[13]Div 12 forecast'!$D$171:$AF$247,'[13]Div 12 forecast'!AD$170,FALSE)</f>
        <v>69115.034730332321</v>
      </c>
      <c r="N23" s="88">
        <f>VLOOKUP($B23,'[13]Div 12 forecast'!$D$171:$AF$247,'[13]Div 12 forecast'!AE$170,FALSE)</f>
        <v>53331.303979115764</v>
      </c>
      <c r="O23" s="88">
        <f>VLOOKUP($B23,'[13]Div 12 forecast'!$D$171:$AF$247,'[13]Div 12 forecast'!AF$170,FALSE)</f>
        <v>32242.823607638926</v>
      </c>
      <c r="P23" s="95">
        <f t="shared" si="0"/>
        <v>794815.62358095846</v>
      </c>
      <c r="Q23" s="73"/>
    </row>
    <row r="24" spans="1:17">
      <c r="A24" s="1036">
        <f t="shared" si="1"/>
        <v>13</v>
      </c>
      <c r="B24" s="570">
        <v>9240</v>
      </c>
      <c r="C24" s="73" t="s">
        <v>936</v>
      </c>
      <c r="D24" s="88">
        <f>VLOOKUP($B24,'[13]Div 12 forecast'!$D$171:$AF$247,'[13]Div 12 forecast'!U$170,FALSE)</f>
        <v>6645.1732393260136</v>
      </c>
      <c r="E24" s="88">
        <f>VLOOKUP($B24,'[13]Div 12 forecast'!$D$171:$AF$247,'[13]Div 12 forecast'!V$170,FALSE)</f>
        <v>6562.6323268229899</v>
      </c>
      <c r="F24" s="88">
        <f>VLOOKUP($B24,'[13]Div 12 forecast'!$D$171:$AF$247,'[13]Div 12 forecast'!W$170,FALSE)</f>
        <v>6651.0774533820231</v>
      </c>
      <c r="G24" s="88">
        <f>VLOOKUP($B24,'[13]Div 12 forecast'!$D$171:$AF$247,'[13]Div 12 forecast'!X$170,FALSE)</f>
        <v>0</v>
      </c>
      <c r="H24" s="88">
        <f>VLOOKUP($B24,'[13]Div 12 forecast'!$D$171:$AF$247,'[13]Div 12 forecast'!Y$170,FALSE)</f>
        <v>0</v>
      </c>
      <c r="I24" s="88">
        <f>VLOOKUP($B24,'[13]Div 12 forecast'!$D$171:$AF$247,'[13]Div 12 forecast'!Z$170,FALSE)</f>
        <v>0</v>
      </c>
      <c r="J24" s="88">
        <f>VLOOKUP($B24,'[13]Div 12 forecast'!$D$171:$AF$247,'[13]Div 12 forecast'!AA$170,FALSE)</f>
        <v>0</v>
      </c>
      <c r="K24" s="88">
        <f>VLOOKUP($B24,'[13]Div 12 forecast'!$D$171:$AF$247,'[13]Div 12 forecast'!AB$170,FALSE)</f>
        <v>0</v>
      </c>
      <c r="L24" s="88">
        <f>VLOOKUP($B24,'[13]Div 12 forecast'!$D$171:$AF$247,'[13]Div 12 forecast'!AC$170,FALSE)</f>
        <v>0</v>
      </c>
      <c r="M24" s="88">
        <f>VLOOKUP($B24,'[13]Div 12 forecast'!$D$171:$AF$247,'[13]Div 12 forecast'!AD$170,FALSE)</f>
        <v>6562.6323268229899</v>
      </c>
      <c r="N24" s="88">
        <f>VLOOKUP($B24,'[13]Div 12 forecast'!$D$171:$AF$247,'[13]Div 12 forecast'!AE$170,FALSE)</f>
        <v>6562.6323268229899</v>
      </c>
      <c r="O24" s="88">
        <f>VLOOKUP($B24,'[13]Div 12 forecast'!$D$171:$AF$247,'[13]Div 12 forecast'!AF$170,FALSE)</f>
        <v>6562.6323268229899</v>
      </c>
      <c r="P24" s="95">
        <f t="shared" si="0"/>
        <v>39546.78</v>
      </c>
      <c r="Q24" s="73"/>
    </row>
    <row r="25" spans="1:17">
      <c r="A25" s="1036">
        <f t="shared" si="1"/>
        <v>14</v>
      </c>
      <c r="B25" s="314">
        <v>9250</v>
      </c>
      <c r="C25" s="72" t="s">
        <v>937</v>
      </c>
      <c r="D25" s="88">
        <f>VLOOKUP($B25,'[13]Div 12 forecast'!$D$171:$AF$247,'[13]Div 12 forecast'!U$170,FALSE)</f>
        <v>107.8067606739862</v>
      </c>
      <c r="E25" s="88">
        <f>VLOOKUP($B25,'[13]Div 12 forecast'!$D$171:$AF$247,'[13]Div 12 forecast'!V$170,FALSE)</f>
        <v>106.46767317700947</v>
      </c>
      <c r="F25" s="88">
        <f>VLOOKUP($B25,'[13]Div 12 forecast'!$D$171:$AF$247,'[13]Div 12 forecast'!W$170,FALSE)</f>
        <v>107.90254661797596</v>
      </c>
      <c r="G25" s="88">
        <f>VLOOKUP($B25,'[13]Div 12 forecast'!$D$171:$AF$247,'[13]Div 12 forecast'!X$170,FALSE)</f>
        <v>0</v>
      </c>
      <c r="H25" s="88">
        <f>VLOOKUP($B25,'[13]Div 12 forecast'!$D$171:$AF$247,'[13]Div 12 forecast'!Y$170,FALSE)</f>
        <v>0</v>
      </c>
      <c r="I25" s="88">
        <f>VLOOKUP($B25,'[13]Div 12 forecast'!$D$171:$AF$247,'[13]Div 12 forecast'!Z$170,FALSE)</f>
        <v>0</v>
      </c>
      <c r="J25" s="88">
        <f>VLOOKUP($B25,'[13]Div 12 forecast'!$D$171:$AF$247,'[13]Div 12 forecast'!AA$170,FALSE)</f>
        <v>0</v>
      </c>
      <c r="K25" s="88">
        <f>VLOOKUP($B25,'[13]Div 12 forecast'!$D$171:$AF$247,'[13]Div 12 forecast'!AB$170,FALSE)</f>
        <v>0</v>
      </c>
      <c r="L25" s="88">
        <f>VLOOKUP($B25,'[13]Div 12 forecast'!$D$171:$AF$247,'[13]Div 12 forecast'!AC$170,FALSE)</f>
        <v>0</v>
      </c>
      <c r="M25" s="88">
        <f>VLOOKUP($B25,'[13]Div 12 forecast'!$D$171:$AF$247,'[13]Div 12 forecast'!AD$170,FALSE)</f>
        <v>106.46767317700947</v>
      </c>
      <c r="N25" s="88">
        <f>VLOOKUP($B25,'[13]Div 12 forecast'!$D$171:$AF$247,'[13]Div 12 forecast'!AE$170,FALSE)</f>
        <v>106.46767317700947</v>
      </c>
      <c r="O25" s="88">
        <f>VLOOKUP($B25,'[13]Div 12 forecast'!$D$171:$AF$247,'[13]Div 12 forecast'!AF$170,FALSE)</f>
        <v>106.46767317700947</v>
      </c>
      <c r="P25" s="95">
        <f t="shared" si="0"/>
        <v>641.58000000000004</v>
      </c>
      <c r="Q25" s="73"/>
    </row>
    <row r="26" spans="1:17">
      <c r="A26" s="1036">
        <f t="shared" si="1"/>
        <v>15</v>
      </c>
      <c r="B26" s="570">
        <v>9260</v>
      </c>
      <c r="C26" s="73" t="s">
        <v>938</v>
      </c>
      <c r="D26" s="88">
        <f>VLOOKUP($B26,'[13]Div 12 forecast'!$D$171:$AF$247,'[13]Div 12 forecast'!U$170,FALSE)</f>
        <v>878696.15860867989</v>
      </c>
      <c r="E26" s="88">
        <f>VLOOKUP($B26,'[13]Div 12 forecast'!$D$171:$AF$247,'[13]Div 12 forecast'!V$170,FALSE)</f>
        <v>810966.01924847031</v>
      </c>
      <c r="F26" s="88">
        <f>VLOOKUP($B26,'[13]Div 12 forecast'!$D$171:$AF$247,'[13]Div 12 forecast'!W$170,FALSE)</f>
        <v>929715.04591738502</v>
      </c>
      <c r="G26" s="88">
        <f>VLOOKUP($B26,'[13]Div 12 forecast'!$D$171:$AF$247,'[13]Div 12 forecast'!X$170,FALSE)</f>
        <v>1045558.2246691174</v>
      </c>
      <c r="H26" s="88">
        <f>VLOOKUP($B26,'[13]Div 12 forecast'!$D$171:$AF$247,'[13]Div 12 forecast'!Y$170,FALSE)</f>
        <v>1060603.1718007484</v>
      </c>
      <c r="I26" s="88">
        <f>VLOOKUP($B26,'[13]Div 12 forecast'!$D$171:$AF$247,'[13]Div 12 forecast'!Z$170,FALSE)</f>
        <v>1049192.1615661625</v>
      </c>
      <c r="J26" s="88">
        <f>VLOOKUP($B26,'[13]Div 12 forecast'!$D$171:$AF$247,'[13]Div 12 forecast'!AA$170,FALSE)</f>
        <v>1014397.0680729547</v>
      </c>
      <c r="K26" s="88">
        <f>VLOOKUP($B26,'[13]Div 12 forecast'!$D$171:$AF$247,'[13]Div 12 forecast'!AB$170,FALSE)</f>
        <v>1014397.0680729547</v>
      </c>
      <c r="L26" s="88">
        <f>VLOOKUP($B26,'[13]Div 12 forecast'!$D$171:$AF$247,'[13]Div 12 forecast'!AC$170,FALSE)</f>
        <v>1017086.1239622646</v>
      </c>
      <c r="M26" s="88">
        <f>VLOOKUP($B26,'[13]Div 12 forecast'!$D$171:$AF$247,'[13]Div 12 forecast'!AD$170,FALSE)</f>
        <v>892476.76363256783</v>
      </c>
      <c r="N26" s="88">
        <f>VLOOKUP($B26,'[13]Div 12 forecast'!$D$171:$AF$247,'[13]Div 12 forecast'!AE$170,FALSE)</f>
        <v>896658.59464055276</v>
      </c>
      <c r="O26" s="88">
        <f>VLOOKUP($B26,'[13]Div 12 forecast'!$D$171:$AF$247,'[13]Div 12 forecast'!AF$170,FALSE)</f>
        <v>967745.47787203174</v>
      </c>
      <c r="P26" s="95">
        <f t="shared" si="0"/>
        <v>11577491.878063891</v>
      </c>
      <c r="Q26" s="73"/>
    </row>
    <row r="27" spans="1:17">
      <c r="A27" s="1036">
        <f t="shared" si="1"/>
        <v>16</v>
      </c>
      <c r="B27" s="570">
        <v>9310</v>
      </c>
      <c r="C27" s="73" t="s">
        <v>183</v>
      </c>
      <c r="D27" s="88">
        <f>VLOOKUP($B27,'[13]Div 12 forecast'!$D$171:$AF$247,'[13]Div 12 forecast'!U$170,FALSE)</f>
        <v>97711.092975781605</v>
      </c>
      <c r="E27" s="88">
        <f>VLOOKUP($B27,'[13]Div 12 forecast'!$D$171:$AF$247,'[13]Div 12 forecast'!V$170,FALSE)</f>
        <v>97416.210760367787</v>
      </c>
      <c r="F27" s="88">
        <f>VLOOKUP($B27,'[13]Div 12 forecast'!$D$171:$AF$247,'[13]Div 12 forecast'!W$170,FALSE)</f>
        <v>110066.67569390996</v>
      </c>
      <c r="G27" s="88">
        <f>VLOOKUP($B27,'[13]Div 12 forecast'!$D$171:$AF$247,'[13]Div 12 forecast'!X$170,FALSE)</f>
        <v>95882.460777098371</v>
      </c>
      <c r="H27" s="88">
        <f>VLOOKUP($B27,'[13]Div 12 forecast'!$D$171:$AF$247,'[13]Div 12 forecast'!Y$170,FALSE)</f>
        <v>95868.031512873058</v>
      </c>
      <c r="I27" s="88">
        <f>VLOOKUP($B27,'[13]Div 12 forecast'!$D$171:$AF$247,'[13]Div 12 forecast'!Z$170,FALSE)</f>
        <v>95868.031512873058</v>
      </c>
      <c r="J27" s="88">
        <f>VLOOKUP($B27,'[13]Div 12 forecast'!$D$171:$AF$247,'[13]Div 12 forecast'!AA$170,FALSE)</f>
        <v>95940.177833999551</v>
      </c>
      <c r="K27" s="88">
        <f>VLOOKUP($B27,'[13]Div 12 forecast'!$D$171:$AF$247,'[13]Div 12 forecast'!AB$170,FALSE)</f>
        <v>95868.031512873058</v>
      </c>
      <c r="L27" s="88">
        <f>VLOOKUP($B27,'[13]Div 12 forecast'!$D$171:$AF$247,'[13]Div 12 forecast'!AC$170,FALSE)</f>
        <v>95868.031512873058</v>
      </c>
      <c r="M27" s="88">
        <f>VLOOKUP($B27,'[13]Div 12 forecast'!$D$171:$AF$247,'[13]Div 12 forecast'!AD$170,FALSE)</f>
        <v>93821.759836026802</v>
      </c>
      <c r="N27" s="88">
        <f>VLOOKUP($B27,'[13]Div 12 forecast'!$D$171:$AF$247,'[13]Div 12 forecast'!AE$170,FALSE)</f>
        <v>93965.14054878075</v>
      </c>
      <c r="O27" s="88">
        <f>VLOOKUP($B27,'[13]Div 12 forecast'!$D$171:$AF$247,'[13]Div 12 forecast'!AF$170,FALSE)</f>
        <v>100010.65018513304</v>
      </c>
      <c r="P27" s="95">
        <f t="shared" si="0"/>
        <v>1168286.2946625899</v>
      </c>
      <c r="Q27" s="544"/>
    </row>
    <row r="28" spans="1:17">
      <c r="A28" s="1036">
        <f t="shared" si="1"/>
        <v>17</v>
      </c>
      <c r="B28" s="570">
        <v>9320</v>
      </c>
      <c r="C28" s="73" t="s">
        <v>184</v>
      </c>
      <c r="D28" s="88">
        <f>VLOOKUP($B28,'[13]Div 12 forecast'!$D$171:$AF$247,'[13]Div 12 forecast'!U$170,FALSE)</f>
        <v>298.58746099103342</v>
      </c>
      <c r="E28" s="88">
        <f>VLOOKUP($B28,'[13]Div 12 forecast'!$D$171:$AF$247,'[13]Div 12 forecast'!V$170,FALSE)</f>
        <v>302.34400759997567</v>
      </c>
      <c r="F28" s="88">
        <f>VLOOKUP($B28,'[13]Div 12 forecast'!$D$171:$AF$247,'[13]Div 12 forecast'!W$170,FALSE)</f>
        <v>298.24937988429343</v>
      </c>
      <c r="G28" s="88">
        <f>VLOOKUP($B28,'[13]Div 12 forecast'!$D$171:$AF$247,'[13]Div 12 forecast'!X$170,FALSE)</f>
        <v>2.2444379693866385</v>
      </c>
      <c r="H28" s="88">
        <f>VLOOKUP($B28,'[13]Div 12 forecast'!$D$171:$AF$247,'[13]Div 12 forecast'!Y$170,FALSE)</f>
        <v>1.4543538660489996</v>
      </c>
      <c r="I28" s="88">
        <f>VLOOKUP($B28,'[13]Div 12 forecast'!$D$171:$AF$247,'[13]Div 12 forecast'!Z$170,FALSE)</f>
        <v>1.4543538660489996</v>
      </c>
      <c r="J28" s="88">
        <f>VLOOKUP($B28,'[13]Div 12 forecast'!$D$171:$AF$247,'[13]Div 12 forecast'!AA$170,FALSE)</f>
        <v>2.2444379693866385</v>
      </c>
      <c r="K28" s="88">
        <f>VLOOKUP($B28,'[13]Div 12 forecast'!$D$171:$AF$247,'[13]Div 12 forecast'!AB$170,FALSE)</f>
        <v>1.4543538660489996</v>
      </c>
      <c r="L28" s="88">
        <f>VLOOKUP($B28,'[13]Div 12 forecast'!$D$171:$AF$247,'[13]Div 12 forecast'!AC$170,FALSE)</f>
        <v>1.4483627069715579</v>
      </c>
      <c r="M28" s="88">
        <f>VLOOKUP($B28,'[13]Div 12 forecast'!$D$171:$AF$247,'[13]Div 12 forecast'!AD$170,FALSE)</f>
        <v>294.89966293250495</v>
      </c>
      <c r="N28" s="88">
        <f>VLOOKUP($B28,'[13]Div 12 forecast'!$D$171:$AF$247,'[13]Div 12 forecast'!AE$170,FALSE)</f>
        <v>299.22036703597445</v>
      </c>
      <c r="O28" s="88">
        <f>VLOOKUP($B28,'[13]Div 12 forecast'!$D$171:$AF$247,'[13]Div 12 forecast'!AF$170,FALSE)</f>
        <v>301.58912155621795</v>
      </c>
      <c r="P28" s="95">
        <f t="shared" si="0"/>
        <v>1805.1903002438921</v>
      </c>
      <c r="Q28" s="73"/>
    </row>
    <row r="29" spans="1:17">
      <c r="A29" s="1036">
        <f t="shared" si="1"/>
        <v>18</v>
      </c>
      <c r="B29" s="73"/>
      <c r="C29" s="705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73"/>
      <c r="Q29" s="73"/>
    </row>
    <row r="30" spans="1:17" ht="15.75" thickBot="1">
      <c r="A30" s="1036">
        <f t="shared" si="1"/>
        <v>19</v>
      </c>
      <c r="B30" s="73" t="s">
        <v>728</v>
      </c>
      <c r="C30" s="705"/>
      <c r="D30" s="1131">
        <f t="shared" ref="D30:P30" si="3">SUM(D12:D29)</f>
        <v>4.602611625159625E-10</v>
      </c>
      <c r="E30" s="1131">
        <f t="shared" si="3"/>
        <v>9.5099039754131809E-11</v>
      </c>
      <c r="F30" s="1131">
        <f t="shared" si="3"/>
        <v>-3.0371438697329722E-10</v>
      </c>
      <c r="G30" s="1131">
        <f t="shared" si="3"/>
        <v>2.7154145598728974E-10</v>
      </c>
      <c r="H30" s="1131">
        <f t="shared" si="3"/>
        <v>1.5811951747934927E-10</v>
      </c>
      <c r="I30" s="1131">
        <f t="shared" si="3"/>
        <v>3.909501611332189E-10</v>
      </c>
      <c r="J30" s="1131">
        <f t="shared" si="3"/>
        <v>1.4057421893198807E-10</v>
      </c>
      <c r="K30" s="1131">
        <f t="shared" si="3"/>
        <v>1.5811951747934927E-10</v>
      </c>
      <c r="L30" s="1131">
        <f t="shared" si="3"/>
        <v>2.0404633538362305E-10</v>
      </c>
      <c r="M30" s="1131">
        <f t="shared" si="3"/>
        <v>-7.0485839387401938E-12</v>
      </c>
      <c r="N30" s="1131">
        <f t="shared" si="3"/>
        <v>2.1867663235752843E-10</v>
      </c>
      <c r="O30" s="1131">
        <f t="shared" si="3"/>
        <v>2.5022472982527688E-10</v>
      </c>
      <c r="P30" s="1131">
        <f t="shared" si="3"/>
        <v>-2.1100277081131935E-9</v>
      </c>
      <c r="Q30" s="727"/>
    </row>
    <row r="31" spans="1:17" ht="15.75" thickTop="1">
      <c r="A31" s="1036">
        <f t="shared" si="1"/>
        <v>20</v>
      </c>
      <c r="B31" s="73"/>
      <c r="C31" s="705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</row>
    <row r="32" spans="1:17">
      <c r="A32" s="1036">
        <f t="shared" si="1"/>
        <v>21</v>
      </c>
      <c r="B32" s="1132">
        <f t="shared" ref="B32:O32" si="4">B22</f>
        <v>9220</v>
      </c>
      <c r="C32" s="95" t="str">
        <f t="shared" si="4"/>
        <v>A&amp;G-Administrative expense transferred-Credit</v>
      </c>
      <c r="D32" s="95">
        <f t="shared" si="4"/>
        <v>-4320566.2070685495</v>
      </c>
      <c r="E32" s="95">
        <f t="shared" si="4"/>
        <v>-4056689.6340455078</v>
      </c>
      <c r="F32" s="95">
        <f t="shared" si="4"/>
        <v>-4522529.9078770373</v>
      </c>
      <c r="G32" s="95">
        <f t="shared" si="4"/>
        <v>-4460938.1926109893</v>
      </c>
      <c r="H32" s="95">
        <f t="shared" si="4"/>
        <v>-4224623.9717521379</v>
      </c>
      <c r="I32" s="95">
        <f t="shared" si="4"/>
        <v>-4387179.1926109893</v>
      </c>
      <c r="J32" s="95">
        <f t="shared" si="4"/>
        <v>-4321227.676415721</v>
      </c>
      <c r="K32" s="95">
        <f t="shared" si="4"/>
        <v>-4239186.676415721</v>
      </c>
      <c r="L32" s="95">
        <f t="shared" si="4"/>
        <v>-4224691.8450205224</v>
      </c>
      <c r="M32" s="95">
        <f t="shared" si="4"/>
        <v>-4360209.5921201799</v>
      </c>
      <c r="N32" s="95">
        <f t="shared" si="4"/>
        <v>-4167444.4118591975</v>
      </c>
      <c r="O32" s="95">
        <f t="shared" si="4"/>
        <v>-4473773.7294602152</v>
      </c>
      <c r="P32" s="95">
        <f>SUM(D32:O32)</f>
        <v>-51759061.03725677</v>
      </c>
      <c r="Q32" s="73"/>
    </row>
    <row r="33" spans="1:17">
      <c r="A33" s="1036">
        <f t="shared" si="1"/>
        <v>22</v>
      </c>
      <c r="B33" s="73"/>
      <c r="C33" s="73" t="s">
        <v>194</v>
      </c>
      <c r="D33" s="1133">
        <f>Allocation!$E$15</f>
        <v>5.5573860000000003E-2</v>
      </c>
      <c r="E33" s="1133">
        <f>D33</f>
        <v>5.5573860000000003E-2</v>
      </c>
      <c r="F33" s="1133">
        <f t="shared" ref="F33:O33" si="5">E33</f>
        <v>5.5573860000000003E-2</v>
      </c>
      <c r="G33" s="1133">
        <f t="shared" si="5"/>
        <v>5.5573860000000003E-2</v>
      </c>
      <c r="H33" s="1133">
        <f t="shared" si="5"/>
        <v>5.5573860000000003E-2</v>
      </c>
      <c r="I33" s="1133">
        <f t="shared" si="5"/>
        <v>5.5573860000000003E-2</v>
      </c>
      <c r="J33" s="1133">
        <f t="shared" si="5"/>
        <v>5.5573860000000003E-2</v>
      </c>
      <c r="K33" s="1133">
        <f t="shared" si="5"/>
        <v>5.5573860000000003E-2</v>
      </c>
      <c r="L33" s="1133">
        <f t="shared" si="5"/>
        <v>5.5573860000000003E-2</v>
      </c>
      <c r="M33" s="1133">
        <f t="shared" si="5"/>
        <v>5.5573860000000003E-2</v>
      </c>
      <c r="N33" s="1133">
        <f t="shared" si="5"/>
        <v>5.5573860000000003E-2</v>
      </c>
      <c r="O33" s="1133">
        <f t="shared" si="5"/>
        <v>5.5573860000000003E-2</v>
      </c>
      <c r="P33" s="66"/>
      <c r="Q33" s="734"/>
    </row>
    <row r="34" spans="1:17">
      <c r="A34" s="1036">
        <f t="shared" si="1"/>
        <v>23</v>
      </c>
      <c r="B34" s="73"/>
      <c r="C34" s="73" t="s">
        <v>209</v>
      </c>
      <c r="D34" s="95">
        <f>D32*D33</f>
        <v>-240110.54151235858</v>
      </c>
      <c r="E34" s="95">
        <f t="shared" ref="E34:O34" si="6">E32*E33</f>
        <v>-225445.90178589631</v>
      </c>
      <c r="F34" s="95">
        <f t="shared" si="6"/>
        <v>-251334.44394617138</v>
      </c>
      <c r="G34" s="95">
        <f t="shared" si="6"/>
        <v>-247911.55458481616</v>
      </c>
      <c r="H34" s="95">
        <f t="shared" si="6"/>
        <v>-234778.66115879727</v>
      </c>
      <c r="I34" s="95">
        <f t="shared" si="6"/>
        <v>-243812.48224507616</v>
      </c>
      <c r="J34" s="95">
        <f t="shared" si="6"/>
        <v>-240147.3019172526</v>
      </c>
      <c r="K34" s="95">
        <f t="shared" si="6"/>
        <v>-235587.9668689926</v>
      </c>
      <c r="L34" s="95">
        <f t="shared" si="6"/>
        <v>-234782.43313831222</v>
      </c>
      <c r="M34" s="95">
        <f t="shared" si="6"/>
        <v>-242313.677443144</v>
      </c>
      <c r="N34" s="95">
        <f t="shared" si="6"/>
        <v>-231600.97230244539</v>
      </c>
      <c r="O34" s="95">
        <f t="shared" si="6"/>
        <v>-248624.87491269989</v>
      </c>
      <c r="P34" s="95">
        <f>SUM(D34:O34)</f>
        <v>-2876450.8118159622</v>
      </c>
      <c r="Q34" s="665"/>
    </row>
    <row r="35" spans="1:17">
      <c r="A35" s="73"/>
      <c r="B35" s="73"/>
      <c r="C35" s="705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66"/>
      <c r="P35" s="710"/>
      <c r="Q35" s="73"/>
    </row>
    <row r="36" spans="1:17">
      <c r="A36" s="73"/>
      <c r="B36" s="73" t="s">
        <v>557</v>
      </c>
      <c r="C36" s="705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66"/>
      <c r="P36" s="66"/>
      <c r="Q36" s="73"/>
    </row>
    <row r="37" spans="1:17">
      <c r="A37" s="73"/>
      <c r="B37" s="73"/>
      <c r="C37" s="705"/>
      <c r="D37" s="727"/>
      <c r="E37" s="727"/>
      <c r="F37" s="727"/>
      <c r="G37" s="727"/>
      <c r="H37" s="727"/>
      <c r="I37" s="727"/>
      <c r="J37" s="727"/>
      <c r="K37" s="727"/>
      <c r="L37" s="727"/>
      <c r="M37" s="727"/>
      <c r="N37" s="727"/>
      <c r="O37" s="727"/>
      <c r="P37" s="727"/>
      <c r="Q37" s="66"/>
    </row>
    <row r="38" spans="1:17">
      <c r="A38" s="73"/>
      <c r="B38" s="73"/>
      <c r="C38" s="73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</row>
    <row r="39" spans="1:17">
      <c r="A39" s="73"/>
      <c r="B39" s="73"/>
      <c r="C39" s="150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66"/>
      <c r="Q39" s="73"/>
    </row>
    <row r="40" spans="1:17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1:17">
      <c r="A41" s="73"/>
      <c r="B41" s="73" t="s">
        <v>942</v>
      </c>
      <c r="C41" s="73"/>
      <c r="D41" s="95">
        <f>D22</f>
        <v>-4320566.2070685495</v>
      </c>
      <c r="E41" s="95">
        <f t="shared" ref="E41:O41" si="7">E22</f>
        <v>-4056689.6340455078</v>
      </c>
      <c r="F41" s="95">
        <f t="shared" si="7"/>
        <v>-4522529.9078770373</v>
      </c>
      <c r="G41" s="95">
        <f t="shared" si="7"/>
        <v>-4460938.1926109893</v>
      </c>
      <c r="H41" s="95">
        <f t="shared" si="7"/>
        <v>-4224623.9717521379</v>
      </c>
      <c r="I41" s="95">
        <f t="shared" si="7"/>
        <v>-4387179.1926109893</v>
      </c>
      <c r="J41" s="95">
        <f t="shared" si="7"/>
        <v>-4321227.676415721</v>
      </c>
      <c r="K41" s="95">
        <f t="shared" si="7"/>
        <v>-4239186.676415721</v>
      </c>
      <c r="L41" s="95">
        <f t="shared" si="7"/>
        <v>-4224691.8450205224</v>
      </c>
      <c r="M41" s="95">
        <f t="shared" si="7"/>
        <v>-4360209.5921201799</v>
      </c>
      <c r="N41" s="95">
        <f t="shared" si="7"/>
        <v>-4167444.4118591975</v>
      </c>
      <c r="O41" s="95">
        <f t="shared" si="7"/>
        <v>-4473773.7294602152</v>
      </c>
      <c r="P41" s="66"/>
      <c r="Q41" s="73"/>
    </row>
    <row r="42" spans="1:17">
      <c r="A42" s="73"/>
      <c r="B42" s="73" t="s">
        <v>1571</v>
      </c>
      <c r="C42" s="73"/>
      <c r="D42" s="95">
        <f>'[13]Div 12 forecast'!U166</f>
        <v>4320566.2070685504</v>
      </c>
      <c r="E42" s="95">
        <f>'[13]Div 12 forecast'!V166</f>
        <v>4056689.6340455078</v>
      </c>
      <c r="F42" s="95">
        <f>'[13]Div 12 forecast'!W166</f>
        <v>4522529.9078770373</v>
      </c>
      <c r="G42" s="95">
        <f>'[13]Div 12 forecast'!X166</f>
        <v>4460938.1926109893</v>
      </c>
      <c r="H42" s="95">
        <f>'[13]Div 12 forecast'!Y166</f>
        <v>4224623.9717521379</v>
      </c>
      <c r="I42" s="95">
        <f>'[13]Div 12 forecast'!Z166</f>
        <v>4387179.1926109893</v>
      </c>
      <c r="J42" s="95">
        <f>'[13]Div 12 forecast'!AA166</f>
        <v>4321227.676415721</v>
      </c>
      <c r="K42" s="95">
        <f>'[13]Div 12 forecast'!AB166</f>
        <v>4239186.676415721</v>
      </c>
      <c r="L42" s="95">
        <f>'[13]Div 12 forecast'!AC166</f>
        <v>4224691.8450205224</v>
      </c>
      <c r="M42" s="95">
        <f>'[13]Div 12 forecast'!AD166</f>
        <v>4360209.5921201799</v>
      </c>
      <c r="N42" s="95">
        <f>'[13]Div 12 forecast'!AE166</f>
        <v>4167444.4118591975</v>
      </c>
      <c r="O42" s="95">
        <f>'[13]Div 12 forecast'!AF166</f>
        <v>4473773.7294602161</v>
      </c>
      <c r="P42" s="73"/>
      <c r="Q42" s="73"/>
    </row>
    <row r="43" spans="1:17">
      <c r="A43" s="73"/>
      <c r="B43" s="73"/>
      <c r="C43" s="73"/>
      <c r="D43" s="95">
        <f>D41+D42</f>
        <v>0</v>
      </c>
      <c r="E43" s="95">
        <f t="shared" ref="E43:O43" si="8">E41+E42</f>
        <v>0</v>
      </c>
      <c r="F43" s="95">
        <f t="shared" si="8"/>
        <v>0</v>
      </c>
      <c r="G43" s="95">
        <f t="shared" si="8"/>
        <v>0</v>
      </c>
      <c r="H43" s="95">
        <f t="shared" si="8"/>
        <v>0</v>
      </c>
      <c r="I43" s="95">
        <f t="shared" si="8"/>
        <v>0</v>
      </c>
      <c r="J43" s="95">
        <f t="shared" si="8"/>
        <v>0</v>
      </c>
      <c r="K43" s="95">
        <f t="shared" si="8"/>
        <v>0</v>
      </c>
      <c r="L43" s="95">
        <f t="shared" si="8"/>
        <v>0</v>
      </c>
      <c r="M43" s="95">
        <f t="shared" si="8"/>
        <v>0</v>
      </c>
      <c r="N43" s="95">
        <f t="shared" si="8"/>
        <v>0</v>
      </c>
      <c r="O43" s="95">
        <f t="shared" si="8"/>
        <v>0</v>
      </c>
      <c r="P43" s="66"/>
      <c r="Q43" s="73"/>
    </row>
    <row r="44" spans="1:17">
      <c r="A44" s="73"/>
    </row>
    <row r="45" spans="1:17">
      <c r="A45" s="73"/>
    </row>
  </sheetData>
  <mergeCells count="4">
    <mergeCell ref="A1:P1"/>
    <mergeCell ref="A2:P2"/>
    <mergeCell ref="A3:P3"/>
    <mergeCell ref="A4:P4"/>
  </mergeCells>
  <phoneticPr fontId="21" type="noConversion"/>
  <printOptions horizontalCentered="1"/>
  <pageMargins left="0.5" right="0.5" top="0.75" bottom="0.5" header="0.5" footer="0.25"/>
  <pageSetup scale="52" fitToHeight="2" orientation="landscape" verticalDpi="300" r:id="rId1"/>
  <headerFooter alignWithMargins="0">
    <oddFooter>&amp;RSchedule &amp;A
Page &amp;P of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139">
    <pageSetUpPr fitToPage="1"/>
  </sheetPr>
  <dimension ref="A1:Q96"/>
  <sheetViews>
    <sheetView view="pageBreakPreview" zoomScale="80" zoomScaleNormal="100" zoomScaleSheetLayoutView="80" workbookViewId="0">
      <selection sqref="A1:P1"/>
    </sheetView>
  </sheetViews>
  <sheetFormatPr defaultColWidth="7.109375" defaultRowHeight="15"/>
  <cols>
    <col min="1" max="1" width="4.6640625" style="72" customWidth="1"/>
    <col min="2" max="2" width="7.21875" style="72" customWidth="1"/>
    <col min="3" max="3" width="64.33203125" style="72" customWidth="1"/>
    <col min="4" max="5" width="11.109375" style="72" customWidth="1"/>
    <col min="6" max="6" width="11.77734375" style="72" bestFit="1" customWidth="1"/>
    <col min="7" max="7" width="11.33203125" style="72" bestFit="1" customWidth="1"/>
    <col min="8" max="8" width="11.109375" style="72" customWidth="1"/>
    <col min="9" max="9" width="12" style="72" bestFit="1" customWidth="1"/>
    <col min="10" max="13" width="11.33203125" style="72" bestFit="1" customWidth="1"/>
    <col min="14" max="14" width="10" style="72" customWidth="1"/>
    <col min="15" max="15" width="10.77734375" style="72" customWidth="1"/>
    <col min="16" max="16" width="12.44140625" style="72" customWidth="1"/>
    <col min="17" max="17" width="12.5546875" style="72" customWidth="1"/>
    <col min="18" max="18" width="7.109375" style="72"/>
    <col min="19" max="19" width="8.109375" style="72" customWidth="1"/>
    <col min="20" max="20" width="8.77734375" style="72" customWidth="1"/>
    <col min="21" max="16384" width="7.109375" style="72"/>
  </cols>
  <sheetData>
    <row r="1" spans="1:17">
      <c r="A1" s="1270" t="str">
        <f>'Table of Contents'!A1:C1</f>
        <v>Atmos Energy Corporation, Kentucky/Mid-States Division</v>
      </c>
      <c r="B1" s="1270"/>
      <c r="C1" s="1270"/>
      <c r="D1" s="1270"/>
      <c r="E1" s="1270"/>
      <c r="F1" s="1270"/>
      <c r="G1" s="1270"/>
      <c r="H1" s="1270"/>
      <c r="I1" s="1270"/>
      <c r="J1" s="1270"/>
      <c r="K1" s="1270"/>
      <c r="L1" s="1270"/>
      <c r="M1" s="1270"/>
      <c r="N1" s="1270"/>
      <c r="O1" s="1270"/>
      <c r="P1" s="1270"/>
      <c r="Q1" s="73"/>
    </row>
    <row r="2" spans="1:17">
      <c r="A2" s="1270" t="str">
        <f>'Table of Contents'!A2:C2</f>
        <v>Kentucky Jurisdiction Case No. 2021-00214</v>
      </c>
      <c r="B2" s="1270"/>
      <c r="C2" s="1270"/>
      <c r="D2" s="1270"/>
      <c r="E2" s="1270"/>
      <c r="F2" s="1270"/>
      <c r="G2" s="1270"/>
      <c r="H2" s="1270"/>
      <c r="I2" s="1270"/>
      <c r="J2" s="1270"/>
      <c r="K2" s="1270"/>
      <c r="L2" s="1270"/>
      <c r="M2" s="1270"/>
      <c r="N2" s="1270"/>
      <c r="O2" s="1270"/>
      <c r="P2" s="1270"/>
      <c r="Q2" s="73"/>
    </row>
    <row r="3" spans="1:17" ht="15.75">
      <c r="A3" s="1271" t="s">
        <v>189</v>
      </c>
      <c r="B3" s="1271"/>
      <c r="C3" s="1271"/>
      <c r="D3" s="1271"/>
      <c r="E3" s="1271"/>
      <c r="F3" s="1271"/>
      <c r="G3" s="1271"/>
      <c r="H3" s="1271"/>
      <c r="I3" s="1271"/>
      <c r="J3" s="1271"/>
      <c r="K3" s="1271"/>
      <c r="L3" s="1271"/>
      <c r="M3" s="1271"/>
      <c r="N3" s="1271"/>
      <c r="O3" s="1271"/>
      <c r="P3" s="1271"/>
      <c r="Q3" s="73"/>
    </row>
    <row r="4" spans="1:17">
      <c r="A4" s="1270" t="str">
        <f>'Table of Contents'!A4:C4</f>
        <v>Forecasted Test Period: Twelve Months Ended December 31, 2022</v>
      </c>
      <c r="B4" s="1270"/>
      <c r="C4" s="1270"/>
      <c r="D4" s="1270"/>
      <c r="E4" s="1270"/>
      <c r="F4" s="1270"/>
      <c r="G4" s="1270"/>
      <c r="H4" s="1270"/>
      <c r="I4" s="1270"/>
      <c r="J4" s="1270"/>
      <c r="K4" s="1270"/>
      <c r="L4" s="1270"/>
      <c r="M4" s="1270"/>
      <c r="N4" s="1270"/>
      <c r="O4" s="1270"/>
      <c r="P4" s="1270"/>
      <c r="Q4" s="73"/>
    </row>
    <row r="5" spans="1:17">
      <c r="A5" s="73"/>
      <c r="B5" s="133"/>
      <c r="C5" s="133"/>
      <c r="D5" s="133"/>
      <c r="E5" s="133"/>
      <c r="F5" s="133"/>
      <c r="G5" s="700"/>
      <c r="H5" s="133"/>
      <c r="I5" s="133"/>
      <c r="J5" s="133"/>
      <c r="K5" s="133"/>
      <c r="L5" s="133"/>
      <c r="M5" s="133"/>
      <c r="N5" s="133"/>
      <c r="O5" s="133"/>
      <c r="P5" s="73"/>
      <c r="Q5" s="73"/>
    </row>
    <row r="6" spans="1:17">
      <c r="A6" s="472" t="str">
        <f>'C.2.1 F'!A6</f>
        <v>Data:________Base Period___X____Forecasted Period</v>
      </c>
      <c r="B6" s="73"/>
      <c r="C6" s="8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150" t="s">
        <v>1373</v>
      </c>
      <c r="Q6" s="73"/>
    </row>
    <row r="7" spans="1:17" ht="15.75">
      <c r="A7" s="472" t="str">
        <f>'C.2.1 F'!A7</f>
        <v>Type of Filing:___X____Original________Updated ________Revised</v>
      </c>
      <c r="B7" s="73"/>
      <c r="C7" s="80"/>
      <c r="D7" s="73"/>
      <c r="E7" s="73"/>
      <c r="F7" s="729"/>
      <c r="G7" s="73"/>
      <c r="H7" s="73"/>
      <c r="I7" s="73"/>
      <c r="J7" s="73"/>
      <c r="K7" s="73"/>
      <c r="L7" s="73"/>
      <c r="M7" s="73"/>
      <c r="N7" s="73"/>
      <c r="O7" s="73"/>
      <c r="P7" s="428" t="s">
        <v>36</v>
      </c>
      <c r="Q7" s="73"/>
    </row>
    <row r="8" spans="1:17">
      <c r="A8" s="1061" t="str">
        <f>'C.2.1 F'!A8</f>
        <v>Workpaper Reference No(s).____________________</v>
      </c>
      <c r="B8" s="74"/>
      <c r="C8" s="366"/>
      <c r="D8" s="134"/>
      <c r="E8" s="134"/>
      <c r="F8" s="134"/>
      <c r="G8" s="134"/>
      <c r="H8" s="134"/>
      <c r="I8" s="134"/>
      <c r="J8" s="134"/>
      <c r="K8" s="134"/>
      <c r="L8" s="134"/>
      <c r="M8" s="74"/>
      <c r="N8" s="74"/>
      <c r="O8" s="74"/>
      <c r="P8" s="1126" t="str">
        <f>'C.1'!J9</f>
        <v>Witness: Christian, Densman</v>
      </c>
      <c r="Q8" s="73"/>
    </row>
    <row r="9" spans="1:17">
      <c r="A9" s="336" t="s">
        <v>92</v>
      </c>
      <c r="B9" s="667" t="s">
        <v>99</v>
      </c>
      <c r="C9" s="730"/>
      <c r="D9" s="720" t="s">
        <v>42</v>
      </c>
      <c r="E9" s="681" t="s">
        <v>42</v>
      </c>
      <c r="F9" s="681" t="s">
        <v>42</v>
      </c>
      <c r="G9" s="681" t="s">
        <v>42</v>
      </c>
      <c r="H9" s="681" t="s">
        <v>42</v>
      </c>
      <c r="I9" s="681" t="s">
        <v>42</v>
      </c>
      <c r="J9" s="681" t="s">
        <v>42</v>
      </c>
      <c r="K9" s="681" t="s">
        <v>42</v>
      </c>
      <c r="L9" s="681" t="s">
        <v>42</v>
      </c>
      <c r="M9" s="681" t="s">
        <v>42</v>
      </c>
      <c r="N9" s="681" t="s">
        <v>42</v>
      </c>
      <c r="O9" s="681" t="s">
        <v>42</v>
      </c>
      <c r="P9" s="731"/>
      <c r="Q9" s="73"/>
    </row>
    <row r="10" spans="1:17">
      <c r="A10" s="337" t="s">
        <v>98</v>
      </c>
      <c r="B10" s="74" t="s">
        <v>98</v>
      </c>
      <c r="C10" s="732" t="s">
        <v>941</v>
      </c>
      <c r="D10" s="1098">
        <f>'C.2.2-F 09'!D10</f>
        <v>44562</v>
      </c>
      <c r="E10" s="1098">
        <f>'C.2.2-F 09'!F10</f>
        <v>44621</v>
      </c>
      <c r="F10" s="1098">
        <f>'C.2.2-F 09'!F10</f>
        <v>44621</v>
      </c>
      <c r="G10" s="1098">
        <f>'C.2.2-F 09'!G10</f>
        <v>44652</v>
      </c>
      <c r="H10" s="1098">
        <f>'C.2.2-F 09'!H10</f>
        <v>44682</v>
      </c>
      <c r="I10" s="1098">
        <f>'C.2.2-F 09'!I10</f>
        <v>44713</v>
      </c>
      <c r="J10" s="1098">
        <f>'C.2.2-F 09'!J10</f>
        <v>44743</v>
      </c>
      <c r="K10" s="1098">
        <f>'C.2.2-F 09'!K10</f>
        <v>44774</v>
      </c>
      <c r="L10" s="1098">
        <f>'C.2.2-F 09'!L10</f>
        <v>44805</v>
      </c>
      <c r="M10" s="1098">
        <f>'C.2.2-F 09'!M10</f>
        <v>44835</v>
      </c>
      <c r="N10" s="1098">
        <f>'C.2.2-F 09'!N10</f>
        <v>44866</v>
      </c>
      <c r="O10" s="1098">
        <f>'C.2.2-F 09'!O10</f>
        <v>44896</v>
      </c>
      <c r="P10" s="1129" t="str">
        <f>'C.2.2 B 09'!P10</f>
        <v>Total</v>
      </c>
      <c r="Q10" s="68"/>
    </row>
    <row r="11" spans="1:17">
      <c r="A11" s="73"/>
      <c r="B11" s="73"/>
      <c r="C11" s="73"/>
      <c r="D11" s="682" t="s">
        <v>145</v>
      </c>
      <c r="E11" s="682" t="s">
        <v>145</v>
      </c>
      <c r="F11" s="682" t="s">
        <v>145</v>
      </c>
      <c r="G11" s="682" t="s">
        <v>145</v>
      </c>
      <c r="H11" s="682" t="s">
        <v>145</v>
      </c>
      <c r="I11" s="682" t="s">
        <v>145</v>
      </c>
      <c r="J11" s="682" t="s">
        <v>145</v>
      </c>
      <c r="K11" s="682" t="s">
        <v>145</v>
      </c>
      <c r="L11" s="682" t="s">
        <v>145</v>
      </c>
      <c r="M11" s="682" t="s">
        <v>145</v>
      </c>
      <c r="N11" s="682" t="s">
        <v>145</v>
      </c>
      <c r="O11" s="682" t="s">
        <v>145</v>
      </c>
      <c r="P11" s="682" t="s">
        <v>145</v>
      </c>
      <c r="Q11" s="682"/>
    </row>
    <row r="12" spans="1:17">
      <c r="A12" s="684">
        <v>1</v>
      </c>
      <c r="B12" s="570">
        <v>4030</v>
      </c>
      <c r="C12" s="73" t="s">
        <v>90</v>
      </c>
      <c r="D12" s="339">
        <v>0</v>
      </c>
      <c r="E12" s="339">
        <v>0</v>
      </c>
      <c r="F12" s="339">
        <v>0</v>
      </c>
      <c r="G12" s="339">
        <v>0</v>
      </c>
      <c r="H12" s="339">
        <v>0</v>
      </c>
      <c r="I12" s="339">
        <v>0</v>
      </c>
      <c r="J12" s="339">
        <v>0</v>
      </c>
      <c r="K12" s="339">
        <v>0</v>
      </c>
      <c r="L12" s="339">
        <v>0</v>
      </c>
      <c r="M12" s="339">
        <v>0</v>
      </c>
      <c r="N12" s="339">
        <v>0</v>
      </c>
      <c r="O12" s="339">
        <v>0</v>
      </c>
      <c r="P12" s="364">
        <f t="shared" ref="P12:P57" si="0">SUM(D12:O12)</f>
        <v>0</v>
      </c>
      <c r="Q12" s="73"/>
    </row>
    <row r="13" spans="1:17">
      <c r="A13" s="1036">
        <f>A12+1</f>
        <v>2</v>
      </c>
      <c r="B13" s="669">
        <v>4060</v>
      </c>
      <c r="C13" s="172" t="s">
        <v>853</v>
      </c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64"/>
      <c r="Q13" s="73"/>
    </row>
    <row r="14" spans="1:17">
      <c r="A14" s="1036">
        <f t="shared" ref="A14:A63" si="1">A13+1</f>
        <v>3</v>
      </c>
      <c r="B14" s="570">
        <v>4081</v>
      </c>
      <c r="C14" s="73" t="s">
        <v>854</v>
      </c>
      <c r="D14" s="339">
        <v>0</v>
      </c>
      <c r="E14" s="339">
        <v>0</v>
      </c>
      <c r="F14" s="339">
        <v>0</v>
      </c>
      <c r="G14" s="339">
        <v>0</v>
      </c>
      <c r="H14" s="339">
        <v>0</v>
      </c>
      <c r="I14" s="339">
        <v>0</v>
      </c>
      <c r="J14" s="339">
        <v>0</v>
      </c>
      <c r="K14" s="339">
        <v>0</v>
      </c>
      <c r="L14" s="339">
        <v>0</v>
      </c>
      <c r="M14" s="339">
        <v>0</v>
      </c>
      <c r="N14" s="339">
        <v>0</v>
      </c>
      <c r="O14" s="339">
        <v>0</v>
      </c>
      <c r="P14" s="364">
        <f t="shared" si="0"/>
        <v>0</v>
      </c>
      <c r="Q14" s="955"/>
    </row>
    <row r="15" spans="1:17">
      <c r="A15" s="1036">
        <f t="shared" si="1"/>
        <v>4</v>
      </c>
      <c r="B15" s="570">
        <v>8170</v>
      </c>
      <c r="C15" s="73" t="s">
        <v>877</v>
      </c>
      <c r="D15" s="88">
        <f>VLOOKUP($B15,'[13]Div 91 forecast'!$D$338:$AF$417,'[13]Div 91 forecast'!U$337,FALSE)</f>
        <v>-2.9994199946126128</v>
      </c>
      <c r="E15" s="88">
        <f>VLOOKUP($B15,'[13]Div 91 forecast'!$D$338:$AF$417,'[13]Div 91 forecast'!V$337,FALSE)</f>
        <v>49.740269527267756</v>
      </c>
      <c r="F15" s="88">
        <f>VLOOKUP($B15,'[13]Div 91 forecast'!$D$338:$AF$417,'[13]Div 91 forecast'!W$337,FALSE)</f>
        <v>53.040223785936604</v>
      </c>
      <c r="G15" s="88">
        <f>VLOOKUP($B15,'[13]Div 91 forecast'!$D$338:$AF$417,'[13]Div 91 forecast'!X$337,FALSE)</f>
        <v>72.859574105338893</v>
      </c>
      <c r="H15" s="88">
        <f>VLOOKUP($B15,'[13]Div 91 forecast'!$D$338:$AF$417,'[13]Div 91 forecast'!Y$337,FALSE)</f>
        <v>71.826680658907193</v>
      </c>
      <c r="I15" s="88">
        <f>VLOOKUP($B15,'[13]Div 91 forecast'!$D$338:$AF$417,'[13]Div 91 forecast'!Z$337,FALSE)</f>
        <v>70.184426980033876</v>
      </c>
      <c r="J15" s="88">
        <f>VLOOKUP($B15,'[13]Div 91 forecast'!$D$338:$AF$417,'[13]Div 91 forecast'!AA$337,FALSE)</f>
        <v>70.121198732735763</v>
      </c>
      <c r="K15" s="88">
        <f>VLOOKUP($B15,'[13]Div 91 forecast'!$D$338:$AF$417,'[13]Div 91 forecast'!AB$337,FALSE)</f>
        <v>69.992469222667054</v>
      </c>
      <c r="L15" s="88">
        <f>VLOOKUP($B15,'[13]Div 91 forecast'!$D$338:$AF$417,'[13]Div 91 forecast'!AC$337,FALSE)</f>
        <v>70.360777764966343</v>
      </c>
      <c r="M15" s="88">
        <f>VLOOKUP($B15,'[13]Div 91 forecast'!$D$338:$AF$417,'[13]Div 91 forecast'!AD$337,FALSE)</f>
        <v>53.875893122251824</v>
      </c>
      <c r="N15" s="88">
        <f>VLOOKUP($B15,'[13]Div 91 forecast'!$D$338:$AF$417,'[13]Div 91 forecast'!AE$337,FALSE)</f>
        <v>52.257041898454396</v>
      </c>
      <c r="O15" s="88">
        <f>VLOOKUP($B15,'[13]Div 91 forecast'!$D$338:$AF$417,'[13]Div 91 forecast'!AF$337,FALSE)</f>
        <v>53.415991660701941</v>
      </c>
      <c r="P15" s="95">
        <f t="shared" si="0"/>
        <v>684.67512746464911</v>
      </c>
      <c r="Q15" s="955"/>
    </row>
    <row r="16" spans="1:17">
      <c r="A16" s="1036">
        <f t="shared" si="1"/>
        <v>5</v>
      </c>
      <c r="B16" s="570">
        <v>8180</v>
      </c>
      <c r="C16" s="73" t="s">
        <v>878</v>
      </c>
      <c r="D16" s="88">
        <f>VLOOKUP($B16,'[13]Div 91 forecast'!$D$338:$AF$417,'[13]Div 91 forecast'!U$337,FALSE)</f>
        <v>-2.0998137509039445</v>
      </c>
      <c r="E16" s="88">
        <f>VLOOKUP($B16,'[13]Div 91 forecast'!$D$338:$AF$417,'[13]Div 91 forecast'!V$337,FALSE)</f>
        <v>34.821832925907017</v>
      </c>
      <c r="F16" s="88">
        <f>VLOOKUP($B16,'[13]Div 91 forecast'!$D$338:$AF$417,'[13]Div 91 forecast'!W$337,FALSE)</f>
        <v>37.132042680510494</v>
      </c>
      <c r="G16" s="88">
        <f>VLOOKUP($B16,'[13]Div 91 forecast'!$D$338:$AF$417,'[13]Div 91 forecast'!X$337,FALSE)</f>
        <v>51.007039983126845</v>
      </c>
      <c r="H16" s="88">
        <f>VLOOKUP($B16,'[13]Div 91 forecast'!$D$338:$AF$417,'[13]Div 91 forecast'!Y$337,FALSE)</f>
        <v>50.283938894939297</v>
      </c>
      <c r="I16" s="88">
        <f>VLOOKUP($B16,'[13]Div 91 forecast'!$D$338:$AF$417,'[13]Div 91 forecast'!Z$337,FALSE)</f>
        <v>49.134240998824509</v>
      </c>
      <c r="J16" s="88">
        <f>VLOOKUP($B16,'[13]Div 91 forecast'!$D$338:$AF$417,'[13]Div 91 forecast'!AA$337,FALSE)</f>
        <v>49.089976593252572</v>
      </c>
      <c r="K16" s="88">
        <f>VLOOKUP($B16,'[13]Div 91 forecast'!$D$338:$AF$417,'[13]Div 91 forecast'!AB$337,FALSE)</f>
        <v>48.999856504743832</v>
      </c>
      <c r="L16" s="88">
        <f>VLOOKUP($B16,'[13]Div 91 forecast'!$D$338:$AF$417,'[13]Div 91 forecast'!AC$337,FALSE)</f>
        <v>49.257699468745045</v>
      </c>
      <c r="M16" s="88">
        <f>VLOOKUP($B16,'[13]Div 91 forecast'!$D$338:$AF$417,'[13]Div 91 forecast'!AD$337,FALSE)</f>
        <v>37.717072441849496</v>
      </c>
      <c r="N16" s="88">
        <f>VLOOKUP($B16,'[13]Div 91 forecast'!$D$338:$AF$417,'[13]Div 91 forecast'!AE$337,FALSE)</f>
        <v>36.583757978885615</v>
      </c>
      <c r="O16" s="88">
        <f>VLOOKUP($B16,'[13]Div 91 forecast'!$D$338:$AF$417,'[13]Div 91 forecast'!AF$337,FALSE)</f>
        <v>37.39510772375138</v>
      </c>
      <c r="P16" s="95">
        <f t="shared" si="0"/>
        <v>479.32275244363217</v>
      </c>
      <c r="Q16" s="955"/>
    </row>
    <row r="17" spans="1:17">
      <c r="A17" s="1036">
        <f t="shared" si="1"/>
        <v>6</v>
      </c>
      <c r="B17" s="570">
        <v>8190</v>
      </c>
      <c r="C17" s="73" t="s">
        <v>879</v>
      </c>
      <c r="D17" s="88">
        <f>VLOOKUP($B17,'[13]Div 91 forecast'!$D$338:$AF$417,'[13]Div 91 forecast'!U$337,FALSE)</f>
        <v>-2.5999291273241405</v>
      </c>
      <c r="E17" s="88">
        <f>VLOOKUP($B17,'[13]Div 91 forecast'!$D$338:$AF$417,'[13]Div 91 forecast'!V$337,FALSE)</f>
        <v>43.115394235277527</v>
      </c>
      <c r="F17" s="88">
        <f>VLOOKUP($B17,'[13]Div 91 forecast'!$D$338:$AF$417,'[13]Div 91 forecast'!W$337,FALSE)</f>
        <v>45.975829656579229</v>
      </c>
      <c r="G17" s="88">
        <f>VLOOKUP($B17,'[13]Div 91 forecast'!$D$338:$AF$417,'[13]Div 91 forecast'!X$337,FALSE)</f>
        <v>63.155453141322376</v>
      </c>
      <c r="H17" s="88">
        <f>VLOOKUP($B17,'[13]Div 91 forecast'!$D$338:$AF$417,'[13]Div 91 forecast'!Y$337,FALSE)</f>
        <v>62.260130124998078</v>
      </c>
      <c r="I17" s="88">
        <f>VLOOKUP($B17,'[13]Div 91 forecast'!$D$338:$AF$417,'[13]Div 91 forecast'!Z$337,FALSE)</f>
        <v>60.836607183287001</v>
      </c>
      <c r="J17" s="88">
        <f>VLOOKUP($B17,'[13]Div 91 forecast'!$D$338:$AF$417,'[13]Div 91 forecast'!AA$337,FALSE)</f>
        <v>60.78180026657801</v>
      </c>
      <c r="K17" s="88">
        <f>VLOOKUP($B17,'[13]Div 91 forecast'!$D$338:$AF$417,'[13]Div 91 forecast'!AB$337,FALSE)</f>
        <v>60.670216159192265</v>
      </c>
      <c r="L17" s="88">
        <f>VLOOKUP($B17,'[13]Div 91 forecast'!$D$338:$AF$417,'[13]Div 91 forecast'!AC$337,FALSE)</f>
        <v>60.989469917814326</v>
      </c>
      <c r="M17" s="88">
        <f>VLOOKUP($B17,'[13]Div 91 forecast'!$D$338:$AF$417,'[13]Div 91 forecast'!AD$337,FALSE)</f>
        <v>46.70019671827783</v>
      </c>
      <c r="N17" s="88">
        <f>VLOOKUP($B17,'[13]Div 91 forecast'!$D$338:$AF$417,'[13]Div 91 forecast'!AE$337,FALSE)</f>
        <v>45.296959273333457</v>
      </c>
      <c r="O17" s="88">
        <f>VLOOKUP($B17,'[13]Div 91 forecast'!$D$338:$AF$417,'[13]Div 91 forecast'!AF$337,FALSE)</f>
        <v>46.301549243856059</v>
      </c>
      <c r="P17" s="95">
        <f t="shared" si="0"/>
        <v>593.48367679319199</v>
      </c>
      <c r="Q17" s="955"/>
    </row>
    <row r="18" spans="1:17">
      <c r="A18" s="1036">
        <f t="shared" si="1"/>
        <v>7</v>
      </c>
      <c r="B18" s="570">
        <v>8210</v>
      </c>
      <c r="C18" s="73" t="s">
        <v>881</v>
      </c>
      <c r="D18" s="88">
        <f>VLOOKUP($B18,'[13]Div 91 forecast'!$D$338:$AF$417,'[13]Div 91 forecast'!U$337,FALSE)</f>
        <v>-14.964599413217073</v>
      </c>
      <c r="E18" s="88">
        <f>VLOOKUP($B18,'[13]Div 91 forecast'!$D$338:$AF$417,'[13]Div 91 forecast'!V$337,FALSE)</f>
        <v>248.16238123302404</v>
      </c>
      <c r="F18" s="88">
        <f>VLOOKUP($B18,'[13]Div 91 forecast'!$D$338:$AF$417,'[13]Div 91 forecast'!W$337,FALSE)</f>
        <v>264.62639549298666</v>
      </c>
      <c r="G18" s="88">
        <f>VLOOKUP($B18,'[13]Div 91 forecast'!$D$338:$AF$417,'[13]Div 91 forecast'!X$337,FALSE)</f>
        <v>363.50839224328723</v>
      </c>
      <c r="H18" s="88">
        <f>VLOOKUP($B18,'[13]Div 91 forecast'!$D$338:$AF$417,'[13]Div 91 forecast'!Y$337,FALSE)</f>
        <v>358.35511704669921</v>
      </c>
      <c r="I18" s="88">
        <f>VLOOKUP($B18,'[13]Div 91 forecast'!$D$338:$AF$417,'[13]Div 91 forecast'!Z$337,FALSE)</f>
        <v>350.16164348068884</v>
      </c>
      <c r="J18" s="88">
        <f>VLOOKUP($B18,'[13]Div 91 forecast'!$D$338:$AF$417,'[13]Div 91 forecast'!AA$337,FALSE)</f>
        <v>349.8461873611339</v>
      </c>
      <c r="K18" s="88">
        <f>VLOOKUP($B18,'[13]Div 91 forecast'!$D$338:$AF$417,'[13]Div 91 forecast'!AB$337,FALSE)</f>
        <v>349.20393467418177</v>
      </c>
      <c r="L18" s="88">
        <f>VLOOKUP($B18,'[13]Div 91 forecast'!$D$338:$AF$417,'[13]Div 91 forecast'!AC$337,FALSE)</f>
        <v>351.04148653616653</v>
      </c>
      <c r="M18" s="88">
        <f>VLOOKUP($B18,'[13]Div 91 forecast'!$D$338:$AF$417,'[13]Div 91 forecast'!AD$337,FALSE)</f>
        <v>268.79568718348941</v>
      </c>
      <c r="N18" s="88">
        <f>VLOOKUP($B18,'[13]Div 91 forecast'!$D$338:$AF$417,'[13]Div 91 forecast'!AE$337,FALSE)</f>
        <v>260.71897231286874</v>
      </c>
      <c r="O18" s="88">
        <f>VLOOKUP($B18,'[13]Div 91 forecast'!$D$338:$AF$417,'[13]Div 91 forecast'!AF$337,FALSE)</f>
        <v>266.50116319084799</v>
      </c>
      <c r="P18" s="95">
        <f t="shared" si="0"/>
        <v>3415.9567613421573</v>
      </c>
      <c r="Q18" s="955"/>
    </row>
    <row r="19" spans="1:17">
      <c r="A19" s="1036">
        <f t="shared" si="1"/>
        <v>8</v>
      </c>
      <c r="B19" s="570">
        <v>8240</v>
      </c>
      <c r="C19" s="73" t="s">
        <v>882</v>
      </c>
      <c r="D19" s="88">
        <f>VLOOKUP($B19,'[13]Div 91 forecast'!$D$338:$AF$417,'[13]Div 91 forecast'!U$337,FALSE)</f>
        <v>0</v>
      </c>
      <c r="E19" s="88">
        <f>VLOOKUP($B19,'[13]Div 91 forecast'!$D$338:$AF$417,'[13]Div 91 forecast'!V$337,FALSE)</f>
        <v>0</v>
      </c>
      <c r="F19" s="88">
        <f>VLOOKUP($B19,'[13]Div 91 forecast'!$D$338:$AF$417,'[13]Div 91 forecast'!W$337,FALSE)</f>
        <v>0</v>
      </c>
      <c r="G19" s="88">
        <f>VLOOKUP($B19,'[13]Div 91 forecast'!$D$338:$AF$417,'[13]Div 91 forecast'!X$337,FALSE)</f>
        <v>0</v>
      </c>
      <c r="H19" s="88">
        <f>VLOOKUP($B19,'[13]Div 91 forecast'!$D$338:$AF$417,'[13]Div 91 forecast'!Y$337,FALSE)</f>
        <v>0</v>
      </c>
      <c r="I19" s="88">
        <f>VLOOKUP($B19,'[13]Div 91 forecast'!$D$338:$AF$417,'[13]Div 91 forecast'!Z$337,FALSE)</f>
        <v>0</v>
      </c>
      <c r="J19" s="88">
        <f>VLOOKUP($B19,'[13]Div 91 forecast'!$D$338:$AF$417,'[13]Div 91 forecast'!AA$337,FALSE)</f>
        <v>0</v>
      </c>
      <c r="K19" s="88">
        <f>VLOOKUP($B19,'[13]Div 91 forecast'!$D$338:$AF$417,'[13]Div 91 forecast'!AB$337,FALSE)</f>
        <v>0</v>
      </c>
      <c r="L19" s="88">
        <f>VLOOKUP($B19,'[13]Div 91 forecast'!$D$338:$AF$417,'[13]Div 91 forecast'!AC$337,FALSE)</f>
        <v>0</v>
      </c>
      <c r="M19" s="88">
        <f>VLOOKUP($B19,'[13]Div 91 forecast'!$D$338:$AF$417,'[13]Div 91 forecast'!AD$337,FALSE)</f>
        <v>0</v>
      </c>
      <c r="N19" s="88">
        <f>VLOOKUP($B19,'[13]Div 91 forecast'!$D$338:$AF$417,'[13]Div 91 forecast'!AE$337,FALSE)</f>
        <v>0</v>
      </c>
      <c r="O19" s="88">
        <f>VLOOKUP($B19,'[13]Div 91 forecast'!$D$338:$AF$417,'[13]Div 91 forecast'!AF$337,FALSE)</f>
        <v>0</v>
      </c>
      <c r="P19" s="95">
        <f t="shared" si="0"/>
        <v>0</v>
      </c>
      <c r="Q19" s="955"/>
    </row>
    <row r="20" spans="1:17">
      <c r="A20" s="1036">
        <f t="shared" si="1"/>
        <v>9</v>
      </c>
      <c r="B20" s="570">
        <v>8250</v>
      </c>
      <c r="C20" s="73" t="s">
        <v>893</v>
      </c>
      <c r="D20" s="88">
        <f>VLOOKUP($B20,'[13]Div 91 forecast'!$D$338:$AF$417,'[13]Div 91 forecast'!U$337,FALSE)</f>
        <v>-81.584154457249866</v>
      </c>
      <c r="E20" s="88">
        <f>VLOOKUP($B20,'[13]Div 91 forecast'!$D$338:$AF$417,'[13]Div 91 forecast'!V$337,FALSE)</f>
        <v>1352.9341803237401</v>
      </c>
      <c r="F20" s="88">
        <f>VLOOKUP($B20,'[13]Div 91 forecast'!$D$338:$AF$417,'[13]Div 91 forecast'!W$337,FALSE)</f>
        <v>1442.6928598099953</v>
      </c>
      <c r="G20" s="88">
        <f>VLOOKUP($B20,'[13]Div 91 forecast'!$D$338:$AF$417,'[13]Div 91 forecast'!X$337,FALSE)</f>
        <v>1981.778729946463</v>
      </c>
      <c r="H20" s="88">
        <f>VLOOKUP($B20,'[13]Div 91 forecast'!$D$338:$AF$417,'[13]Div 91 forecast'!Y$337,FALSE)</f>
        <v>1953.6840521011059</v>
      </c>
      <c r="I20" s="88">
        <f>VLOOKUP($B20,'[13]Div 91 forecast'!$D$338:$AF$417,'[13]Div 91 forecast'!Z$337,FALSE)</f>
        <v>1909.0147900318264</v>
      </c>
      <c r="J20" s="88">
        <f>VLOOKUP($B20,'[13]Div 91 forecast'!$D$338:$AF$417,'[13]Div 91 forecast'!AA$337,FALSE)</f>
        <v>1907.2949831682008</v>
      </c>
      <c r="K20" s="88">
        <f>VLOOKUP($B20,'[13]Div 91 forecast'!$D$338:$AF$417,'[13]Div 91 forecast'!AB$337,FALSE)</f>
        <v>1903.7935434726883</v>
      </c>
      <c r="L20" s="88">
        <f>VLOOKUP($B20,'[13]Div 91 forecast'!$D$338:$AF$417,'[13]Div 91 forecast'!AC$337,FALSE)</f>
        <v>1913.811527301842</v>
      </c>
      <c r="M20" s="88">
        <f>VLOOKUP($B20,'[13]Div 91 forecast'!$D$338:$AF$417,'[13]Div 91 forecast'!AD$337,FALSE)</f>
        <v>1465.4230464232687</v>
      </c>
      <c r="N20" s="88">
        <f>VLOOKUP($B20,'[13]Div 91 forecast'!$D$338:$AF$417,'[13]Div 91 forecast'!AE$337,FALSE)</f>
        <v>1421.3903305906015</v>
      </c>
      <c r="O20" s="88">
        <f>VLOOKUP($B20,'[13]Div 91 forecast'!$D$338:$AF$417,'[13]Div 91 forecast'!AF$337,FALSE)</f>
        <v>1452.9137373096423</v>
      </c>
      <c r="P20" s="95">
        <f t="shared" si="0"/>
        <v>18623.147626022124</v>
      </c>
      <c r="Q20" s="955"/>
    </row>
    <row r="21" spans="1:17">
      <c r="A21" s="1036">
        <f t="shared" si="1"/>
        <v>10</v>
      </c>
      <c r="B21" s="314">
        <v>8500</v>
      </c>
      <c r="C21" s="172" t="s">
        <v>898</v>
      </c>
      <c r="D21" s="88">
        <f>VLOOKUP($B21,'[13]Div 91 forecast'!$D$338:$AF$417,'[13]Div 91 forecast'!U$337,FALSE)</f>
        <v>4671.5487365951985</v>
      </c>
      <c r="E21" s="88">
        <f>VLOOKUP($B21,'[13]Div 91 forecast'!$D$338:$AF$417,'[13]Div 91 forecast'!V$337,FALSE)</f>
        <v>5194.3492363827645</v>
      </c>
      <c r="F21" s="88">
        <f>VLOOKUP($B21,'[13]Div 91 forecast'!$D$338:$AF$417,'[13]Div 91 forecast'!W$337,FALSE)</f>
        <v>4691.6015151283354</v>
      </c>
      <c r="G21" s="88">
        <f>VLOOKUP($B21,'[13]Div 91 forecast'!$D$338:$AF$417,'[13]Div 91 forecast'!X$337,FALSE)</f>
        <v>9661.1592707280524</v>
      </c>
      <c r="H21" s="88">
        <f>VLOOKUP($B21,'[13]Div 91 forecast'!$D$338:$AF$417,'[13]Div 91 forecast'!Y$337,FALSE)</f>
        <v>9675.2435950747567</v>
      </c>
      <c r="I21" s="88">
        <f>VLOOKUP($B21,'[13]Div 91 forecast'!$D$338:$AF$417,'[13]Div 91 forecast'!Z$337,FALSE)</f>
        <v>8763.7329262834428</v>
      </c>
      <c r="J21" s="88">
        <f>VLOOKUP($B21,'[13]Div 91 forecast'!$D$338:$AF$417,'[13]Div 91 forecast'!AA$337,FALSE)</f>
        <v>9238.8839485337739</v>
      </c>
      <c r="K21" s="88">
        <f>VLOOKUP($B21,'[13]Div 91 forecast'!$D$338:$AF$417,'[13]Div 91 forecast'!AB$337,FALSE)</f>
        <v>8650.715595867794</v>
      </c>
      <c r="L21" s="88">
        <f>VLOOKUP($B21,'[13]Div 91 forecast'!$D$338:$AF$417,'[13]Div 91 forecast'!AC$337,FALSE)</f>
        <v>11644.979037982863</v>
      </c>
      <c r="M21" s="88">
        <f>VLOOKUP($B21,'[13]Div 91 forecast'!$D$338:$AF$417,'[13]Div 91 forecast'!AD$337,FALSE)</f>
        <v>4458.0795713997013</v>
      </c>
      <c r="N21" s="88">
        <f>VLOOKUP($B21,'[13]Div 91 forecast'!$D$338:$AF$417,'[13]Div 91 forecast'!AE$337,FALSE)</f>
        <v>5070.7081987428328</v>
      </c>
      <c r="O21" s="88">
        <f>VLOOKUP($B21,'[13]Div 91 forecast'!$D$338:$AF$417,'[13]Div 91 forecast'!AF$337,FALSE)</f>
        <v>5121.6427417511704</v>
      </c>
      <c r="P21" s="95">
        <f t="shared" si="0"/>
        <v>86842.644374470707</v>
      </c>
      <c r="Q21" s="955"/>
    </row>
    <row r="22" spans="1:17">
      <c r="A22" s="1036">
        <f t="shared" si="1"/>
        <v>11</v>
      </c>
      <c r="B22" s="570">
        <v>8560</v>
      </c>
      <c r="C22" s="73" t="s">
        <v>899</v>
      </c>
      <c r="D22" s="88">
        <f>VLOOKUP($B22,'[13]Div 91 forecast'!$D$338:$AF$417,'[13]Div 91 forecast'!U$337,FALSE)</f>
        <v>-2.699859674323914</v>
      </c>
      <c r="E22" s="88">
        <f>VLOOKUP($B22,'[13]Div 91 forecast'!$D$338:$AF$417,'[13]Div 91 forecast'!V$337,FALSE)</f>
        <v>44.772572073227536</v>
      </c>
      <c r="F22" s="88">
        <f>VLOOKUP($B22,'[13]Div 91 forecast'!$D$338:$AF$417,'[13]Div 91 forecast'!W$337,FALSE)</f>
        <v>47.742950828485561</v>
      </c>
      <c r="G22" s="88">
        <f>VLOOKUP($B22,'[13]Div 91 forecast'!$D$338:$AF$417,'[13]Div 91 forecast'!X$337,FALSE)</f>
        <v>65.582888147955146</v>
      </c>
      <c r="H22" s="88">
        <f>VLOOKUP($B22,'[13]Div 91 forecast'!$D$338:$AF$417,'[13]Div 91 forecast'!Y$337,FALSE)</f>
        <v>64.65315260944999</v>
      </c>
      <c r="I22" s="88">
        <f>VLOOKUP($B22,'[13]Div 91 forecast'!$D$338:$AF$417,'[13]Div 91 forecast'!Z$337,FALSE)</f>
        <v>63.174915320052719</v>
      </c>
      <c r="J22" s="88">
        <f>VLOOKUP($B22,'[13]Div 91 forecast'!$D$338:$AF$417,'[13]Div 91 forecast'!AA$337,FALSE)</f>
        <v>63.118001851627128</v>
      </c>
      <c r="K22" s="88">
        <f>VLOOKUP($B22,'[13]Div 91 forecast'!$D$338:$AF$417,'[13]Div 91 forecast'!AB$337,FALSE)</f>
        <v>63.002128911607429</v>
      </c>
      <c r="L22" s="88">
        <f>VLOOKUP($B22,'[13]Div 91 forecast'!$D$338:$AF$417,'[13]Div 91 forecast'!AC$337,FALSE)</f>
        <v>63.33365346730443</v>
      </c>
      <c r="M22" s="88">
        <f>VLOOKUP($B22,'[13]Div 91 forecast'!$D$338:$AF$417,'[13]Div 91 forecast'!AD$337,FALSE)</f>
        <v>48.495159570922056</v>
      </c>
      <c r="N22" s="88">
        <f>VLOOKUP($B22,'[13]Div 91 forecast'!$D$338:$AF$417,'[13]Div 91 forecast'!AE$337,FALSE)</f>
        <v>47.037987469078701</v>
      </c>
      <c r="O22" s="88">
        <f>VLOOKUP($B22,'[13]Div 91 forecast'!$D$338:$AF$417,'[13]Div 91 forecast'!AF$337,FALSE)</f>
        <v>48.081189732609516</v>
      </c>
      <c r="P22" s="95">
        <f t="shared" si="0"/>
        <v>616.29474030799634</v>
      </c>
    </row>
    <row r="23" spans="1:17">
      <c r="A23" s="1036">
        <f t="shared" si="1"/>
        <v>12</v>
      </c>
      <c r="B23" s="570">
        <v>8570</v>
      </c>
      <c r="C23" s="73" t="s">
        <v>900</v>
      </c>
      <c r="D23" s="88">
        <f>VLOOKUP($B23,'[13]Div 91 forecast'!$D$338:$AF$417,'[13]Div 91 forecast'!U$337,FALSE)</f>
        <v>0.95708126624975609</v>
      </c>
      <c r="E23" s="88">
        <f>VLOOKUP($B23,'[13]Div 91 forecast'!$D$338:$AF$417,'[13]Div 91 forecast'!V$337,FALSE)</f>
        <v>105.16892439846806</v>
      </c>
      <c r="F23" s="88">
        <f>VLOOKUP($B23,'[13]Div 91 forecast'!$D$338:$AF$417,'[13]Div 91 forecast'!W$337,FALSE)</f>
        <v>111.98921226060892</v>
      </c>
      <c r="G23" s="88">
        <f>VLOOKUP($B23,'[13]Div 91 forecast'!$D$338:$AF$417,'[13]Div 91 forecast'!X$337,FALSE)</f>
        <v>149.5236413386078</v>
      </c>
      <c r="H23" s="88">
        <f>VLOOKUP($B23,'[13]Div 91 forecast'!$D$338:$AF$417,'[13]Div 91 forecast'!Y$337,FALSE)</f>
        <v>147.28656142198815</v>
      </c>
      <c r="I23" s="88">
        <f>VLOOKUP($B23,'[13]Div 91 forecast'!$D$338:$AF$417,'[13]Div 91 forecast'!Z$337,FALSE)</f>
        <v>144.1726249953021</v>
      </c>
      <c r="J23" s="88">
        <f>VLOOKUP($B23,'[13]Div 91 forecast'!$D$338:$AF$417,'[13]Div 91 forecast'!AA$337,FALSE)</f>
        <v>144.04615143373596</v>
      </c>
      <c r="K23" s="88">
        <f>VLOOKUP($B23,'[13]Div 91 forecast'!$D$338:$AF$417,'[13]Div 91 forecast'!AB$337,FALSE)</f>
        <v>143.78865766611193</v>
      </c>
      <c r="L23" s="88">
        <f>VLOOKUP($B23,'[13]Div 91 forecast'!$D$338:$AF$417,'[13]Div 91 forecast'!AC$337,FALSE)</f>
        <v>144.53072339575303</v>
      </c>
      <c r="M23" s="88">
        <f>VLOOKUP($B23,'[13]Div 91 forecast'!$D$338:$AF$417,'[13]Div 91 forecast'!AD$337,FALSE)</f>
        <v>114.05815132190908</v>
      </c>
      <c r="N23" s="88">
        <f>VLOOKUP($B23,'[13]Div 91 forecast'!$D$338:$AF$417,'[13]Div 91 forecast'!AE$337,FALSE)</f>
        <v>108.95850734303392</v>
      </c>
      <c r="O23" s="88">
        <f>VLOOKUP($B23,'[13]Div 91 forecast'!$D$338:$AF$417,'[13]Div 91 forecast'!AF$337,FALSE)</f>
        <v>112.66736127730947</v>
      </c>
      <c r="P23" s="95">
        <f t="shared" si="0"/>
        <v>1427.1475981190783</v>
      </c>
    </row>
    <row r="24" spans="1:17">
      <c r="A24" s="1036">
        <f t="shared" si="1"/>
        <v>13</v>
      </c>
      <c r="B24" s="314">
        <v>8600</v>
      </c>
      <c r="C24" s="172" t="s">
        <v>900</v>
      </c>
      <c r="D24" s="88">
        <f>VLOOKUP($B24,'[13]Div 91 forecast'!$D$338:$AF$417,'[13]Div 91 forecast'!U$337,FALSE)</f>
        <v>30.58411753610126</v>
      </c>
      <c r="E24" s="88">
        <f>VLOOKUP($B24,'[13]Div 91 forecast'!$D$338:$AF$417,'[13]Div 91 forecast'!V$337,FALSE)</f>
        <v>24.705216607633137</v>
      </c>
      <c r="F24" s="88">
        <f>VLOOKUP($B24,'[13]Div 91 forecast'!$D$338:$AF$417,'[13]Div 91 forecast'!W$337,FALSE)</f>
        <v>20.663760400729352</v>
      </c>
      <c r="G24" s="88">
        <f>VLOOKUP($B24,'[13]Div 91 forecast'!$D$338:$AF$417,'[13]Div 91 forecast'!X$337,FALSE)</f>
        <v>3691.0276025401877</v>
      </c>
      <c r="H24" s="88">
        <f>VLOOKUP($B24,'[13]Div 91 forecast'!$D$338:$AF$417,'[13]Div 91 forecast'!Y$337,FALSE)</f>
        <v>3751.0846100643425</v>
      </c>
      <c r="I24" s="88">
        <f>VLOOKUP($B24,'[13]Div 91 forecast'!$D$338:$AF$417,'[13]Div 91 forecast'!Z$337,FALSE)</f>
        <v>3854.5993754322717</v>
      </c>
      <c r="J24" s="88">
        <f>VLOOKUP($B24,'[13]Div 91 forecast'!$D$338:$AF$417,'[13]Div 91 forecast'!AA$337,FALSE)</f>
        <v>4969.0545553622696</v>
      </c>
      <c r="K24" s="88">
        <f>VLOOKUP($B24,'[13]Div 91 forecast'!$D$338:$AF$417,'[13]Div 91 forecast'!AB$337,FALSE)</f>
        <v>4325.1419948441717</v>
      </c>
      <c r="L24" s="88">
        <f>VLOOKUP($B24,'[13]Div 91 forecast'!$D$338:$AF$417,'[13]Div 91 forecast'!AC$337,FALSE)</f>
        <v>4313.8452832561352</v>
      </c>
      <c r="M24" s="88">
        <f>VLOOKUP($B24,'[13]Div 91 forecast'!$D$338:$AF$417,'[13]Div 91 forecast'!AD$337,FALSE)</f>
        <v>42.656613501561409</v>
      </c>
      <c r="N24" s="88">
        <f>VLOOKUP($B24,'[13]Div 91 forecast'!$D$338:$AF$417,'[13]Div 91 forecast'!AE$337,FALSE)</f>
        <v>22.743277513465923</v>
      </c>
      <c r="O24" s="88">
        <f>VLOOKUP($B24,'[13]Div 91 forecast'!$D$338:$AF$417,'[13]Div 91 forecast'!AF$337,FALSE)</f>
        <v>23.647014440508872</v>
      </c>
      <c r="P24" s="95">
        <f t="shared" ref="P24" si="2">SUM(D24:O24)</f>
        <v>25069.753421499379</v>
      </c>
    </row>
    <row r="25" spans="1:17">
      <c r="A25" s="1036">
        <f t="shared" si="1"/>
        <v>14</v>
      </c>
      <c r="B25" s="570">
        <v>8650</v>
      </c>
      <c r="C25" s="535" t="s">
        <v>1347</v>
      </c>
      <c r="D25" s="88">
        <f>VLOOKUP($B25,'[13]Div 91 forecast'!$D$338:$AF$417,'[13]Div 91 forecast'!U$337,FALSE)</f>
        <v>0</v>
      </c>
      <c r="E25" s="88">
        <f>VLOOKUP($B25,'[13]Div 91 forecast'!$D$338:$AF$417,'[13]Div 91 forecast'!V$337,FALSE)</f>
        <v>0</v>
      </c>
      <c r="F25" s="88">
        <f>VLOOKUP($B25,'[13]Div 91 forecast'!$D$338:$AF$417,'[13]Div 91 forecast'!W$337,FALSE)</f>
        <v>0</v>
      </c>
      <c r="G25" s="88">
        <f>VLOOKUP($B25,'[13]Div 91 forecast'!$D$338:$AF$417,'[13]Div 91 forecast'!X$337,FALSE)</f>
        <v>0</v>
      </c>
      <c r="H25" s="88">
        <f>VLOOKUP($B25,'[13]Div 91 forecast'!$D$338:$AF$417,'[13]Div 91 forecast'!Y$337,FALSE)</f>
        <v>0</v>
      </c>
      <c r="I25" s="88">
        <f>VLOOKUP($B25,'[13]Div 91 forecast'!$D$338:$AF$417,'[13]Div 91 forecast'!Z$337,FALSE)</f>
        <v>0</v>
      </c>
      <c r="J25" s="88">
        <f>VLOOKUP($B25,'[13]Div 91 forecast'!$D$338:$AF$417,'[13]Div 91 forecast'!AA$337,FALSE)</f>
        <v>0</v>
      </c>
      <c r="K25" s="88">
        <f>VLOOKUP($B25,'[13]Div 91 forecast'!$D$338:$AF$417,'[13]Div 91 forecast'!AB$337,FALSE)</f>
        <v>0</v>
      </c>
      <c r="L25" s="88">
        <f>VLOOKUP($B25,'[13]Div 91 forecast'!$D$338:$AF$417,'[13]Div 91 forecast'!AC$337,FALSE)</f>
        <v>0</v>
      </c>
      <c r="M25" s="88">
        <f>VLOOKUP($B25,'[13]Div 91 forecast'!$D$338:$AF$417,'[13]Div 91 forecast'!AD$337,FALSE)</f>
        <v>0</v>
      </c>
      <c r="N25" s="88">
        <f>VLOOKUP($B25,'[13]Div 91 forecast'!$D$338:$AF$417,'[13]Div 91 forecast'!AE$337,FALSE)</f>
        <v>0</v>
      </c>
      <c r="O25" s="88">
        <f>VLOOKUP($B25,'[13]Div 91 forecast'!$D$338:$AF$417,'[13]Div 91 forecast'!AF$337,FALSE)</f>
        <v>0</v>
      </c>
      <c r="P25" s="95">
        <f t="shared" si="0"/>
        <v>0</v>
      </c>
    </row>
    <row r="26" spans="1:17">
      <c r="A26" s="1036">
        <f t="shared" si="1"/>
        <v>15</v>
      </c>
      <c r="B26" s="570">
        <v>8700</v>
      </c>
      <c r="C26" s="73" t="s">
        <v>903</v>
      </c>
      <c r="D26" s="88">
        <f>VLOOKUP($B26,'[13]Div 91 forecast'!$D$338:$AF$417,'[13]Div 91 forecast'!U$337,FALSE)</f>
        <v>257910.95091241688</v>
      </c>
      <c r="E26" s="88">
        <f>VLOOKUP($B26,'[13]Div 91 forecast'!$D$338:$AF$417,'[13]Div 91 forecast'!V$337,FALSE)</f>
        <v>209571.70048834904</v>
      </c>
      <c r="F26" s="88">
        <f>VLOOKUP($B26,'[13]Div 91 forecast'!$D$338:$AF$417,'[13]Div 91 forecast'!W$337,FALSE)</f>
        <v>174849.38143388851</v>
      </c>
      <c r="G26" s="88">
        <f>VLOOKUP($B26,'[13]Div 91 forecast'!$D$338:$AF$417,'[13]Div 91 forecast'!X$337,FALSE)</f>
        <v>285806.84727841674</v>
      </c>
      <c r="H26" s="88">
        <f>VLOOKUP($B26,'[13]Div 91 forecast'!$D$338:$AF$417,'[13]Div 91 forecast'!Y$337,FALSE)</f>
        <v>251735.51368854716</v>
      </c>
      <c r="I26" s="88">
        <f>VLOOKUP($B26,'[13]Div 91 forecast'!$D$338:$AF$417,'[13]Div 91 forecast'!Z$337,FALSE)</f>
        <v>233617.55148095393</v>
      </c>
      <c r="J26" s="88">
        <f>VLOOKUP($B26,'[13]Div 91 forecast'!$D$338:$AF$417,'[13]Div 91 forecast'!AA$337,FALSE)</f>
        <v>245681.35321148491</v>
      </c>
      <c r="K26" s="88">
        <f>VLOOKUP($B26,'[13]Div 91 forecast'!$D$338:$AF$417,'[13]Div 91 forecast'!AB$337,FALSE)</f>
        <v>307865.32067933213</v>
      </c>
      <c r="L26" s="88">
        <f>VLOOKUP($B26,'[13]Div 91 forecast'!$D$338:$AF$417,'[13]Div 91 forecast'!AC$337,FALSE)</f>
        <v>219760.54932104688</v>
      </c>
      <c r="M26" s="88">
        <f>VLOOKUP($B26,'[13]Div 91 forecast'!$D$338:$AF$417,'[13]Div 91 forecast'!AD$337,FALSE)</f>
        <v>180797.5596150026</v>
      </c>
      <c r="N26" s="88">
        <f>VLOOKUP($B26,'[13]Div 91 forecast'!$D$338:$AF$417,'[13]Div 91 forecast'!AE$337,FALSE)</f>
        <v>149318.80401983683</v>
      </c>
      <c r="O26" s="88">
        <f>VLOOKUP($B26,'[13]Div 91 forecast'!$D$338:$AF$417,'[13]Div 91 forecast'!AF$337,FALSE)</f>
        <v>174250.71906173188</v>
      </c>
      <c r="P26" s="95">
        <f t="shared" si="0"/>
        <v>2691166.2511910074</v>
      </c>
    </row>
    <row r="27" spans="1:17">
      <c r="A27" s="1036">
        <f t="shared" si="1"/>
        <v>16</v>
      </c>
      <c r="B27" s="570">
        <v>8711</v>
      </c>
      <c r="C27" s="73" t="s">
        <v>188</v>
      </c>
      <c r="D27" s="88">
        <f>VLOOKUP($B27,'[13]Div 91 forecast'!$D$338:$AF$417,'[13]Div 91 forecast'!U$337,FALSE)</f>
        <v>0</v>
      </c>
      <c r="E27" s="88">
        <f>VLOOKUP($B27,'[13]Div 91 forecast'!$D$338:$AF$417,'[13]Div 91 forecast'!V$337,FALSE)</f>
        <v>0</v>
      </c>
      <c r="F27" s="88">
        <f>VLOOKUP($B27,'[13]Div 91 forecast'!$D$338:$AF$417,'[13]Div 91 forecast'!W$337,FALSE)</f>
        <v>0</v>
      </c>
      <c r="G27" s="88">
        <f>VLOOKUP($B27,'[13]Div 91 forecast'!$D$338:$AF$417,'[13]Div 91 forecast'!X$337,FALSE)</f>
        <v>0</v>
      </c>
      <c r="H27" s="88">
        <f>VLOOKUP($B27,'[13]Div 91 forecast'!$D$338:$AF$417,'[13]Div 91 forecast'!Y$337,FALSE)</f>
        <v>0</v>
      </c>
      <c r="I27" s="88">
        <f>VLOOKUP($B27,'[13]Div 91 forecast'!$D$338:$AF$417,'[13]Div 91 forecast'!Z$337,FALSE)</f>
        <v>0</v>
      </c>
      <c r="J27" s="88">
        <f>VLOOKUP($B27,'[13]Div 91 forecast'!$D$338:$AF$417,'[13]Div 91 forecast'!AA$337,FALSE)</f>
        <v>0</v>
      </c>
      <c r="K27" s="88">
        <f>VLOOKUP($B27,'[13]Div 91 forecast'!$D$338:$AF$417,'[13]Div 91 forecast'!AB$337,FALSE)</f>
        <v>0</v>
      </c>
      <c r="L27" s="88">
        <f>VLOOKUP($B27,'[13]Div 91 forecast'!$D$338:$AF$417,'[13]Div 91 forecast'!AC$337,FALSE)</f>
        <v>0</v>
      </c>
      <c r="M27" s="88">
        <f>VLOOKUP($B27,'[13]Div 91 forecast'!$D$338:$AF$417,'[13]Div 91 forecast'!AD$337,FALSE)</f>
        <v>0</v>
      </c>
      <c r="N27" s="88">
        <f>VLOOKUP($B27,'[13]Div 91 forecast'!$D$338:$AF$417,'[13]Div 91 forecast'!AE$337,FALSE)</f>
        <v>0</v>
      </c>
      <c r="O27" s="88">
        <f>VLOOKUP($B27,'[13]Div 91 forecast'!$D$338:$AF$417,'[13]Div 91 forecast'!AF$337,FALSE)</f>
        <v>0</v>
      </c>
      <c r="P27" s="95">
        <f t="shared" si="0"/>
        <v>0</v>
      </c>
    </row>
    <row r="28" spans="1:17">
      <c r="A28" s="1036">
        <f t="shared" si="1"/>
        <v>17</v>
      </c>
      <c r="B28" s="570">
        <v>8740</v>
      </c>
      <c r="C28" s="73" t="s">
        <v>905</v>
      </c>
      <c r="D28" s="88">
        <f>VLOOKUP($B28,'[13]Div 91 forecast'!$D$338:$AF$417,'[13]Div 91 forecast'!U$337,FALSE)</f>
        <v>29939.143524323066</v>
      </c>
      <c r="E28" s="88">
        <f>VLOOKUP($B28,'[13]Div 91 forecast'!$D$338:$AF$417,'[13]Div 91 forecast'!V$337,FALSE)</f>
        <v>9327.2517222790448</v>
      </c>
      <c r="F28" s="88">
        <f>VLOOKUP($B28,'[13]Div 91 forecast'!$D$338:$AF$417,'[13]Div 91 forecast'!W$337,FALSE)</f>
        <v>6609.6555363539346</v>
      </c>
      <c r="G28" s="88">
        <f>VLOOKUP($B28,'[13]Div 91 forecast'!$D$338:$AF$417,'[13]Div 91 forecast'!X$337,FALSE)</f>
        <v>4813.1259604361258</v>
      </c>
      <c r="H28" s="88">
        <f>VLOOKUP($B28,'[13]Div 91 forecast'!$D$338:$AF$417,'[13]Div 91 forecast'!Y$337,FALSE)</f>
        <v>6981.8994733965537</v>
      </c>
      <c r="I28" s="88">
        <f>VLOOKUP($B28,'[13]Div 91 forecast'!$D$338:$AF$417,'[13]Div 91 forecast'!Z$337,FALSE)</f>
        <v>6907.9736083717962</v>
      </c>
      <c r="J28" s="88">
        <f>VLOOKUP($B28,'[13]Div 91 forecast'!$D$338:$AF$417,'[13]Div 91 forecast'!AA$337,FALSE)</f>
        <v>7176.7993450820186</v>
      </c>
      <c r="K28" s="88">
        <f>VLOOKUP($B28,'[13]Div 91 forecast'!$D$338:$AF$417,'[13]Div 91 forecast'!AB$337,FALSE)</f>
        <v>5778.4338895302863</v>
      </c>
      <c r="L28" s="88">
        <f>VLOOKUP($B28,'[13]Div 91 forecast'!$D$338:$AF$417,'[13]Div 91 forecast'!AC$337,FALSE)</f>
        <v>9129.7494141597581</v>
      </c>
      <c r="M28" s="88">
        <f>VLOOKUP($B28,'[13]Div 91 forecast'!$D$338:$AF$417,'[13]Div 91 forecast'!AD$337,FALSE)</f>
        <v>3393.7529091412139</v>
      </c>
      <c r="N28" s="88">
        <f>VLOOKUP($B28,'[13]Div 91 forecast'!$D$338:$AF$417,'[13]Div 91 forecast'!AE$337,FALSE)</f>
        <v>6746.4265876590289</v>
      </c>
      <c r="O28" s="88">
        <f>VLOOKUP($B28,'[13]Div 91 forecast'!$D$338:$AF$417,'[13]Div 91 forecast'!AF$337,FALSE)</f>
        <v>7256.6793175213406</v>
      </c>
      <c r="P28" s="95">
        <f t="shared" si="0"/>
        <v>104060.89128825418</v>
      </c>
    </row>
    <row r="29" spans="1:17">
      <c r="A29" s="1036">
        <f t="shared" si="1"/>
        <v>18</v>
      </c>
      <c r="B29" s="570">
        <v>8750</v>
      </c>
      <c r="C29" s="73" t="s">
        <v>1206</v>
      </c>
      <c r="D29" s="88">
        <f>VLOOKUP($B29,'[13]Div 91 forecast'!$D$338:$AF$417,'[13]Div 91 forecast'!U$337,FALSE)</f>
        <v>50238.769403762773</v>
      </c>
      <c r="E29" s="88">
        <f>VLOOKUP($B29,'[13]Div 91 forecast'!$D$338:$AF$417,'[13]Div 91 forecast'!V$337,FALSE)</f>
        <v>39780.82001063029</v>
      </c>
      <c r="F29" s="88">
        <f>VLOOKUP($B29,'[13]Div 91 forecast'!$D$338:$AF$417,'[13]Div 91 forecast'!W$337,FALSE)</f>
        <v>41587.923117480452</v>
      </c>
      <c r="G29" s="88">
        <f>VLOOKUP($B29,'[13]Div 91 forecast'!$D$338:$AF$417,'[13]Div 91 forecast'!X$337,FALSE)</f>
        <v>27704.808672833395</v>
      </c>
      <c r="H29" s="88">
        <f>VLOOKUP($B29,'[13]Div 91 forecast'!$D$338:$AF$417,'[13]Div 91 forecast'!Y$337,FALSE)</f>
        <v>26332.728220810674</v>
      </c>
      <c r="I29" s="88">
        <f>VLOOKUP($B29,'[13]Div 91 forecast'!$D$338:$AF$417,'[13]Div 91 forecast'!Z$337,FALSE)</f>
        <v>29368.268208040405</v>
      </c>
      <c r="J29" s="88">
        <f>VLOOKUP($B29,'[13]Div 91 forecast'!$D$338:$AF$417,'[13]Div 91 forecast'!AA$337,FALSE)</f>
        <v>28802.265552518871</v>
      </c>
      <c r="K29" s="88">
        <f>VLOOKUP($B29,'[13]Div 91 forecast'!$D$338:$AF$417,'[13]Div 91 forecast'!AB$337,FALSE)</f>
        <v>27234.956719036363</v>
      </c>
      <c r="L29" s="88">
        <f>VLOOKUP($B29,'[13]Div 91 forecast'!$D$338:$AF$417,'[13]Div 91 forecast'!AC$337,FALSE)</f>
        <v>30432.006690008577</v>
      </c>
      <c r="M29" s="88">
        <f>VLOOKUP($B29,'[13]Div 91 forecast'!$D$338:$AF$417,'[13]Div 91 forecast'!AD$337,FALSE)</f>
        <v>44093.744764514602</v>
      </c>
      <c r="N29" s="88">
        <f>VLOOKUP($B29,'[13]Div 91 forecast'!$D$338:$AF$417,'[13]Div 91 forecast'!AE$337,FALSE)</f>
        <v>30946.623003273631</v>
      </c>
      <c r="O29" s="88">
        <f>VLOOKUP($B29,'[13]Div 91 forecast'!$D$338:$AF$417,'[13]Div 91 forecast'!AF$337,FALSE)</f>
        <v>40655.305561182548</v>
      </c>
      <c r="P29" s="95">
        <f t="shared" si="0"/>
        <v>417178.21992409258</v>
      </c>
    </row>
    <row r="30" spans="1:17">
      <c r="A30" s="1036">
        <f t="shared" si="1"/>
        <v>19</v>
      </c>
      <c r="B30" s="314">
        <v>8760</v>
      </c>
      <c r="C30" s="72" t="s">
        <v>907</v>
      </c>
      <c r="D30" s="88">
        <f>VLOOKUP($B30,'[13]Div 91 forecast'!$D$338:$AF$417,'[13]Div 91 forecast'!U$337,FALSE)</f>
        <v>14636.793960442485</v>
      </c>
      <c r="E30" s="88">
        <f>VLOOKUP($B30,'[13]Div 91 forecast'!$D$338:$AF$417,'[13]Div 91 forecast'!V$337,FALSE)</f>
        <v>11939.977130660867</v>
      </c>
      <c r="F30" s="88">
        <f>VLOOKUP($B30,'[13]Div 91 forecast'!$D$338:$AF$417,'[13]Div 91 forecast'!W$337,FALSE)</f>
        <v>12401.775851085848</v>
      </c>
      <c r="G30" s="88">
        <f>VLOOKUP($B30,'[13]Div 91 forecast'!$D$338:$AF$417,'[13]Div 91 forecast'!X$337,FALSE)</f>
        <v>7963.183469108074</v>
      </c>
      <c r="H30" s="88">
        <f>VLOOKUP($B30,'[13]Div 91 forecast'!$D$338:$AF$417,'[13]Div 91 forecast'!Y$337,FALSE)</f>
        <v>7603.3736782939286</v>
      </c>
      <c r="I30" s="88">
        <f>VLOOKUP($B30,'[13]Div 91 forecast'!$D$338:$AF$417,'[13]Div 91 forecast'!Z$337,FALSE)</f>
        <v>7963.183469108074</v>
      </c>
      <c r="J30" s="88">
        <f>VLOOKUP($B30,'[13]Div 91 forecast'!$D$338:$AF$417,'[13]Div 91 forecast'!AA$337,FALSE)</f>
        <v>7963.183469108074</v>
      </c>
      <c r="K30" s="88">
        <f>VLOOKUP($B30,'[13]Div 91 forecast'!$D$338:$AF$417,'[13]Div 91 forecast'!AB$337,FALSE)</f>
        <v>7963.183469108074</v>
      </c>
      <c r="L30" s="88">
        <f>VLOOKUP($B30,'[13]Div 91 forecast'!$D$338:$AF$417,'[13]Div 91 forecast'!AC$337,FALSE)</f>
        <v>7974.4381176033849</v>
      </c>
      <c r="M30" s="88">
        <f>VLOOKUP($B30,'[13]Div 91 forecast'!$D$338:$AF$417,'[13]Div 91 forecast'!AD$337,FALSE)</f>
        <v>13237.842886030616</v>
      </c>
      <c r="N30" s="88">
        <f>VLOOKUP($B30,'[13]Div 91 forecast'!$D$338:$AF$417,'[13]Div 91 forecast'!AE$337,FALSE)</f>
        <v>9321.2821926429078</v>
      </c>
      <c r="O30" s="88">
        <f>VLOOKUP($B30,'[13]Div 91 forecast'!$D$338:$AF$417,'[13]Div 91 forecast'!AF$337,FALSE)</f>
        <v>12247.158529871609</v>
      </c>
      <c r="P30" s="95">
        <f t="shared" si="0"/>
        <v>121215.37622306393</v>
      </c>
    </row>
    <row r="31" spans="1:17">
      <c r="A31" s="1036">
        <f t="shared" si="1"/>
        <v>20</v>
      </c>
      <c r="B31" s="570">
        <v>8770</v>
      </c>
      <c r="C31" s="73" t="s">
        <v>908</v>
      </c>
      <c r="D31" s="88">
        <f>VLOOKUP($B31,'[13]Div 91 forecast'!$D$338:$AF$417,'[13]Div 91 forecast'!U$337,FALSE)</f>
        <v>-166.85129858253316</v>
      </c>
      <c r="E31" s="88">
        <f>VLOOKUP($B31,'[13]Div 91 forecast'!$D$338:$AF$417,'[13]Div 91 forecast'!V$337,FALSE)</f>
        <v>-65.972635116598084</v>
      </c>
      <c r="F31" s="88">
        <f>VLOOKUP($B31,'[13]Div 91 forecast'!$D$338:$AF$417,'[13]Div 91 forecast'!W$337,FALSE)</f>
        <v>-97.082517146776425</v>
      </c>
      <c r="G31" s="88">
        <f>VLOOKUP($B31,'[13]Div 91 forecast'!$D$338:$AF$417,'[13]Div 91 forecast'!X$337,FALSE)</f>
        <v>-348.59733882030184</v>
      </c>
      <c r="H31" s="88">
        <f>VLOOKUP($B31,'[13]Div 91 forecast'!$D$338:$AF$417,'[13]Div 91 forecast'!Y$337,FALSE)</f>
        <v>-269.80818106995889</v>
      </c>
      <c r="I31" s="88">
        <f>VLOOKUP($B31,'[13]Div 91 forecast'!$D$338:$AF$417,'[13]Div 91 forecast'!Z$337,FALSE)</f>
        <v>-768.80970256058538</v>
      </c>
      <c r="J31" s="88">
        <f>VLOOKUP($B31,'[13]Div 91 forecast'!$D$338:$AF$417,'[13]Div 91 forecast'!AA$337,FALSE)</f>
        <v>-560.85143301326025</v>
      </c>
      <c r="K31" s="88">
        <f>VLOOKUP($B31,'[13]Div 91 forecast'!$D$338:$AF$417,'[13]Div 91 forecast'!AB$337,FALSE)</f>
        <v>-267.42854481024239</v>
      </c>
      <c r="L31" s="88">
        <f>VLOOKUP($B31,'[13]Div 91 forecast'!$D$338:$AF$417,'[13]Div 91 forecast'!AC$337,FALSE)</f>
        <v>-1065.9517473708277</v>
      </c>
      <c r="M31" s="88">
        <f>VLOOKUP($B31,'[13]Div 91 forecast'!$D$338:$AF$417,'[13]Div 91 forecast'!AD$337,FALSE)</f>
        <v>-136.69800114311843</v>
      </c>
      <c r="N31" s="88">
        <f>VLOOKUP($B31,'[13]Div 91 forecast'!$D$338:$AF$417,'[13]Div 91 forecast'!AE$337,FALSE)</f>
        <v>-57.899282578875173</v>
      </c>
      <c r="O31" s="88">
        <f>VLOOKUP($B31,'[13]Div 91 forecast'!$D$338:$AF$417,'[13]Div 91 forecast'!AF$337,FALSE)</f>
        <v>-69.766265432098763</v>
      </c>
      <c r="P31" s="95">
        <f t="shared" si="0"/>
        <v>-3875.7169476451759</v>
      </c>
    </row>
    <row r="32" spans="1:17">
      <c r="A32" s="1036">
        <f t="shared" si="1"/>
        <v>21</v>
      </c>
      <c r="B32" s="314">
        <v>8780</v>
      </c>
      <c r="C32" s="172" t="s">
        <v>909</v>
      </c>
      <c r="D32" s="88">
        <f>VLOOKUP($B32,'[13]Div 91 forecast'!$D$338:$AF$417,'[13]Div 91 forecast'!U$337,FALSE)</f>
        <v>145.25024279800155</v>
      </c>
      <c r="E32" s="88">
        <f>VLOOKUP($B32,'[13]Div 91 forecast'!$D$338:$AF$417,'[13]Div 91 forecast'!V$337,FALSE)</f>
        <v>118.48800918549294</v>
      </c>
      <c r="F32" s="88">
        <f>VLOOKUP($B32,'[13]Div 91 forecast'!$D$338:$AF$417,'[13]Div 91 forecast'!W$337,FALSE)</f>
        <v>123.07073245445579</v>
      </c>
      <c r="G32" s="88">
        <f>VLOOKUP($B32,'[13]Div 91 forecast'!$D$338:$AF$417,'[13]Div 91 forecast'!X$337,FALSE)</f>
        <v>79.023749016277961</v>
      </c>
      <c r="H32" s="88">
        <f>VLOOKUP($B32,'[13]Div 91 forecast'!$D$338:$AF$417,'[13]Div 91 forecast'!Y$337,FALSE)</f>
        <v>75.453126951220696</v>
      </c>
      <c r="I32" s="88">
        <f>VLOOKUP($B32,'[13]Div 91 forecast'!$D$338:$AF$417,'[13]Div 91 forecast'!Z$337,FALSE)</f>
        <v>79.023749016277961</v>
      </c>
      <c r="J32" s="88">
        <f>VLOOKUP($B32,'[13]Div 91 forecast'!$D$338:$AF$417,'[13]Div 91 forecast'!AA$337,FALSE)</f>
        <v>79.023749016277961</v>
      </c>
      <c r="K32" s="88">
        <f>VLOOKUP($B32,'[13]Div 91 forecast'!$D$338:$AF$417,'[13]Div 91 forecast'!AB$337,FALSE)</f>
        <v>79.023749016277961</v>
      </c>
      <c r="L32" s="88">
        <f>VLOOKUP($B32,'[13]Div 91 forecast'!$D$338:$AF$417,'[13]Div 91 forecast'!AC$337,FALSE)</f>
        <v>79.135436072266316</v>
      </c>
      <c r="M32" s="88">
        <f>VLOOKUP($B32,'[13]Div 91 forecast'!$D$338:$AF$417,'[13]Div 91 forecast'!AD$337,FALSE)</f>
        <v>131.36755894182284</v>
      </c>
      <c r="N32" s="88">
        <f>VLOOKUP($B32,'[13]Div 91 forecast'!$D$338:$AF$417,'[13]Div 91 forecast'!AE$337,FALSE)</f>
        <v>92.501028936335473</v>
      </c>
      <c r="O32" s="88">
        <f>VLOOKUP($B32,'[13]Div 91 forecast'!$D$338:$AF$417,'[13]Div 91 forecast'!AF$337,FALSE)</f>
        <v>121.53636615075293</v>
      </c>
      <c r="P32" s="95">
        <f t="shared" ref="P32" si="3">SUM(D32:O32)</f>
        <v>1202.8974975554604</v>
      </c>
    </row>
    <row r="33" spans="1:16">
      <c r="A33" s="1036">
        <f t="shared" si="1"/>
        <v>22</v>
      </c>
      <c r="B33" s="570">
        <v>8800</v>
      </c>
      <c r="C33" s="73" t="s">
        <v>911</v>
      </c>
      <c r="D33" s="88">
        <f>VLOOKUP($B33,'[13]Div 91 forecast'!$D$338:$AF$417,'[13]Div 91 forecast'!U$337,FALSE)</f>
        <v>38631.334260373718</v>
      </c>
      <c r="E33" s="88">
        <f>VLOOKUP($B33,'[13]Div 91 forecast'!$D$338:$AF$417,'[13]Div 91 forecast'!V$337,FALSE)</f>
        <v>71647.285234654089</v>
      </c>
      <c r="F33" s="88">
        <f>VLOOKUP($B33,'[13]Div 91 forecast'!$D$338:$AF$417,'[13]Div 91 forecast'!W$337,FALSE)</f>
        <v>71156.806934715933</v>
      </c>
      <c r="G33" s="88">
        <f>VLOOKUP($B33,'[13]Div 91 forecast'!$D$338:$AF$417,'[13]Div 91 forecast'!X$337,FALSE)</f>
        <v>131929.79735325681</v>
      </c>
      <c r="H33" s="88">
        <f>VLOOKUP($B33,'[13]Div 91 forecast'!$D$338:$AF$417,'[13]Div 91 forecast'!Y$337,FALSE)</f>
        <v>119963.70068846201</v>
      </c>
      <c r="I33" s="88">
        <f>VLOOKUP($B33,'[13]Div 91 forecast'!$D$338:$AF$417,'[13]Div 91 forecast'!Z$337,FALSE)</f>
        <v>113657.60018490374</v>
      </c>
      <c r="J33" s="88">
        <f>VLOOKUP($B33,'[13]Div 91 forecast'!$D$338:$AF$417,'[13]Div 91 forecast'!AA$337,FALSE)</f>
        <v>113013.40400661723</v>
      </c>
      <c r="K33" s="88">
        <f>VLOOKUP($B33,'[13]Div 91 forecast'!$D$338:$AF$417,'[13]Div 91 forecast'!AB$337,FALSE)</f>
        <v>111792.94228969763</v>
      </c>
      <c r="L33" s="88">
        <f>VLOOKUP($B33,'[13]Div 91 forecast'!$D$338:$AF$417,'[13]Div 91 forecast'!AC$337,FALSE)</f>
        <v>141655.22858337953</v>
      </c>
      <c r="M33" s="88">
        <f>VLOOKUP($B33,'[13]Div 91 forecast'!$D$338:$AF$417,'[13]Div 91 forecast'!AD$337,FALSE)</f>
        <v>66560.131365771464</v>
      </c>
      <c r="N33" s="88">
        <f>VLOOKUP($B33,'[13]Div 91 forecast'!$D$338:$AF$417,'[13]Div 91 forecast'!AE$337,FALSE)</f>
        <v>77043.893697782682</v>
      </c>
      <c r="O33" s="88">
        <f>VLOOKUP($B33,'[13]Div 91 forecast'!$D$338:$AF$417,'[13]Div 91 forecast'!AF$337,FALSE)</f>
        <v>70247.73850670208</v>
      </c>
      <c r="P33" s="95">
        <f t="shared" si="0"/>
        <v>1127299.8631063169</v>
      </c>
    </row>
    <row r="34" spans="1:16">
      <c r="A34" s="1036">
        <f t="shared" si="1"/>
        <v>23</v>
      </c>
      <c r="B34" s="570">
        <v>8810</v>
      </c>
      <c r="C34" s="73" t="s">
        <v>912</v>
      </c>
      <c r="D34" s="88">
        <f>VLOOKUP($B34,'[13]Div 91 forecast'!$D$338:$AF$417,'[13]Div 91 forecast'!U$337,FALSE)</f>
        <v>16552.554944092393</v>
      </c>
      <c r="E34" s="88">
        <f>VLOOKUP($B34,'[13]Div 91 forecast'!$D$338:$AF$417,'[13]Div 91 forecast'!V$337,FALSE)</f>
        <v>30121.653882091752</v>
      </c>
      <c r="F34" s="88">
        <f>VLOOKUP($B34,'[13]Div 91 forecast'!$D$338:$AF$417,'[13]Div 91 forecast'!W$337,FALSE)</f>
        <v>29766.537697512686</v>
      </c>
      <c r="G34" s="88">
        <f>VLOOKUP($B34,'[13]Div 91 forecast'!$D$338:$AF$417,'[13]Div 91 forecast'!X$337,FALSE)</f>
        <v>38554.645345558391</v>
      </c>
      <c r="H34" s="88">
        <f>VLOOKUP($B34,'[13]Div 91 forecast'!$D$338:$AF$417,'[13]Div 91 forecast'!Y$337,FALSE)</f>
        <v>37953.715925397577</v>
      </c>
      <c r="I34" s="88">
        <f>VLOOKUP($B34,'[13]Div 91 forecast'!$D$338:$AF$417,'[13]Div 91 forecast'!Z$337,FALSE)</f>
        <v>37796.861590941022</v>
      </c>
      <c r="J34" s="88">
        <f>VLOOKUP($B34,'[13]Div 91 forecast'!$D$338:$AF$417,'[13]Div 91 forecast'!AA$337,FALSE)</f>
        <v>37174.944811939502</v>
      </c>
      <c r="K34" s="88">
        <f>VLOOKUP($B34,'[13]Div 91 forecast'!$D$338:$AF$417,'[13]Div 91 forecast'!AB$337,FALSE)</f>
        <v>36963.131214123467</v>
      </c>
      <c r="L34" s="88">
        <f>VLOOKUP($B34,'[13]Div 91 forecast'!$D$338:$AF$417,'[13]Div 91 forecast'!AC$337,FALSE)</f>
        <v>37574.710972986977</v>
      </c>
      <c r="M34" s="88">
        <f>VLOOKUP($B34,'[13]Div 91 forecast'!$D$338:$AF$417,'[13]Div 91 forecast'!AD$337,FALSE)</f>
        <v>26986.901965249104</v>
      </c>
      <c r="N34" s="88">
        <f>VLOOKUP($B34,'[13]Div 91 forecast'!$D$338:$AF$417,'[13]Div 91 forecast'!AE$337,FALSE)</f>
        <v>30505.529056178373</v>
      </c>
      <c r="O34" s="88">
        <f>VLOOKUP($B34,'[13]Div 91 forecast'!$D$338:$AF$417,'[13]Div 91 forecast'!AF$337,FALSE)</f>
        <v>29642.302454875684</v>
      </c>
      <c r="P34" s="95">
        <f t="shared" si="0"/>
        <v>389593.48986094689</v>
      </c>
    </row>
    <row r="35" spans="1:16">
      <c r="A35" s="1036">
        <f t="shared" si="1"/>
        <v>24</v>
      </c>
      <c r="B35" s="314">
        <v>8870</v>
      </c>
      <c r="C35" s="172" t="s">
        <v>915</v>
      </c>
      <c r="D35" s="88">
        <f>VLOOKUP($B35,'[13]Div 91 forecast'!$D$338:$AF$417,'[13]Div 91 forecast'!U$337,FALSE)</f>
        <v>-15.123327995570106</v>
      </c>
      <c r="E35" s="88">
        <f>VLOOKUP($B35,'[13]Div 91 forecast'!$D$338:$AF$417,'[13]Div 91 forecast'!V$337,FALSE)</f>
        <v>-12.336867683907156</v>
      </c>
      <c r="F35" s="88">
        <f>VLOOKUP($B35,'[13]Div 91 forecast'!$D$338:$AF$417,'[13]Div 91 forecast'!W$337,FALSE)</f>
        <v>-12.81401681477532</v>
      </c>
      <c r="G35" s="88">
        <f>VLOOKUP($B35,'[13]Div 91 forecast'!$D$338:$AF$417,'[13]Div 91 forecast'!X$337,FALSE)</f>
        <v>-8.2278834981005975</v>
      </c>
      <c r="H35" s="88">
        <f>VLOOKUP($B35,'[13]Div 91 forecast'!$D$338:$AF$417,'[13]Div 91 forecast'!Y$337,FALSE)</f>
        <v>-7.8561134576664626</v>
      </c>
      <c r="I35" s="88">
        <f>VLOOKUP($B35,'[13]Div 91 forecast'!$D$338:$AF$417,'[13]Div 91 forecast'!Z$337,FALSE)</f>
        <v>-8.2278834981005975</v>
      </c>
      <c r="J35" s="88">
        <f>VLOOKUP($B35,'[13]Div 91 forecast'!$D$338:$AF$417,'[13]Div 91 forecast'!AA$337,FALSE)</f>
        <v>-8.2278834981005975</v>
      </c>
      <c r="K35" s="88">
        <f>VLOOKUP($B35,'[13]Div 91 forecast'!$D$338:$AF$417,'[13]Div 91 forecast'!AB$337,FALSE)</f>
        <v>-8.2278834981005975</v>
      </c>
      <c r="L35" s="88">
        <f>VLOOKUP($B35,'[13]Div 91 forecast'!$D$338:$AF$417,'[13]Div 91 forecast'!AC$337,FALSE)</f>
        <v>-8.2395122564973775</v>
      </c>
      <c r="M35" s="88">
        <f>VLOOKUP($B35,'[13]Div 91 forecast'!$D$338:$AF$417,'[13]Div 91 forecast'!AD$337,FALSE)</f>
        <v>-13.677875118029817</v>
      </c>
      <c r="N35" s="88">
        <f>VLOOKUP($B35,'[13]Div 91 forecast'!$D$338:$AF$417,'[13]Div 91 forecast'!AE$337,FALSE)</f>
        <v>-9.6311260730723536</v>
      </c>
      <c r="O35" s="88">
        <f>VLOOKUP($B35,'[13]Div 91 forecast'!$D$338:$AF$417,'[13]Div 91 forecast'!AF$337,FALSE)</f>
        <v>-12.654259939817667</v>
      </c>
      <c r="P35" s="95">
        <f t="shared" ref="P35:P38" si="4">SUM(D35:O35)</f>
        <v>-125.24463333173864</v>
      </c>
    </row>
    <row r="36" spans="1:16">
      <c r="A36" s="1036">
        <f t="shared" si="1"/>
        <v>25</v>
      </c>
      <c r="B36" s="314">
        <v>8890</v>
      </c>
      <c r="C36" s="172" t="s">
        <v>916</v>
      </c>
      <c r="D36" s="88">
        <f>VLOOKUP($B36,'[13]Div 91 forecast'!$D$338:$AF$417,'[13]Div 91 forecast'!U$337,FALSE)</f>
        <v>11179.315287605379</v>
      </c>
      <c r="E36" s="88">
        <f>VLOOKUP($B36,'[13]Div 91 forecast'!$D$338:$AF$417,'[13]Div 91 forecast'!V$337,FALSE)</f>
        <v>9119.5359606210095</v>
      </c>
      <c r="F36" s="88">
        <f>VLOOKUP($B36,'[13]Div 91 forecast'!$D$338:$AF$417,'[13]Div 91 forecast'!W$337,FALSE)</f>
        <v>9472.2493696500642</v>
      </c>
      <c r="G36" s="88">
        <f>VLOOKUP($B36,'[13]Div 91 forecast'!$D$338:$AF$417,'[13]Div 91 forecast'!X$337,FALSE)</f>
        <v>6082.1337606309435</v>
      </c>
      <c r="H36" s="88">
        <f>VLOOKUP($B36,'[13]Div 91 forecast'!$D$338:$AF$417,'[13]Div 91 forecast'!Y$337,FALSE)</f>
        <v>5807.3176290416268</v>
      </c>
      <c r="I36" s="88">
        <f>VLOOKUP($B36,'[13]Div 91 forecast'!$D$338:$AF$417,'[13]Div 91 forecast'!Z$337,FALSE)</f>
        <v>6082.1337606309435</v>
      </c>
      <c r="J36" s="88">
        <f>VLOOKUP($B36,'[13]Div 91 forecast'!$D$338:$AF$417,'[13]Div 91 forecast'!AA$337,FALSE)</f>
        <v>6082.1337606309435</v>
      </c>
      <c r="K36" s="88">
        <f>VLOOKUP($B36,'[13]Div 91 forecast'!$D$338:$AF$417,'[13]Div 91 forecast'!AB$337,FALSE)</f>
        <v>6082.1337606309435</v>
      </c>
      <c r="L36" s="88">
        <f>VLOOKUP($B36,'[13]Div 91 forecast'!$D$338:$AF$417,'[13]Div 91 forecast'!AC$337,FALSE)</f>
        <v>6090.7298551254262</v>
      </c>
      <c r="M36" s="88">
        <f>VLOOKUP($B36,'[13]Div 91 forecast'!$D$338:$AF$417,'[13]Div 91 forecast'!AD$337,FALSE)</f>
        <v>10110.822065998822</v>
      </c>
      <c r="N36" s="88">
        <f>VLOOKUP($B36,'[13]Div 91 forecast'!$D$338:$AF$417,'[13]Div 91 forecast'!AE$337,FALSE)</f>
        <v>7119.4247044758158</v>
      </c>
      <c r="O36" s="88">
        <f>VLOOKUP($B36,'[13]Div 91 forecast'!$D$338:$AF$417,'[13]Div 91 forecast'!AF$337,FALSE)</f>
        <v>9354.1554901126183</v>
      </c>
      <c r="P36" s="95">
        <f t="shared" si="4"/>
        <v>92582.085405154547</v>
      </c>
    </row>
    <row r="37" spans="1:16">
      <c r="A37" s="1036">
        <f t="shared" si="1"/>
        <v>26</v>
      </c>
      <c r="B37" s="314">
        <v>8900</v>
      </c>
      <c r="C37" s="172" t="s">
        <v>917</v>
      </c>
      <c r="D37" s="88">
        <f>VLOOKUP($B37,'[13]Div 91 forecast'!$D$338:$AF$417,'[13]Div 91 forecast'!U$337,FALSE)</f>
        <v>-30.453824867791859</v>
      </c>
      <c r="E37" s="88">
        <f>VLOOKUP($B37,'[13]Div 91 forecast'!$D$338:$AF$417,'[13]Div 91 forecast'!V$337,FALSE)</f>
        <v>-24.842733555265099</v>
      </c>
      <c r="F37" s="88">
        <f>VLOOKUP($B37,'[13]Div 91 forecast'!$D$338:$AF$417,'[13]Div 91 forecast'!W$337,FALSE)</f>
        <v>-25.803568106465374</v>
      </c>
      <c r="G37" s="88">
        <f>VLOOKUP($B37,'[13]Div 91 forecast'!$D$338:$AF$417,'[13]Div 91 forecast'!X$337,FALSE)</f>
        <v>-16.568477729051892</v>
      </c>
      <c r="H37" s="88">
        <f>VLOOKUP($B37,'[13]Div 91 forecast'!$D$338:$AF$417,'[13]Div 91 forecast'!Y$337,FALSE)</f>
        <v>-15.819844907903702</v>
      </c>
      <c r="I37" s="88">
        <f>VLOOKUP($B37,'[13]Div 91 forecast'!$D$338:$AF$417,'[13]Div 91 forecast'!Z$337,FALSE)</f>
        <v>-16.568477729051892</v>
      </c>
      <c r="J37" s="88">
        <f>VLOOKUP($B37,'[13]Div 91 forecast'!$D$338:$AF$417,'[13]Div 91 forecast'!AA$337,FALSE)</f>
        <v>-16.568477729051892</v>
      </c>
      <c r="K37" s="88">
        <f>VLOOKUP($B37,'[13]Div 91 forecast'!$D$338:$AF$417,'[13]Div 91 forecast'!AB$337,FALSE)</f>
        <v>-16.568477729051892</v>
      </c>
      <c r="L37" s="88">
        <f>VLOOKUP($B37,'[13]Div 91 forecast'!$D$338:$AF$417,'[13]Div 91 forecast'!AC$337,FALSE)</f>
        <v>-16.591894543905678</v>
      </c>
      <c r="M37" s="88">
        <f>VLOOKUP($B37,'[13]Div 91 forecast'!$D$338:$AF$417,'[13]Div 91 forecast'!AD$337,FALSE)</f>
        <v>-27.543118388361417</v>
      </c>
      <c r="N37" s="88">
        <f>VLOOKUP($B37,'[13]Div 91 forecast'!$D$338:$AF$417,'[13]Div 91 forecast'!AE$337,FALSE)</f>
        <v>-19.394185380022414</v>
      </c>
      <c r="O37" s="88">
        <f>VLOOKUP($B37,'[13]Div 91 forecast'!$D$338:$AF$417,'[13]Div 91 forecast'!AF$337,FALSE)</f>
        <v>-25.481865906208181</v>
      </c>
      <c r="P37" s="95">
        <f t="shared" si="4"/>
        <v>-252.20494657213129</v>
      </c>
    </row>
    <row r="38" spans="1:16">
      <c r="A38" s="1036">
        <f t="shared" si="1"/>
        <v>27</v>
      </c>
      <c r="B38" s="314">
        <v>8910</v>
      </c>
      <c r="C38" s="172" t="s">
        <v>918</v>
      </c>
      <c r="D38" s="88">
        <f>VLOOKUP($B38,'[13]Div 91 forecast'!$D$338:$AF$417,'[13]Div 91 forecast'!U$337,FALSE)</f>
        <v>631.51288669721043</v>
      </c>
      <c r="E38" s="88">
        <f>VLOOKUP($B38,'[13]Div 91 forecast'!$D$338:$AF$417,'[13]Div 91 forecast'!V$337,FALSE)</f>
        <v>515.15717480622175</v>
      </c>
      <c r="F38" s="88">
        <f>VLOOKUP($B38,'[13]Div 91 forecast'!$D$338:$AF$417,'[13]Div 91 forecast'!W$337,FALSE)</f>
        <v>535.08174597917275</v>
      </c>
      <c r="G38" s="88">
        <f>VLOOKUP($B38,'[13]Div 91 forecast'!$D$338:$AF$417,'[13]Div 91 forecast'!X$337,FALSE)</f>
        <v>343.57612694876792</v>
      </c>
      <c r="H38" s="88">
        <f>VLOOKUP($B38,'[13]Div 91 forecast'!$D$338:$AF$417,'[13]Div 91 forecast'!Y$337,FALSE)</f>
        <v>328.05192675348883</v>
      </c>
      <c r="I38" s="88">
        <f>VLOOKUP($B38,'[13]Div 91 forecast'!$D$338:$AF$417,'[13]Div 91 forecast'!Z$337,FALSE)</f>
        <v>343.57612694876792</v>
      </c>
      <c r="J38" s="88">
        <f>VLOOKUP($B38,'[13]Div 91 forecast'!$D$338:$AF$417,'[13]Div 91 forecast'!AA$337,FALSE)</f>
        <v>343.57612694876792</v>
      </c>
      <c r="K38" s="88">
        <f>VLOOKUP($B38,'[13]Div 91 forecast'!$D$338:$AF$417,'[13]Div 91 forecast'!AB$337,FALSE)</f>
        <v>343.57612694876792</v>
      </c>
      <c r="L38" s="88">
        <f>VLOOKUP($B38,'[13]Div 91 forecast'!$D$338:$AF$417,'[13]Div 91 forecast'!AC$337,FALSE)</f>
        <v>344.06171522576653</v>
      </c>
      <c r="M38" s="88">
        <f>VLOOKUP($B38,'[13]Div 91 forecast'!$D$338:$AF$417,'[13]Div 91 forecast'!AD$337,FALSE)</f>
        <v>571.15433866151091</v>
      </c>
      <c r="N38" s="88">
        <f>VLOOKUP($B38,'[13]Div 91 forecast'!$D$338:$AF$417,'[13]Div 91 forecast'!AE$337,FALSE)</f>
        <v>402.17207682940352</v>
      </c>
      <c r="O38" s="88">
        <f>VLOOKUP($B38,'[13]Div 91 forecast'!$D$338:$AF$417,'[13]Div 91 forecast'!AF$337,FALSE)</f>
        <v>528.4106928020027</v>
      </c>
      <c r="P38" s="95">
        <f t="shared" si="4"/>
        <v>5229.907065549849</v>
      </c>
    </row>
    <row r="39" spans="1:16">
      <c r="A39" s="1036">
        <f t="shared" si="1"/>
        <v>28</v>
      </c>
      <c r="B39" s="314">
        <v>9010</v>
      </c>
      <c r="C39" s="72" t="s">
        <v>180</v>
      </c>
      <c r="D39" s="88">
        <f>VLOOKUP($B39,'[13]Div 91 forecast'!$D$338:$AF$417,'[13]Div 91 forecast'!U$337,FALSE)</f>
        <v>13421.648239457751</v>
      </c>
      <c r="E39" s="88">
        <f>VLOOKUP($B39,'[13]Div 91 forecast'!$D$338:$AF$417,'[13]Div 91 forecast'!V$337,FALSE)</f>
        <v>10947.729810192595</v>
      </c>
      <c r="F39" s="88">
        <f>VLOOKUP($B39,'[13]Div 91 forecast'!$D$338:$AF$417,'[13]Div 91 forecast'!W$337,FALSE)</f>
        <v>11371.170657106179</v>
      </c>
      <c r="G39" s="88">
        <f>VLOOKUP($B39,'[13]Div 91 forecast'!$D$338:$AF$417,'[13]Div 91 forecast'!X$337,FALSE)</f>
        <v>7306.0176507391798</v>
      </c>
      <c r="H39" s="88">
        <f>VLOOKUP($B39,'[13]Div 91 forecast'!$D$338:$AF$417,'[13]Div 91 forecast'!Y$337,FALSE)</f>
        <v>6977.1381381100691</v>
      </c>
      <c r="I39" s="88">
        <f>VLOOKUP($B39,'[13]Div 91 forecast'!$D$338:$AF$417,'[13]Div 91 forecast'!Z$337,FALSE)</f>
        <v>7307.3675672330537</v>
      </c>
      <c r="J39" s="88">
        <f>VLOOKUP($B39,'[13]Div 91 forecast'!$D$338:$AF$417,'[13]Div 91 forecast'!AA$337,FALSE)</f>
        <v>7305.8593659524158</v>
      </c>
      <c r="K39" s="88">
        <f>VLOOKUP($B39,'[13]Div 91 forecast'!$D$338:$AF$417,'[13]Div 91 forecast'!AB$337,FALSE)</f>
        <v>7312.7955446379146</v>
      </c>
      <c r="L39" s="88">
        <f>VLOOKUP($B39,'[13]Div 91 forecast'!$D$338:$AF$417,'[13]Div 91 forecast'!AC$337,FALSE)</f>
        <v>7315.9985418769566</v>
      </c>
      <c r="M39" s="88">
        <f>VLOOKUP($B39,'[13]Div 91 forecast'!$D$338:$AF$417,'[13]Div 91 forecast'!AD$337,FALSE)</f>
        <v>12137.564292669298</v>
      </c>
      <c r="N39" s="88">
        <f>VLOOKUP($B39,'[13]Div 91 forecast'!$D$338:$AF$417,'[13]Div 91 forecast'!AE$337,FALSE)</f>
        <v>8546.8463277559276</v>
      </c>
      <c r="O39" s="88">
        <f>VLOOKUP($B39,'[13]Div 91 forecast'!$D$338:$AF$417,'[13]Div 91 forecast'!AF$337,FALSE)</f>
        <v>11229.30631311889</v>
      </c>
      <c r="P39" s="95">
        <f t="shared" si="0"/>
        <v>111179.44244885026</v>
      </c>
    </row>
    <row r="40" spans="1:16">
      <c r="A40" s="1036">
        <f t="shared" si="1"/>
        <v>29</v>
      </c>
      <c r="B40" s="314">
        <v>9020</v>
      </c>
      <c r="C40" s="72" t="s">
        <v>922</v>
      </c>
      <c r="D40" s="88">
        <f>VLOOKUP($B40,'[13]Div 91 forecast'!$D$338:$AF$417,'[13]Div 91 forecast'!U$337,FALSE)</f>
        <v>51.212146308286712</v>
      </c>
      <c r="E40" s="88">
        <f>VLOOKUP($B40,'[13]Div 91 forecast'!$D$338:$AF$417,'[13]Div 91 forecast'!V$337,FALSE)</f>
        <v>41.776351937833546</v>
      </c>
      <c r="F40" s="88">
        <f>VLOOKUP($B40,'[13]Div 91 forecast'!$D$338:$AF$417,'[13]Div 91 forecast'!W$337,FALSE)</f>
        <v>43.392122693321362</v>
      </c>
      <c r="G40" s="88">
        <f>VLOOKUP($B40,'[13]Div 91 forecast'!$D$338:$AF$417,'[13]Div 91 forecast'!X$337,FALSE)</f>
        <v>27.862093160691341</v>
      </c>
      <c r="H40" s="88">
        <f>VLOOKUP($B40,'[13]Div 91 forecast'!$D$338:$AF$417,'[13]Div 91 forecast'!Y$337,FALSE)</f>
        <v>26.6031677634952</v>
      </c>
      <c r="I40" s="88">
        <f>VLOOKUP($B40,'[13]Div 91 forecast'!$D$338:$AF$417,'[13]Div 91 forecast'!Z$337,FALSE)</f>
        <v>27.862093160691341</v>
      </c>
      <c r="J40" s="88">
        <f>VLOOKUP($B40,'[13]Div 91 forecast'!$D$338:$AF$417,'[13]Div 91 forecast'!AA$337,FALSE)</f>
        <v>27.862093160691341</v>
      </c>
      <c r="K40" s="88">
        <f>VLOOKUP($B40,'[13]Div 91 forecast'!$D$338:$AF$417,'[13]Div 91 forecast'!AB$337,FALSE)</f>
        <v>27.862093160691341</v>
      </c>
      <c r="L40" s="88">
        <f>VLOOKUP($B40,'[13]Div 91 forecast'!$D$338:$AF$417,'[13]Div 91 forecast'!AC$337,FALSE)</f>
        <v>27.901471641180159</v>
      </c>
      <c r="M40" s="88">
        <f>VLOOKUP($B40,'[13]Div 91 forecast'!$D$338:$AF$417,'[13]Div 91 forecast'!AD$337,FALSE)</f>
        <v>46.317407248999601</v>
      </c>
      <c r="N40" s="88">
        <f>VLOOKUP($B40,'[13]Div 91 forecast'!$D$338:$AF$417,'[13]Div 91 forecast'!AE$337,FALSE)</f>
        <v>32.613895414568304</v>
      </c>
      <c r="O40" s="88">
        <f>VLOOKUP($B40,'[13]Div 91 forecast'!$D$338:$AF$417,'[13]Div 91 forecast'!AF$337,FALSE)</f>
        <v>42.851137768807227</v>
      </c>
      <c r="P40" s="95">
        <f t="shared" si="0"/>
        <v>424.11607341925742</v>
      </c>
    </row>
    <row r="41" spans="1:16">
      <c r="A41" s="1036">
        <f t="shared" si="1"/>
        <v>30</v>
      </c>
      <c r="B41" s="570">
        <v>9030</v>
      </c>
      <c r="C41" s="73" t="s">
        <v>926</v>
      </c>
      <c r="D41" s="88">
        <f>VLOOKUP($B41,'[13]Div 91 forecast'!$D$338:$AF$417,'[13]Div 91 forecast'!U$337,FALSE)</f>
        <v>148423.74036227984</v>
      </c>
      <c r="E41" s="88">
        <f>VLOOKUP($B41,'[13]Div 91 forecast'!$D$338:$AF$417,'[13]Div 91 forecast'!V$337,FALSE)</f>
        <v>185090.87709636954</v>
      </c>
      <c r="F41" s="88">
        <f>VLOOKUP($B41,'[13]Div 91 forecast'!$D$338:$AF$417,'[13]Div 91 forecast'!W$337,FALSE)</f>
        <v>187107.18645307753</v>
      </c>
      <c r="G41" s="88">
        <f>VLOOKUP($B41,'[13]Div 91 forecast'!$D$338:$AF$417,'[13]Div 91 forecast'!X$337,FALSE)</f>
        <v>259882.46925183016</v>
      </c>
      <c r="H41" s="88">
        <f>VLOOKUP($B41,'[13]Div 91 forecast'!$D$338:$AF$417,'[13]Div 91 forecast'!Y$337,FALSE)</f>
        <v>238877.11292066018</v>
      </c>
      <c r="I41" s="88">
        <f>VLOOKUP($B41,'[13]Div 91 forecast'!$D$338:$AF$417,'[13]Div 91 forecast'!Z$337,FALSE)</f>
        <v>231116.96559362931</v>
      </c>
      <c r="J41" s="88">
        <f>VLOOKUP($B41,'[13]Div 91 forecast'!$D$338:$AF$417,'[13]Div 91 forecast'!AA$337,FALSE)</f>
        <v>229618.14561481224</v>
      </c>
      <c r="K41" s="88">
        <f>VLOOKUP($B41,'[13]Div 91 forecast'!$D$338:$AF$417,'[13]Div 91 forecast'!AB$337,FALSE)</f>
        <v>229657.44868733024</v>
      </c>
      <c r="L41" s="88">
        <f>VLOOKUP($B41,'[13]Div 91 forecast'!$D$338:$AF$417,'[13]Div 91 forecast'!AC$337,FALSE)</f>
        <v>275578.51170087652</v>
      </c>
      <c r="M41" s="88">
        <f>VLOOKUP($B41,'[13]Div 91 forecast'!$D$338:$AF$417,'[13]Div 91 forecast'!AD$337,FALSE)</f>
        <v>184627.84381925027</v>
      </c>
      <c r="N41" s="88">
        <f>VLOOKUP($B41,'[13]Div 91 forecast'!$D$338:$AF$417,'[13]Div 91 forecast'!AE$337,FALSE)</f>
        <v>178418.09834740055</v>
      </c>
      <c r="O41" s="88">
        <f>VLOOKUP($B41,'[13]Div 91 forecast'!$D$338:$AF$417,'[13]Div 91 forecast'!AF$337,FALSE)</f>
        <v>184652.05190405654</v>
      </c>
      <c r="P41" s="95">
        <f t="shared" si="0"/>
        <v>2533050.4517515735</v>
      </c>
    </row>
    <row r="42" spans="1:16">
      <c r="A42" s="1036">
        <f t="shared" si="1"/>
        <v>31</v>
      </c>
      <c r="B42" s="314">
        <v>9040</v>
      </c>
      <c r="C42" s="172" t="s">
        <v>927</v>
      </c>
      <c r="D42" s="88">
        <f>VLOOKUP($B42,'[13]Div 91 forecast'!$D$338:$AF$417,'[13]Div 91 forecast'!U$337,FALSE)</f>
        <v>0</v>
      </c>
      <c r="E42" s="88">
        <f>VLOOKUP($B42,'[13]Div 91 forecast'!$D$338:$AF$417,'[13]Div 91 forecast'!V$337,FALSE)</f>
        <v>0</v>
      </c>
      <c r="F42" s="88">
        <f>VLOOKUP($B42,'[13]Div 91 forecast'!$D$338:$AF$417,'[13]Div 91 forecast'!W$337,FALSE)</f>
        <v>0</v>
      </c>
      <c r="G42" s="88">
        <f>VLOOKUP($B42,'[13]Div 91 forecast'!$D$338:$AF$417,'[13]Div 91 forecast'!X$337,FALSE)</f>
        <v>34584</v>
      </c>
      <c r="H42" s="88">
        <f>VLOOKUP($B42,'[13]Div 91 forecast'!$D$338:$AF$417,'[13]Div 91 forecast'!Y$337,FALSE)</f>
        <v>29522</v>
      </c>
      <c r="I42" s="88">
        <f>VLOOKUP($B42,'[13]Div 91 forecast'!$D$338:$AF$417,'[13]Div 91 forecast'!Z$337,FALSE)</f>
        <v>27679</v>
      </c>
      <c r="J42" s="88">
        <f>VLOOKUP($B42,'[13]Div 91 forecast'!$D$338:$AF$417,'[13]Div 91 forecast'!AA$337,FALSE)</f>
        <v>27994</v>
      </c>
      <c r="K42" s="88">
        <f>VLOOKUP($B42,'[13]Div 91 forecast'!$D$338:$AF$417,'[13]Div 91 forecast'!AB$337,FALSE)</f>
        <v>28469</v>
      </c>
      <c r="L42" s="88">
        <f>VLOOKUP($B42,'[13]Div 91 forecast'!$D$338:$AF$417,'[13]Div 91 forecast'!AC$337,FALSE)</f>
        <v>30223</v>
      </c>
      <c r="M42" s="88">
        <f>VLOOKUP($B42,'[13]Div 91 forecast'!$D$338:$AF$417,'[13]Div 91 forecast'!AD$337,FALSE)</f>
        <v>0</v>
      </c>
      <c r="N42" s="88">
        <f>VLOOKUP($B42,'[13]Div 91 forecast'!$D$338:$AF$417,'[13]Div 91 forecast'!AE$337,FALSE)</f>
        <v>0</v>
      </c>
      <c r="O42" s="88">
        <f>VLOOKUP($B42,'[13]Div 91 forecast'!$D$338:$AF$417,'[13]Div 91 forecast'!AF$337,FALSE)</f>
        <v>0</v>
      </c>
      <c r="P42" s="95">
        <f t="shared" ref="P42:P43" si="5">SUM(D42:O42)</f>
        <v>178471</v>
      </c>
    </row>
    <row r="43" spans="1:16">
      <c r="A43" s="1036">
        <f t="shared" si="1"/>
        <v>32</v>
      </c>
      <c r="B43" s="314">
        <v>9090</v>
      </c>
      <c r="C43" s="172" t="s">
        <v>928</v>
      </c>
      <c r="D43" s="88">
        <f>VLOOKUP($B43,'[13]Div 91 forecast'!$D$338:$AF$417,'[13]Div 91 forecast'!U$337,FALSE)</f>
        <v>20059.082429499864</v>
      </c>
      <c r="E43" s="88">
        <f>VLOOKUP($B43,'[13]Div 91 forecast'!$D$338:$AF$417,'[13]Div 91 forecast'!V$337,FALSE)</f>
        <v>14665.017511999087</v>
      </c>
      <c r="F43" s="88">
        <f>VLOOKUP($B43,'[13]Div 91 forecast'!$D$338:$AF$417,'[13]Div 91 forecast'!W$337,FALSE)</f>
        <v>14911.073517530229</v>
      </c>
      <c r="G43" s="88">
        <f>VLOOKUP($B43,'[13]Div 91 forecast'!$D$338:$AF$417,'[13]Div 91 forecast'!X$337,FALSE)</f>
        <v>16643.353519874356</v>
      </c>
      <c r="H43" s="88">
        <f>VLOOKUP($B43,'[13]Div 91 forecast'!$D$338:$AF$417,'[13]Div 91 forecast'!Y$337,FALSE)</f>
        <v>17620.700647678495</v>
      </c>
      <c r="I43" s="88">
        <f>VLOOKUP($B43,'[13]Div 91 forecast'!$D$338:$AF$417,'[13]Div 91 forecast'!Z$337,FALSE)</f>
        <v>18279.276894433784</v>
      </c>
      <c r="J43" s="88">
        <f>VLOOKUP($B43,'[13]Div 91 forecast'!$D$338:$AF$417,'[13]Div 91 forecast'!AA$337,FALSE)</f>
        <v>16428.796341999972</v>
      </c>
      <c r="K43" s="88">
        <f>VLOOKUP($B43,'[13]Div 91 forecast'!$D$338:$AF$417,'[13]Div 91 forecast'!AB$337,FALSE)</f>
        <v>25895.56084152171</v>
      </c>
      <c r="L43" s="88">
        <f>VLOOKUP($B43,'[13]Div 91 forecast'!$D$338:$AF$417,'[13]Div 91 forecast'!AC$337,FALSE)</f>
        <v>16311.216725446227</v>
      </c>
      <c r="M43" s="88">
        <f>VLOOKUP($B43,'[13]Div 91 forecast'!$D$338:$AF$417,'[13]Div 91 forecast'!AD$337,FALSE)</f>
        <v>15663.607787037654</v>
      </c>
      <c r="N43" s="88">
        <f>VLOOKUP($B43,'[13]Div 91 forecast'!$D$338:$AF$417,'[13]Div 91 forecast'!AE$337,FALSE)</f>
        <v>11507.65860379086</v>
      </c>
      <c r="O43" s="88">
        <f>VLOOKUP($B43,'[13]Div 91 forecast'!$D$338:$AF$417,'[13]Div 91 forecast'!AF$337,FALSE)</f>
        <v>14744.477845819687</v>
      </c>
      <c r="P43" s="95">
        <f t="shared" si="5"/>
        <v>202729.82266663192</v>
      </c>
    </row>
    <row r="44" spans="1:16">
      <c r="A44" s="1036">
        <f t="shared" si="1"/>
        <v>33</v>
      </c>
      <c r="B44" s="570">
        <v>9100</v>
      </c>
      <c r="C44" s="73" t="s">
        <v>929</v>
      </c>
      <c r="D44" s="88">
        <f>VLOOKUP($B44,'[13]Div 91 forecast'!$D$338:$AF$417,'[13]Div 91 forecast'!U$337,FALSE)</f>
        <v>94.944426381033409</v>
      </c>
      <c r="E44" s="88">
        <f>VLOOKUP($B44,'[13]Div 91 forecast'!$D$338:$AF$417,'[13]Div 91 forecast'!V$337,FALSE)</f>
        <v>75.114631149236757</v>
      </c>
      <c r="F44" s="88">
        <f>VLOOKUP($B44,'[13]Div 91 forecast'!$D$338:$AF$417,'[13]Div 91 forecast'!W$337,FALSE)</f>
        <v>3.6185349121552215</v>
      </c>
      <c r="G44" s="88">
        <f>VLOOKUP($B44,'[13]Div 91 forecast'!$D$338:$AF$417,'[13]Div 91 forecast'!X$337,FALSE)</f>
        <v>129.02696619298069</v>
      </c>
      <c r="H44" s="88">
        <f>VLOOKUP($B44,'[13]Div 91 forecast'!$D$338:$AF$417,'[13]Div 91 forecast'!Y$337,FALSE)</f>
        <v>38.257488121778209</v>
      </c>
      <c r="I44" s="88">
        <f>VLOOKUP($B44,'[13]Div 91 forecast'!$D$338:$AF$417,'[13]Div 91 forecast'!Z$337,FALSE)</f>
        <v>17.385083530633022</v>
      </c>
      <c r="J44" s="88">
        <f>VLOOKUP($B44,'[13]Div 91 forecast'!$D$338:$AF$417,'[13]Div 91 forecast'!AA$337,FALSE)</f>
        <v>45.996623483081038</v>
      </c>
      <c r="K44" s="88">
        <f>VLOOKUP($B44,'[13]Div 91 forecast'!$D$338:$AF$417,'[13]Div 91 forecast'!AB$337,FALSE)</f>
        <v>65.885041940601383</v>
      </c>
      <c r="L44" s="88">
        <f>VLOOKUP($B44,'[13]Div 91 forecast'!$D$338:$AF$417,'[13]Div 91 forecast'!AC$337,FALSE)</f>
        <v>16.416459725628012</v>
      </c>
      <c r="M44" s="88">
        <f>VLOOKUP($B44,'[13]Div 91 forecast'!$D$338:$AF$417,'[13]Div 91 forecast'!AD$337,FALSE)</f>
        <v>7.0604211611361363</v>
      </c>
      <c r="N44" s="88">
        <f>VLOOKUP($B44,'[13]Div 91 forecast'!$D$338:$AF$417,'[13]Div 91 forecast'!AE$337,FALSE)</f>
        <v>13.304301947412718</v>
      </c>
      <c r="O44" s="88">
        <f>VLOOKUP($B44,'[13]Div 91 forecast'!$D$338:$AF$417,'[13]Div 91 forecast'!AF$337,FALSE)</f>
        <v>5.1676844490257476</v>
      </c>
      <c r="P44" s="95">
        <f t="shared" si="0"/>
        <v>512.17766299470236</v>
      </c>
    </row>
    <row r="45" spans="1:16">
      <c r="A45" s="1036">
        <f t="shared" si="1"/>
        <v>34</v>
      </c>
      <c r="B45" s="570">
        <v>9110</v>
      </c>
      <c r="C45" s="73" t="s">
        <v>930</v>
      </c>
      <c r="D45" s="88">
        <f>VLOOKUP($B45,'[13]Div 91 forecast'!$D$338:$AF$417,'[13]Div 91 forecast'!U$337,FALSE)</f>
        <v>15943.327004173972</v>
      </c>
      <c r="E45" s="88">
        <f>VLOOKUP($B45,'[13]Div 91 forecast'!$D$338:$AF$417,'[13]Div 91 forecast'!V$337,FALSE)</f>
        <v>12757.348884085986</v>
      </c>
      <c r="F45" s="88">
        <f>VLOOKUP($B45,'[13]Div 91 forecast'!$D$338:$AF$417,'[13]Div 91 forecast'!W$337,FALSE)</f>
        <v>11651.317773017739</v>
      </c>
      <c r="G45" s="88">
        <f>VLOOKUP($B45,'[13]Div 91 forecast'!$D$338:$AF$417,'[13]Div 91 forecast'!X$337,FALSE)</f>
        <v>13618.232174472249</v>
      </c>
      <c r="H45" s="88">
        <f>VLOOKUP($B45,'[13]Div 91 forecast'!$D$338:$AF$417,'[13]Div 91 forecast'!Y$337,FALSE)</f>
        <v>11249.788280650973</v>
      </c>
      <c r="I45" s="88">
        <f>VLOOKUP($B45,'[13]Div 91 forecast'!$D$338:$AF$417,'[13]Div 91 forecast'!Z$337,FALSE)</f>
        <v>11954.20056151103</v>
      </c>
      <c r="J45" s="88">
        <f>VLOOKUP($B45,'[13]Div 91 forecast'!$D$338:$AF$417,'[13]Div 91 forecast'!AA$337,FALSE)</f>
        <v>11858.204791582355</v>
      </c>
      <c r="K45" s="88">
        <f>VLOOKUP($B45,'[13]Div 91 forecast'!$D$338:$AF$417,'[13]Div 91 forecast'!AB$337,FALSE)</f>
        <v>14623.014369174292</v>
      </c>
      <c r="L45" s="88">
        <f>VLOOKUP($B45,'[13]Div 91 forecast'!$D$338:$AF$417,'[13]Div 91 forecast'!AC$337,FALSE)</f>
        <v>11782.680753366127</v>
      </c>
      <c r="M45" s="88">
        <f>VLOOKUP($B45,'[13]Div 91 forecast'!$D$338:$AF$417,'[13]Div 91 forecast'!AD$337,FALSE)</f>
        <v>12515.592070006591</v>
      </c>
      <c r="N45" s="88">
        <f>VLOOKUP($B45,'[13]Div 91 forecast'!$D$338:$AF$417,'[13]Div 91 forecast'!AE$337,FALSE)</f>
        <v>9163.2547781213088</v>
      </c>
      <c r="O45" s="88">
        <f>VLOOKUP($B45,'[13]Div 91 forecast'!$D$338:$AF$417,'[13]Div 91 forecast'!AF$337,FALSE)</f>
        <v>11282.524094983779</v>
      </c>
      <c r="P45" s="95">
        <f t="shared" si="0"/>
        <v>148399.48553514641</v>
      </c>
    </row>
    <row r="46" spans="1:16">
      <c r="A46" s="1036">
        <f t="shared" si="1"/>
        <v>35</v>
      </c>
      <c r="B46" s="570">
        <v>9120</v>
      </c>
      <c r="C46" s="73" t="s">
        <v>931</v>
      </c>
      <c r="D46" s="88">
        <f>VLOOKUP($B46,'[13]Div 91 forecast'!$D$338:$AF$417,'[13]Div 91 forecast'!U$337,FALSE)</f>
        <v>0</v>
      </c>
      <c r="E46" s="88">
        <f>VLOOKUP($B46,'[13]Div 91 forecast'!$D$338:$AF$417,'[13]Div 91 forecast'!V$337,FALSE)</f>
        <v>0</v>
      </c>
      <c r="F46" s="88">
        <f>VLOOKUP($B46,'[13]Div 91 forecast'!$D$338:$AF$417,'[13]Div 91 forecast'!W$337,FALSE)</f>
        <v>0</v>
      </c>
      <c r="G46" s="88">
        <f>VLOOKUP($B46,'[13]Div 91 forecast'!$D$338:$AF$417,'[13]Div 91 forecast'!X$337,FALSE)</f>
        <v>0</v>
      </c>
      <c r="H46" s="88">
        <f>VLOOKUP($B46,'[13]Div 91 forecast'!$D$338:$AF$417,'[13]Div 91 forecast'!Y$337,FALSE)</f>
        <v>0</v>
      </c>
      <c r="I46" s="88">
        <f>VLOOKUP($B46,'[13]Div 91 forecast'!$D$338:$AF$417,'[13]Div 91 forecast'!Z$337,FALSE)</f>
        <v>0</v>
      </c>
      <c r="J46" s="88">
        <f>VLOOKUP($B46,'[13]Div 91 forecast'!$D$338:$AF$417,'[13]Div 91 forecast'!AA$337,FALSE)</f>
        <v>0</v>
      </c>
      <c r="K46" s="88">
        <f>VLOOKUP($B46,'[13]Div 91 forecast'!$D$338:$AF$417,'[13]Div 91 forecast'!AB$337,FALSE)</f>
        <v>0</v>
      </c>
      <c r="L46" s="88">
        <f>VLOOKUP($B46,'[13]Div 91 forecast'!$D$338:$AF$417,'[13]Div 91 forecast'!AC$337,FALSE)</f>
        <v>0</v>
      </c>
      <c r="M46" s="88">
        <f>VLOOKUP($B46,'[13]Div 91 forecast'!$D$338:$AF$417,'[13]Div 91 forecast'!AD$337,FALSE)</f>
        <v>0</v>
      </c>
      <c r="N46" s="88">
        <f>VLOOKUP($B46,'[13]Div 91 forecast'!$D$338:$AF$417,'[13]Div 91 forecast'!AE$337,FALSE)</f>
        <v>0</v>
      </c>
      <c r="O46" s="88">
        <f>VLOOKUP($B46,'[13]Div 91 forecast'!$D$338:$AF$417,'[13]Div 91 forecast'!AF$337,FALSE)</f>
        <v>0</v>
      </c>
      <c r="P46" s="95">
        <f t="shared" si="0"/>
        <v>0</v>
      </c>
    </row>
    <row r="47" spans="1:16">
      <c r="A47" s="1036">
        <f t="shared" si="1"/>
        <v>36</v>
      </c>
      <c r="B47" s="570">
        <v>9130</v>
      </c>
      <c r="C47" s="73" t="s">
        <v>932</v>
      </c>
      <c r="D47" s="88">
        <f>VLOOKUP($B47,'[13]Div 91 forecast'!$D$338:$AF$417,'[13]Div 91 forecast'!U$337,FALSE)</f>
        <v>181.85329717357112</v>
      </c>
      <c r="E47" s="88">
        <f>VLOOKUP($B47,'[13]Div 91 forecast'!$D$338:$AF$417,'[13]Div 91 forecast'!V$337,FALSE)</f>
        <v>143.87198765776205</v>
      </c>
      <c r="F47" s="88">
        <f>VLOOKUP($B47,'[13]Div 91 forecast'!$D$338:$AF$417,'[13]Div 91 forecast'!W$337,FALSE)</f>
        <v>6.9308176350682507</v>
      </c>
      <c r="G47" s="88">
        <f>VLOOKUP($B47,'[13]Div 91 forecast'!$D$338:$AF$417,'[13]Div 91 forecast'!X$337,FALSE)</f>
        <v>247.13382471057531</v>
      </c>
      <c r="H47" s="88">
        <f>VLOOKUP($B47,'[13]Div 91 forecast'!$D$338:$AF$417,'[13]Div 91 forecast'!Y$337,FALSE)</f>
        <v>73.277080305936906</v>
      </c>
      <c r="I47" s="88">
        <f>VLOOKUP($B47,'[13]Div 91 forecast'!$D$338:$AF$417,'[13]Div 91 forecast'!Z$337,FALSE)</f>
        <v>33.298792590474051</v>
      </c>
      <c r="J47" s="88">
        <f>VLOOKUP($B47,'[13]Div 91 forecast'!$D$338:$AF$417,'[13]Div 91 forecast'!AA$337,FALSE)</f>
        <v>88.100354682015961</v>
      </c>
      <c r="K47" s="88">
        <f>VLOOKUP($B47,'[13]Div 91 forecast'!$D$338:$AF$417,'[13]Div 91 forecast'!AB$337,FALSE)</f>
        <v>126.19394911327676</v>
      </c>
      <c r="L47" s="88">
        <f>VLOOKUP($B47,'[13]Div 91 forecast'!$D$338:$AF$417,'[13]Div 91 forecast'!AC$337,FALSE)</f>
        <v>31.443523783497938</v>
      </c>
      <c r="M47" s="88">
        <f>VLOOKUP($B47,'[13]Div 91 forecast'!$D$338:$AF$417,'[13]Div 91 forecast'!AD$337,FALSE)</f>
        <v>13.523288480714342</v>
      </c>
      <c r="N47" s="88">
        <f>VLOOKUP($B47,'[13]Div 91 forecast'!$D$338:$AF$417,'[13]Div 91 forecast'!AE$337,FALSE)</f>
        <v>25.482603539254036</v>
      </c>
      <c r="O47" s="88">
        <f>VLOOKUP($B47,'[13]Div 91 forecast'!$D$338:$AF$417,'[13]Div 91 forecast'!AF$337,FALSE)</f>
        <v>9.8980055136301601</v>
      </c>
      <c r="P47" s="95">
        <f t="shared" si="0"/>
        <v>981.0075251857769</v>
      </c>
    </row>
    <row r="48" spans="1:16">
      <c r="A48" s="1036">
        <f t="shared" si="1"/>
        <v>37</v>
      </c>
      <c r="B48" s="570">
        <v>9200</v>
      </c>
      <c r="C48" s="73" t="s">
        <v>181</v>
      </c>
      <c r="D48" s="88">
        <f>VLOOKUP($B48,'[13]Div 91 forecast'!$D$338:$AF$417,'[13]Div 91 forecast'!U$337,FALSE)</f>
        <v>-5463.5303736568339</v>
      </c>
      <c r="E48" s="88">
        <f>VLOOKUP($B48,'[13]Div 91 forecast'!$D$338:$AF$417,'[13]Div 91 forecast'!V$337,FALSE)</f>
        <v>-33268.645778887811</v>
      </c>
      <c r="F48" s="88">
        <f>VLOOKUP($B48,'[13]Div 91 forecast'!$D$338:$AF$417,'[13]Div 91 forecast'!W$337,FALSE)</f>
        <v>-35968.889390739416</v>
      </c>
      <c r="G48" s="88">
        <f>VLOOKUP($B48,'[13]Div 91 forecast'!$D$338:$AF$417,'[13]Div 91 forecast'!X$337,FALSE)</f>
        <v>722.48917817524341</v>
      </c>
      <c r="H48" s="88">
        <f>VLOOKUP($B48,'[13]Div 91 forecast'!$D$338:$AF$417,'[13]Div 91 forecast'!Y$337,FALSE)</f>
        <v>634.05721022233718</v>
      </c>
      <c r="I48" s="88">
        <f>VLOOKUP($B48,'[13]Div 91 forecast'!$D$338:$AF$417,'[13]Div 91 forecast'!Z$337,FALSE)</f>
        <v>634.05721022233718</v>
      </c>
      <c r="J48" s="88">
        <f>VLOOKUP($B48,'[13]Div 91 forecast'!$D$338:$AF$417,'[13]Div 91 forecast'!AA$337,FALSE)</f>
        <v>722.48917817524341</v>
      </c>
      <c r="K48" s="88">
        <f>VLOOKUP($B48,'[13]Div 91 forecast'!$D$338:$AF$417,'[13]Div 91 forecast'!AB$337,FALSE)</f>
        <v>4171.3359283385835</v>
      </c>
      <c r="L48" s="88">
        <f>VLOOKUP($B48,'[13]Div 91 forecast'!$D$338:$AF$417,'[13]Div 91 forecast'!AC$337,FALSE)</f>
        <v>630.51993150422095</v>
      </c>
      <c r="M48" s="88">
        <f>VLOOKUP($B48,'[13]Div 91 forecast'!$D$338:$AF$417,'[13]Div 91 forecast'!AD$337,FALSE)</f>
        <v>-20687.412011834262</v>
      </c>
      <c r="N48" s="88">
        <f>VLOOKUP($B48,'[13]Div 91 forecast'!$D$338:$AF$417,'[13]Div 91 forecast'!AE$337,FALSE)</f>
        <v>-5463.256234556181</v>
      </c>
      <c r="O48" s="88">
        <f>VLOOKUP($B48,'[13]Div 91 forecast'!$D$338:$AF$417,'[13]Div 91 forecast'!AF$337,FALSE)</f>
        <v>-5614.0062103255004</v>
      </c>
      <c r="P48" s="95">
        <f t="shared" si="0"/>
        <v>-98950.791363362034</v>
      </c>
    </row>
    <row r="49" spans="1:17">
      <c r="A49" s="1036">
        <f t="shared" si="1"/>
        <v>38</v>
      </c>
      <c r="B49" s="570">
        <v>9210</v>
      </c>
      <c r="C49" s="73" t="s">
        <v>933</v>
      </c>
      <c r="D49" s="88">
        <f>VLOOKUP($B49,'[13]Div 91 forecast'!$D$338:$AF$417,'[13]Div 91 forecast'!U$337,FALSE)</f>
        <v>-6835.6932983562938</v>
      </c>
      <c r="E49" s="88">
        <f>VLOOKUP($B49,'[13]Div 91 forecast'!$D$338:$AF$417,'[13]Div 91 forecast'!V$337,FALSE)</f>
        <v>-12687.225295074923</v>
      </c>
      <c r="F49" s="88">
        <f>VLOOKUP($B49,'[13]Div 91 forecast'!$D$338:$AF$417,'[13]Div 91 forecast'!W$337,FALSE)</f>
        <v>-12597.254246653203</v>
      </c>
      <c r="G49" s="88">
        <f>VLOOKUP($B49,'[13]Div 91 forecast'!$D$338:$AF$417,'[13]Div 91 forecast'!X$337,FALSE)</f>
        <v>-23355.209229556684</v>
      </c>
      <c r="H49" s="88">
        <f>VLOOKUP($B49,'[13]Div 91 forecast'!$D$338:$AF$417,'[13]Div 91 forecast'!Y$337,FALSE)</f>
        <v>-21238.322788437697</v>
      </c>
      <c r="I49" s="88">
        <f>VLOOKUP($B49,'[13]Div 91 forecast'!$D$338:$AF$417,'[13]Div 91 forecast'!Z$337,FALSE)</f>
        <v>-20121.863699611444</v>
      </c>
      <c r="J49" s="88">
        <f>VLOOKUP($B49,'[13]Div 91 forecast'!$D$338:$AF$417,'[13]Div 91 forecast'!AA$337,FALSE)</f>
        <v>-20005.453417163812</v>
      </c>
      <c r="K49" s="88">
        <f>VLOOKUP($B49,'[13]Div 91 forecast'!$D$338:$AF$417,'[13]Div 91 forecast'!AB$337,FALSE)</f>
        <v>-19639.345451173482</v>
      </c>
      <c r="L49" s="88">
        <f>VLOOKUP($B49,'[13]Div 91 forecast'!$D$338:$AF$417,'[13]Div 91 forecast'!AC$337,FALSE)</f>
        <v>-25079.828733861097</v>
      </c>
      <c r="M49" s="88">
        <f>VLOOKUP($B49,'[13]Div 91 forecast'!$D$338:$AF$417,'[13]Div 91 forecast'!AD$337,FALSE)</f>
        <v>-11780.907055372603</v>
      </c>
      <c r="N49" s="88">
        <f>VLOOKUP($B49,'[13]Div 91 forecast'!$D$338:$AF$417,'[13]Div 91 forecast'!AE$337,FALSE)</f>
        <v>-13639.877001587996</v>
      </c>
      <c r="O49" s="88">
        <f>VLOOKUP($B49,'[13]Div 91 forecast'!$D$338:$AF$417,'[13]Div 91 forecast'!AF$337,FALSE)</f>
        <v>-12438.623102954973</v>
      </c>
      <c r="P49" s="95">
        <f t="shared" si="0"/>
        <v>-199419.60331980421</v>
      </c>
      <c r="Q49" s="955"/>
    </row>
    <row r="50" spans="1:17">
      <c r="A50" s="1036">
        <f t="shared" si="1"/>
        <v>39</v>
      </c>
      <c r="B50" s="570">
        <v>9220</v>
      </c>
      <c r="C50" s="73" t="s">
        <v>934</v>
      </c>
      <c r="D50" s="88">
        <f t="shared" ref="D50:O50" si="6">-(SUM(D12:D49,D51:D57))</f>
        <v>-865488.52558253845</v>
      </c>
      <c r="E50" s="88">
        <f t="shared" si="6"/>
        <v>-786593.50499690592</v>
      </c>
      <c r="F50" s="88">
        <f t="shared" si="6"/>
        <v>-881301.68033295753</v>
      </c>
      <c r="G50" s="88">
        <f t="shared" si="6"/>
        <v>-1033658.3467302711</v>
      </c>
      <c r="H50" s="88">
        <f t="shared" si="6"/>
        <v>-1037007.2618060115</v>
      </c>
      <c r="I50" s="88">
        <f t="shared" si="6"/>
        <v>-927849.03673027118</v>
      </c>
      <c r="J50" s="88">
        <f t="shared" si="6"/>
        <v>-1068076.8067302713</v>
      </c>
      <c r="K50" s="88">
        <f t="shared" si="6"/>
        <v>-951855.99673027126</v>
      </c>
      <c r="L50" s="88">
        <f t="shared" si="6"/>
        <v>-932334.27537244069</v>
      </c>
      <c r="M50" s="88">
        <f t="shared" si="6"/>
        <v>-807882.4840815611</v>
      </c>
      <c r="N50" s="88">
        <f t="shared" si="6"/>
        <v>-596968.4967906914</v>
      </c>
      <c r="O50" s="88">
        <f t="shared" si="6"/>
        <v>-786910.65872246795</v>
      </c>
      <c r="P50" s="95">
        <f t="shared" si="0"/>
        <v>-10675927.074606659</v>
      </c>
      <c r="Q50" s="955"/>
    </row>
    <row r="51" spans="1:17">
      <c r="A51" s="1036">
        <f t="shared" si="1"/>
        <v>40</v>
      </c>
      <c r="B51" s="570">
        <v>9230</v>
      </c>
      <c r="C51" s="73" t="s">
        <v>935</v>
      </c>
      <c r="D51" s="88">
        <f>VLOOKUP($B51,'[13]Div 91 forecast'!$D$338:$AF$417,'[13]Div 91 forecast'!U$337,FALSE)</f>
        <v>5030.3761175182317</v>
      </c>
      <c r="E51" s="88">
        <f>VLOOKUP($B51,'[13]Div 91 forecast'!$D$338:$AF$417,'[13]Div 91 forecast'!V$337,FALSE)</f>
        <v>9329.545547152271</v>
      </c>
      <c r="F51" s="88">
        <f>VLOOKUP($B51,'[13]Div 91 forecast'!$D$338:$AF$417,'[13]Div 91 forecast'!W$337,FALSE)</f>
        <v>9265.6779543443063</v>
      </c>
      <c r="G51" s="88">
        <f>VLOOKUP($B51,'[13]Div 91 forecast'!$D$338:$AF$417,'[13]Div 91 forecast'!X$337,FALSE)</f>
        <v>17179.228067087293</v>
      </c>
      <c r="H51" s="88">
        <f>VLOOKUP($B51,'[13]Div 91 forecast'!$D$338:$AF$417,'[13]Div 91 forecast'!Y$337,FALSE)</f>
        <v>15621.063741806853</v>
      </c>
      <c r="I51" s="88">
        <f>VLOOKUP($B51,'[13]Div 91 forecast'!$D$338:$AF$417,'[13]Div 91 forecast'!Z$337,FALSE)</f>
        <v>14799.915366398338</v>
      </c>
      <c r="J51" s="88">
        <f>VLOOKUP($B51,'[13]Div 91 forecast'!$D$338:$AF$417,'[13]Div 91 forecast'!AA$337,FALSE)</f>
        <v>14716.031412289794</v>
      </c>
      <c r="K51" s="88">
        <f>VLOOKUP($B51,'[13]Div 91 forecast'!$D$338:$AF$417,'[13]Div 91 forecast'!AB$337,FALSE)</f>
        <v>14557.109086911167</v>
      </c>
      <c r="L51" s="88">
        <f>VLOOKUP($B51,'[13]Div 91 forecast'!$D$338:$AF$417,'[13]Div 91 forecast'!AC$337,FALSE)</f>
        <v>18445.624321041116</v>
      </c>
      <c r="M51" s="88">
        <f>VLOOKUP($B51,'[13]Div 91 forecast'!$D$338:$AF$417,'[13]Div 91 forecast'!AD$337,FALSE)</f>
        <v>8667.122210808513</v>
      </c>
      <c r="N51" s="88">
        <f>VLOOKUP($B51,'[13]Div 91 forecast'!$D$338:$AF$417,'[13]Div 91 forecast'!AE$337,FALSE)</f>
        <v>10032.264488868062</v>
      </c>
      <c r="O51" s="88">
        <f>VLOOKUP($B51,'[13]Div 91 forecast'!$D$338:$AF$417,'[13]Div 91 forecast'!AF$337,FALSE)</f>
        <v>9147.303681308611</v>
      </c>
      <c r="P51" s="95">
        <f t="shared" si="0"/>
        <v>146791.26199553456</v>
      </c>
      <c r="Q51" s="955"/>
    </row>
    <row r="52" spans="1:17">
      <c r="A52" s="1036">
        <f t="shared" si="1"/>
        <v>41</v>
      </c>
      <c r="B52" s="570">
        <v>9240</v>
      </c>
      <c r="C52" s="73" t="s">
        <v>936</v>
      </c>
      <c r="D52" s="88">
        <f>VLOOKUP($B52,'[13]Div 91 forecast'!$D$338:$AF$417,'[13]Div 91 forecast'!U$337,FALSE)</f>
        <v>26.624864502336777</v>
      </c>
      <c r="E52" s="88">
        <f>VLOOKUP($B52,'[13]Div 91 forecast'!$D$338:$AF$417,'[13]Div 91 forecast'!V$337,FALSE)</f>
        <v>21.507014021335863</v>
      </c>
      <c r="F52" s="88">
        <f>VLOOKUP($B52,'[13]Div 91 forecast'!$D$338:$AF$417,'[13]Div 91 forecast'!W$337,FALSE)</f>
        <v>17.988742690671245</v>
      </c>
      <c r="G52" s="88">
        <f>VLOOKUP($B52,'[13]Div 91 forecast'!$D$338:$AF$417,'[13]Div 91 forecast'!X$337,FALSE)</f>
        <v>3213.2073019931631</v>
      </c>
      <c r="H52" s="88">
        <f>VLOOKUP($B52,'[13]Div 91 forecast'!$D$338:$AF$417,'[13]Div 91 forecast'!Y$337,FALSE)</f>
        <v>3265.4896569069097</v>
      </c>
      <c r="I52" s="88">
        <f>VLOOKUP($B52,'[13]Div 91 forecast'!$D$338:$AF$417,'[13]Div 91 forecast'!Z$337,FALSE)</f>
        <v>3355.6039653763</v>
      </c>
      <c r="J52" s="88">
        <f>VLOOKUP($B52,'[13]Div 91 forecast'!$D$338:$AF$417,'[13]Div 91 forecast'!AA$337,FALSE)</f>
        <v>4325.7878565589926</v>
      </c>
      <c r="K52" s="88">
        <f>VLOOKUP($B52,'[13]Div 91 forecast'!$D$338:$AF$417,'[13]Div 91 forecast'!AB$337,FALSE)</f>
        <v>3765.232703875241</v>
      </c>
      <c r="L52" s="88">
        <f>VLOOKUP($B52,'[13]Div 91 forecast'!$D$338:$AF$417,'[13]Div 91 forecast'!AC$337,FALSE)</f>
        <v>3755.3984029509666</v>
      </c>
      <c r="M52" s="88">
        <f>VLOOKUP($B52,'[13]Div 91 forecast'!$D$338:$AF$417,'[13]Div 91 forecast'!AD$337,FALSE)</f>
        <v>37.134520990086457</v>
      </c>
      <c r="N52" s="88">
        <f>VLOOKUP($B52,'[13]Div 91 forecast'!$D$338:$AF$417,'[13]Div 91 forecast'!AE$337,FALSE)</f>
        <v>19.799056860813579</v>
      </c>
      <c r="O52" s="88">
        <f>VLOOKUP($B52,'[13]Div 91 forecast'!$D$338:$AF$417,'[13]Div 91 forecast'!AF$337,FALSE)</f>
        <v>20.585800934755667</v>
      </c>
      <c r="P52" s="95">
        <f t="shared" si="0"/>
        <v>21824.359887661572</v>
      </c>
      <c r="Q52" s="955"/>
    </row>
    <row r="53" spans="1:17">
      <c r="A53" s="1036">
        <f t="shared" si="1"/>
        <v>42</v>
      </c>
      <c r="B53" s="570">
        <v>9250</v>
      </c>
      <c r="C53" s="73" t="s">
        <v>937</v>
      </c>
      <c r="D53" s="88">
        <f>VLOOKUP($B53,'[13]Div 91 forecast'!$D$338:$AF$417,'[13]Div 91 forecast'!U$337,FALSE)</f>
        <v>4614.6283924577701</v>
      </c>
      <c r="E53" s="88">
        <f>VLOOKUP($B53,'[13]Div 91 forecast'!$D$338:$AF$417,'[13]Div 91 forecast'!V$337,FALSE)</f>
        <v>3762.7280680196823</v>
      </c>
      <c r="F53" s="88">
        <f>VLOOKUP($B53,'[13]Div 91 forecast'!$D$338:$AF$417,'[13]Div 91 forecast'!W$337,FALSE)</f>
        <v>3874.2557883384807</v>
      </c>
      <c r="G53" s="88">
        <f>VLOOKUP($B53,'[13]Div 91 forecast'!$D$338:$AF$417,'[13]Div 91 forecast'!X$337,FALSE)</f>
        <v>27513.141625310542</v>
      </c>
      <c r="H53" s="88">
        <f>VLOOKUP($B53,'[13]Div 91 forecast'!$D$338:$AF$417,'[13]Div 91 forecast'!Y$337,FALSE)</f>
        <v>27813.478807680098</v>
      </c>
      <c r="I53" s="88">
        <f>VLOOKUP($B53,'[13]Div 91 forecast'!$D$338:$AF$417,'[13]Div 91 forecast'!Z$337,FALSE)</f>
        <v>28626.173189035311</v>
      </c>
      <c r="J53" s="88">
        <f>VLOOKUP($B53,'[13]Div 91 forecast'!$D$338:$AF$417,'[13]Div 91 forecast'!AA$337,FALSE)</f>
        <v>36209.534117922623</v>
      </c>
      <c r="K53" s="88">
        <f>VLOOKUP($B53,'[13]Div 91 forecast'!$D$338:$AF$417,'[13]Div 91 forecast'!AB$337,FALSE)</f>
        <v>31828.001831124471</v>
      </c>
      <c r="L53" s="88">
        <f>VLOOKUP($B53,'[13]Div 91 forecast'!$D$338:$AF$417,'[13]Div 91 forecast'!AC$337,FALSE)</f>
        <v>31754.521140573426</v>
      </c>
      <c r="M53" s="88">
        <f>VLOOKUP($B53,'[13]Div 91 forecast'!$D$338:$AF$417,'[13]Div 91 forecast'!AD$337,FALSE)</f>
        <v>4275.6114526798074</v>
      </c>
      <c r="N53" s="88">
        <f>VLOOKUP($B53,'[13]Div 91 forecast'!$D$338:$AF$417,'[13]Div 91 forecast'!AE$337,FALSE)</f>
        <v>2961.0000740022479</v>
      </c>
      <c r="O53" s="88">
        <f>VLOOKUP($B53,'[13]Div 91 forecast'!$D$338:$AF$417,'[13]Div 91 forecast'!AF$337,FALSE)</f>
        <v>3848.0067636678777</v>
      </c>
      <c r="P53" s="95">
        <f t="shared" si="0"/>
        <v>207081.08125081239</v>
      </c>
      <c r="Q53" s="955"/>
    </row>
    <row r="54" spans="1:17">
      <c r="A54" s="1036">
        <f t="shared" si="1"/>
        <v>43</v>
      </c>
      <c r="B54" s="735">
        <v>9260</v>
      </c>
      <c r="C54" s="73" t="s">
        <v>938</v>
      </c>
      <c r="D54" s="88">
        <f>VLOOKUP($B54,'[13]Div 91 forecast'!$D$338:$AF$417,'[13]Div 91 forecast'!U$337,FALSE)</f>
        <v>245690.97284475298</v>
      </c>
      <c r="E54" s="88">
        <f>VLOOKUP($B54,'[13]Div 91 forecast'!$D$338:$AF$417,'[13]Div 91 forecast'!V$337,FALSE)</f>
        <v>206577.37178365377</v>
      </c>
      <c r="F54" s="88">
        <f>VLOOKUP($B54,'[13]Div 91 forecast'!$D$338:$AF$417,'[13]Div 91 forecast'!W$337,FALSE)</f>
        <v>338532.96450190735</v>
      </c>
      <c r="G54" s="88">
        <f>VLOOKUP($B54,'[13]Div 91 forecast'!$D$338:$AF$417,'[13]Div 91 forecast'!X$337,FALSE)</f>
        <v>156944.04369794892</v>
      </c>
      <c r="H54" s="88">
        <f>VLOOKUP($B54,'[13]Div 91 forecast'!$D$338:$AF$417,'[13]Div 91 forecast'!Y$337,FALSE)</f>
        <v>233903.66939832619</v>
      </c>
      <c r="I54" s="88">
        <f>VLOOKUP($B54,'[13]Div 91 forecast'!$D$338:$AF$417,'[13]Div 91 forecast'!Z$337,FALSE)</f>
        <v>153852.21644692842</v>
      </c>
      <c r="J54" s="88">
        <f>VLOOKUP($B54,'[13]Div 91 forecast'!$D$338:$AF$417,'[13]Div 91 forecast'!AA$337,FALSE)</f>
        <v>276158.1793544059</v>
      </c>
      <c r="K54" s="88">
        <f>VLOOKUP($B54,'[13]Div 91 forecast'!$D$338:$AF$417,'[13]Div 91 forecast'!AB$337,FALSE)</f>
        <v>91570.116715606753</v>
      </c>
      <c r="L54" s="88">
        <f>VLOOKUP($B54,'[13]Div 91 forecast'!$D$338:$AF$417,'[13]Div 91 forecast'!AC$337,FALSE)</f>
        <v>90978.894522986942</v>
      </c>
      <c r="M54" s="88">
        <f>VLOOKUP($B54,'[13]Div 91 forecast'!$D$338:$AF$417,'[13]Div 91 forecast'!AD$337,FALSE)</f>
        <v>250118.2660120893</v>
      </c>
      <c r="N54" s="88">
        <f>VLOOKUP($B54,'[13]Div 91 forecast'!$D$338:$AF$417,'[13]Div 91 forecast'!AE$337,FALSE)</f>
        <v>76875.880742429101</v>
      </c>
      <c r="O54" s="88">
        <f>VLOOKUP($B54,'[13]Div 91 forecast'!$D$338:$AF$417,'[13]Div 91 forecast'!AF$337,FALSE)</f>
        <v>218622.4453581241</v>
      </c>
      <c r="P54" s="95">
        <f t="shared" si="0"/>
        <v>2339825.0213791598</v>
      </c>
      <c r="Q54" s="955"/>
    </row>
    <row r="55" spans="1:17">
      <c r="A55" s="1036">
        <f t="shared" si="1"/>
        <v>44</v>
      </c>
      <c r="B55" s="735">
        <v>9280</v>
      </c>
      <c r="C55" s="72" t="s">
        <v>940</v>
      </c>
      <c r="D55" s="88">
        <f>VLOOKUP($B55,'[13]Div 91 forecast'!$D$338:$AF$417,'[13]Div 91 forecast'!U$337,FALSE)</f>
        <v>0</v>
      </c>
      <c r="E55" s="88">
        <f>VLOOKUP($B55,'[13]Div 91 forecast'!$D$338:$AF$417,'[13]Div 91 forecast'!V$337,FALSE)</f>
        <v>0</v>
      </c>
      <c r="F55" s="88">
        <f>VLOOKUP($B55,'[13]Div 91 forecast'!$D$338:$AF$417,'[13]Div 91 forecast'!W$337,FALSE)</f>
        <v>0</v>
      </c>
      <c r="G55" s="88">
        <f>VLOOKUP($B55,'[13]Div 91 forecast'!$D$338:$AF$417,'[13]Div 91 forecast'!X$337,FALSE)</f>
        <v>0</v>
      </c>
      <c r="H55" s="88">
        <f>VLOOKUP($B55,'[13]Div 91 forecast'!$D$338:$AF$417,'[13]Div 91 forecast'!Y$337,FALSE)</f>
        <v>0</v>
      </c>
      <c r="I55" s="88">
        <f>VLOOKUP($B55,'[13]Div 91 forecast'!$D$338:$AF$417,'[13]Div 91 forecast'!Z$337,FALSE)</f>
        <v>0</v>
      </c>
      <c r="J55" s="88">
        <f>VLOOKUP($B55,'[13]Div 91 forecast'!$D$338:$AF$417,'[13]Div 91 forecast'!AA$337,FALSE)</f>
        <v>0</v>
      </c>
      <c r="K55" s="88">
        <f>VLOOKUP($B55,'[13]Div 91 forecast'!$D$338:$AF$417,'[13]Div 91 forecast'!AB$337,FALSE)</f>
        <v>0</v>
      </c>
      <c r="L55" s="88">
        <f>VLOOKUP($B55,'[13]Div 91 forecast'!$D$338:$AF$417,'[13]Div 91 forecast'!AC$337,FALSE)</f>
        <v>0</v>
      </c>
      <c r="M55" s="88">
        <f>VLOOKUP($B55,'[13]Div 91 forecast'!$D$338:$AF$417,'[13]Div 91 forecast'!AD$337,FALSE)</f>
        <v>0</v>
      </c>
      <c r="N55" s="88">
        <f>VLOOKUP($B55,'[13]Div 91 forecast'!$D$338:$AF$417,'[13]Div 91 forecast'!AE$337,FALSE)</f>
        <v>0</v>
      </c>
      <c r="O55" s="88">
        <f>VLOOKUP($B55,'[13]Div 91 forecast'!$D$338:$AF$417,'[13]Div 91 forecast'!AF$337,FALSE)</f>
        <v>0</v>
      </c>
      <c r="P55" s="95">
        <f t="shared" ref="P55" si="7">SUM(D55:O55)</f>
        <v>0</v>
      </c>
      <c r="Q55" s="955"/>
    </row>
    <row r="56" spans="1:17">
      <c r="A56" s="1036">
        <f t="shared" si="1"/>
        <v>45</v>
      </c>
      <c r="B56" s="570">
        <v>9302</v>
      </c>
      <c r="C56" s="73" t="s">
        <v>849</v>
      </c>
      <c r="D56" s="88">
        <f>VLOOKUP($B56,'[13]Div 91 forecast'!$D$338:$AF$417,'[13]Div 91 forecast'!U$337,FALSE)</f>
        <v>0</v>
      </c>
      <c r="E56" s="88">
        <f>VLOOKUP($B56,'[13]Div 91 forecast'!$D$338:$AF$417,'[13]Div 91 forecast'!V$337,FALSE)</f>
        <v>0</v>
      </c>
      <c r="F56" s="88">
        <f>VLOOKUP($B56,'[13]Div 91 forecast'!$D$338:$AF$417,'[13]Div 91 forecast'!W$337,FALSE)</f>
        <v>0</v>
      </c>
      <c r="G56" s="88">
        <f>VLOOKUP($B56,'[13]Div 91 forecast'!$D$338:$AF$417,'[13]Div 91 forecast'!X$337,FALSE)</f>
        <v>0</v>
      </c>
      <c r="H56" s="88">
        <f>VLOOKUP($B56,'[13]Div 91 forecast'!$D$338:$AF$417,'[13]Div 91 forecast'!Y$337,FALSE)</f>
        <v>0</v>
      </c>
      <c r="I56" s="88">
        <f>VLOOKUP($B56,'[13]Div 91 forecast'!$D$338:$AF$417,'[13]Div 91 forecast'!Z$337,FALSE)</f>
        <v>0</v>
      </c>
      <c r="J56" s="88">
        <f>VLOOKUP($B56,'[13]Div 91 forecast'!$D$338:$AF$417,'[13]Div 91 forecast'!AA$337,FALSE)</f>
        <v>0</v>
      </c>
      <c r="K56" s="88">
        <f>VLOOKUP($B56,'[13]Div 91 forecast'!$D$338:$AF$417,'[13]Div 91 forecast'!AB$337,FALSE)</f>
        <v>0</v>
      </c>
      <c r="L56" s="88">
        <f>VLOOKUP($B56,'[13]Div 91 forecast'!$D$338:$AF$417,'[13]Div 91 forecast'!AC$337,FALSE)</f>
        <v>0</v>
      </c>
      <c r="M56" s="88">
        <f>VLOOKUP($B56,'[13]Div 91 forecast'!$D$338:$AF$417,'[13]Div 91 forecast'!AD$337,FALSE)</f>
        <v>0</v>
      </c>
      <c r="N56" s="88">
        <f>VLOOKUP($B56,'[13]Div 91 forecast'!$D$338:$AF$417,'[13]Div 91 forecast'!AE$337,FALSE)</f>
        <v>0</v>
      </c>
      <c r="O56" s="88">
        <f>VLOOKUP($B56,'[13]Div 91 forecast'!$D$338:$AF$417,'[13]Div 91 forecast'!AF$337,FALSE)</f>
        <v>0</v>
      </c>
      <c r="P56" s="95">
        <f t="shared" si="0"/>
        <v>0</v>
      </c>
      <c r="Q56" s="955"/>
    </row>
    <row r="57" spans="1:17">
      <c r="A57" s="1036">
        <f t="shared" si="1"/>
        <v>46</v>
      </c>
      <c r="B57" s="570">
        <v>9310</v>
      </c>
      <c r="C57" s="73" t="s">
        <v>183</v>
      </c>
      <c r="D57" s="88">
        <f>VLOOKUP($B57,'[13]Div 91 forecast'!$D$338:$AF$417,'[13]Div 91 forecast'!U$337,FALSE)</f>
        <v>0</v>
      </c>
      <c r="E57" s="88">
        <f>VLOOKUP($B57,'[13]Div 91 forecast'!$D$338:$AF$417,'[13]Div 91 forecast'!V$337,FALSE)</f>
        <v>0</v>
      </c>
      <c r="F57" s="88">
        <f>VLOOKUP($B57,'[13]Div 91 forecast'!$D$338:$AF$417,'[13]Div 91 forecast'!W$337,FALSE)</f>
        <v>0</v>
      </c>
      <c r="G57" s="88">
        <f>VLOOKUP($B57,'[13]Div 91 forecast'!$D$338:$AF$417,'[13]Div 91 forecast'!X$337,FALSE)</f>
        <v>0</v>
      </c>
      <c r="H57" s="88">
        <f>VLOOKUP($B57,'[13]Div 91 forecast'!$D$338:$AF$417,'[13]Div 91 forecast'!Y$337,FALSE)</f>
        <v>0</v>
      </c>
      <c r="I57" s="88">
        <f>VLOOKUP($B57,'[13]Div 91 forecast'!$D$338:$AF$417,'[13]Div 91 forecast'!Z$337,FALSE)</f>
        <v>0</v>
      </c>
      <c r="J57" s="88">
        <f>VLOOKUP($B57,'[13]Div 91 forecast'!$D$338:$AF$417,'[13]Div 91 forecast'!AA$337,FALSE)</f>
        <v>0</v>
      </c>
      <c r="K57" s="88">
        <f>VLOOKUP($B57,'[13]Div 91 forecast'!$D$338:$AF$417,'[13]Div 91 forecast'!AB$337,FALSE)</f>
        <v>0</v>
      </c>
      <c r="L57" s="88">
        <f>VLOOKUP($B57,'[13]Div 91 forecast'!$D$338:$AF$417,'[13]Div 91 forecast'!AC$337,FALSE)</f>
        <v>0</v>
      </c>
      <c r="M57" s="88">
        <f>VLOOKUP($B57,'[13]Div 91 forecast'!$D$338:$AF$417,'[13]Div 91 forecast'!AD$337,FALSE)</f>
        <v>0</v>
      </c>
      <c r="N57" s="88">
        <f>VLOOKUP($B57,'[13]Div 91 forecast'!$D$338:$AF$417,'[13]Div 91 forecast'!AE$337,FALSE)</f>
        <v>0</v>
      </c>
      <c r="O57" s="88">
        <f>VLOOKUP($B57,'[13]Div 91 forecast'!$D$338:$AF$417,'[13]Div 91 forecast'!AF$337,FALSE)</f>
        <v>0</v>
      </c>
      <c r="P57" s="95">
        <f t="shared" si="0"/>
        <v>0</v>
      </c>
      <c r="Q57" s="955"/>
    </row>
    <row r="58" spans="1:17">
      <c r="A58" s="1036">
        <f t="shared" si="1"/>
        <v>47</v>
      </c>
      <c r="B58" s="73"/>
      <c r="C58" s="705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73"/>
      <c r="P58" s="73"/>
      <c r="Q58" s="955"/>
    </row>
    <row r="59" spans="1:17" ht="15.75" thickBot="1">
      <c r="A59" s="1036">
        <f t="shared" si="1"/>
        <v>48</v>
      </c>
      <c r="B59" s="73" t="s">
        <v>728</v>
      </c>
      <c r="C59" s="705"/>
      <c r="D59" s="1131">
        <f t="shared" ref="D59:P59" si="8">SUM(D12:D58)</f>
        <v>0</v>
      </c>
      <c r="E59" s="1131">
        <f t="shared" si="8"/>
        <v>-1.1641532182693481E-10</v>
      </c>
      <c r="F59" s="1131">
        <f t="shared" si="8"/>
        <v>0</v>
      </c>
      <c r="G59" s="1131">
        <f t="shared" si="8"/>
        <v>5.8207660913467407E-11</v>
      </c>
      <c r="H59" s="1131">
        <f t="shared" si="8"/>
        <v>-2.9103830456733704E-11</v>
      </c>
      <c r="I59" s="1131">
        <f t="shared" si="8"/>
        <v>8.7311491370201111E-11</v>
      </c>
      <c r="J59" s="1131">
        <f t="shared" si="8"/>
        <v>-1.7462298274040222E-10</v>
      </c>
      <c r="K59" s="1131">
        <f t="shared" si="8"/>
        <v>-4.3655745685100555E-11</v>
      </c>
      <c r="L59" s="1131">
        <f t="shared" si="8"/>
        <v>-4.3655745685100555E-11</v>
      </c>
      <c r="M59" s="1131">
        <f t="shared" si="8"/>
        <v>-1.1641532182693481E-10</v>
      </c>
      <c r="N59" s="1131">
        <f t="shared" si="8"/>
        <v>5.8207660913467407E-11</v>
      </c>
      <c r="O59" s="1131">
        <f t="shared" si="8"/>
        <v>0</v>
      </c>
      <c r="P59" s="1131">
        <f t="shared" si="8"/>
        <v>4.6566128730773926E-10</v>
      </c>
      <c r="Q59" s="955"/>
    </row>
    <row r="60" spans="1:17" ht="15.75" thickTop="1">
      <c r="A60" s="1036">
        <f t="shared" si="1"/>
        <v>49</v>
      </c>
      <c r="B60" s="73"/>
      <c r="C60" s="705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955"/>
    </row>
    <row r="61" spans="1:17">
      <c r="A61" s="1036">
        <f t="shared" si="1"/>
        <v>50</v>
      </c>
      <c r="B61" s="1132">
        <f t="shared" ref="B61:O61" si="9">B50</f>
        <v>9220</v>
      </c>
      <c r="C61" s="95" t="str">
        <f t="shared" si="9"/>
        <v>A&amp;G-Administrative expense transferred-Credit</v>
      </c>
      <c r="D61" s="95">
        <f t="shared" si="9"/>
        <v>-865488.52558253845</v>
      </c>
      <c r="E61" s="95">
        <f t="shared" si="9"/>
        <v>-786593.50499690592</v>
      </c>
      <c r="F61" s="95">
        <f t="shared" si="9"/>
        <v>-881301.68033295753</v>
      </c>
      <c r="G61" s="95">
        <f t="shared" si="9"/>
        <v>-1033658.3467302711</v>
      </c>
      <c r="H61" s="95">
        <f t="shared" si="9"/>
        <v>-1037007.2618060115</v>
      </c>
      <c r="I61" s="95">
        <f t="shared" si="9"/>
        <v>-927849.03673027118</v>
      </c>
      <c r="J61" s="95">
        <f t="shared" si="9"/>
        <v>-1068076.8067302713</v>
      </c>
      <c r="K61" s="95">
        <f t="shared" si="9"/>
        <v>-951855.99673027126</v>
      </c>
      <c r="L61" s="95">
        <f t="shared" si="9"/>
        <v>-932334.27537244069</v>
      </c>
      <c r="M61" s="95">
        <f t="shared" si="9"/>
        <v>-807882.4840815611</v>
      </c>
      <c r="N61" s="95">
        <f t="shared" si="9"/>
        <v>-596968.4967906914</v>
      </c>
      <c r="O61" s="95">
        <f t="shared" si="9"/>
        <v>-786910.65872246795</v>
      </c>
      <c r="P61" s="95">
        <f>SUM(D61:O61)</f>
        <v>-10675927.074606659</v>
      </c>
      <c r="Q61" s="955"/>
    </row>
    <row r="62" spans="1:17">
      <c r="A62" s="1036">
        <f t="shared" si="1"/>
        <v>51</v>
      </c>
      <c r="B62" s="73"/>
      <c r="C62" s="73" t="s">
        <v>194</v>
      </c>
      <c r="D62" s="1133">
        <f>Allocation!$E$17</f>
        <v>0.50419999999999998</v>
      </c>
      <c r="E62" s="1133">
        <f>D62</f>
        <v>0.50419999999999998</v>
      </c>
      <c r="F62" s="1133">
        <f t="shared" ref="F62:O62" si="10">E62</f>
        <v>0.50419999999999998</v>
      </c>
      <c r="G62" s="1133">
        <f t="shared" si="10"/>
        <v>0.50419999999999998</v>
      </c>
      <c r="H62" s="1133">
        <f t="shared" si="10"/>
        <v>0.50419999999999998</v>
      </c>
      <c r="I62" s="1133">
        <f t="shared" si="10"/>
        <v>0.50419999999999998</v>
      </c>
      <c r="J62" s="1133">
        <f t="shared" si="10"/>
        <v>0.50419999999999998</v>
      </c>
      <c r="K62" s="1133">
        <f t="shared" si="10"/>
        <v>0.50419999999999998</v>
      </c>
      <c r="L62" s="1133">
        <f t="shared" si="10"/>
        <v>0.50419999999999998</v>
      </c>
      <c r="M62" s="1133">
        <f t="shared" si="10"/>
        <v>0.50419999999999998</v>
      </c>
      <c r="N62" s="1133">
        <f t="shared" si="10"/>
        <v>0.50419999999999998</v>
      </c>
      <c r="O62" s="1133">
        <f t="shared" si="10"/>
        <v>0.50419999999999998</v>
      </c>
      <c r="P62" s="1136">
        <f>P63/P61</f>
        <v>0.50420000000000009</v>
      </c>
      <c r="Q62" s="955"/>
    </row>
    <row r="63" spans="1:17">
      <c r="A63" s="1036">
        <f t="shared" si="1"/>
        <v>52</v>
      </c>
      <c r="B63" s="73"/>
      <c r="C63" s="73" t="s">
        <v>209</v>
      </c>
      <c r="D63" s="95">
        <f>D61*D62</f>
        <v>-436379.31459871586</v>
      </c>
      <c r="E63" s="95">
        <f t="shared" ref="E63:O63" si="11">E61*E62</f>
        <v>-396600.44521943998</v>
      </c>
      <c r="F63" s="95">
        <f t="shared" si="11"/>
        <v>-444352.30722387717</v>
      </c>
      <c r="G63" s="95">
        <f t="shared" si="11"/>
        <v>-521170.53842140269</v>
      </c>
      <c r="H63" s="95">
        <f t="shared" si="11"/>
        <v>-522859.061402591</v>
      </c>
      <c r="I63" s="95">
        <f t="shared" si="11"/>
        <v>-467821.48431940272</v>
      </c>
      <c r="J63" s="95">
        <f t="shared" si="11"/>
        <v>-538524.32595340279</v>
      </c>
      <c r="K63" s="95">
        <f t="shared" si="11"/>
        <v>-479925.79355140275</v>
      </c>
      <c r="L63" s="95">
        <f t="shared" si="11"/>
        <v>-470082.94164278457</v>
      </c>
      <c r="M63" s="95">
        <f t="shared" si="11"/>
        <v>-407334.34847392311</v>
      </c>
      <c r="N63" s="95">
        <f t="shared" si="11"/>
        <v>-300991.51608186658</v>
      </c>
      <c r="O63" s="95">
        <f t="shared" si="11"/>
        <v>-396760.35412786831</v>
      </c>
      <c r="P63" s="95">
        <f>SUM(D63:O63)</f>
        <v>-5382802.431016678</v>
      </c>
      <c r="Q63" s="955"/>
    </row>
    <row r="64" spans="1:17">
      <c r="A64" s="73"/>
      <c r="B64" s="73"/>
      <c r="C64" s="705"/>
      <c r="D64" s="528"/>
      <c r="E64" s="73"/>
      <c r="F64" s="73"/>
      <c r="G64" s="73"/>
      <c r="H64" s="73"/>
      <c r="I64" s="73"/>
      <c r="J64" s="66"/>
      <c r="K64" s="66"/>
      <c r="L64" s="66"/>
      <c r="M64" s="66"/>
      <c r="N64" s="66"/>
      <c r="O64" s="66"/>
      <c r="P64" s="66"/>
      <c r="Q64" s="955"/>
    </row>
    <row r="65" spans="1:17">
      <c r="A65" s="73"/>
      <c r="B65" s="73"/>
      <c r="C65" s="705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66"/>
      <c r="O65" s="66"/>
      <c r="P65" s="73"/>
      <c r="Q65" s="955"/>
    </row>
    <row r="66" spans="1:17">
      <c r="A66" s="73"/>
      <c r="B66" s="73" t="s">
        <v>557</v>
      </c>
      <c r="C66" s="705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66"/>
      <c r="O66" s="66"/>
      <c r="P66" s="73"/>
      <c r="Q66" s="955"/>
    </row>
    <row r="67" spans="1:17">
      <c r="A67" s="73"/>
      <c r="B67" s="73"/>
      <c r="C67" s="705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66"/>
      <c r="O67" s="66"/>
      <c r="P67" s="73"/>
      <c r="Q67" s="955"/>
    </row>
    <row r="68" spans="1:17">
      <c r="A68" s="73"/>
      <c r="B68" s="73"/>
      <c r="C68" s="150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955"/>
    </row>
    <row r="69" spans="1:17">
      <c r="A69" s="73"/>
      <c r="B69" s="73"/>
      <c r="C69" s="73"/>
      <c r="D69" s="95">
        <f>D61</f>
        <v>-865488.52558253845</v>
      </c>
      <c r="E69" s="95">
        <f t="shared" ref="E69:O69" si="12">E61</f>
        <v>-786593.50499690592</v>
      </c>
      <c r="F69" s="95">
        <f t="shared" si="12"/>
        <v>-881301.68033295753</v>
      </c>
      <c r="G69" s="95">
        <f t="shared" si="12"/>
        <v>-1033658.3467302711</v>
      </c>
      <c r="H69" s="95">
        <f t="shared" si="12"/>
        <v>-1037007.2618060115</v>
      </c>
      <c r="I69" s="95">
        <f t="shared" si="12"/>
        <v>-927849.03673027118</v>
      </c>
      <c r="J69" s="95">
        <f t="shared" si="12"/>
        <v>-1068076.8067302713</v>
      </c>
      <c r="K69" s="95">
        <f t="shared" si="12"/>
        <v>-951855.99673027126</v>
      </c>
      <c r="L69" s="95">
        <f t="shared" si="12"/>
        <v>-932334.27537244069</v>
      </c>
      <c r="M69" s="95">
        <f t="shared" si="12"/>
        <v>-807882.4840815611</v>
      </c>
      <c r="N69" s="95">
        <f t="shared" si="12"/>
        <v>-596968.4967906914</v>
      </c>
      <c r="O69" s="95">
        <f t="shared" si="12"/>
        <v>-786910.65872246795</v>
      </c>
      <c r="P69" s="73"/>
      <c r="Q69" s="955"/>
    </row>
    <row r="70" spans="1:17">
      <c r="A70" s="73"/>
      <c r="B70" s="73"/>
      <c r="C70" s="73"/>
      <c r="D70" s="95">
        <f>'[13]Div 91 forecast'!U326</f>
        <v>865488.52558253857</v>
      </c>
      <c r="E70" s="95">
        <f>'[13]Div 91 forecast'!V326</f>
        <v>786593.50499690592</v>
      </c>
      <c r="F70" s="95">
        <f>'[13]Div 91 forecast'!W326</f>
        <v>881301.68033295788</v>
      </c>
      <c r="G70" s="95">
        <f>'[13]Div 91 forecast'!X326</f>
        <v>1033658.3467302712</v>
      </c>
      <c r="H70" s="95">
        <f>'[13]Div 91 forecast'!Y326</f>
        <v>1037007.2618060117</v>
      </c>
      <c r="I70" s="95">
        <f>'[13]Div 91 forecast'!Z326</f>
        <v>927849.0367302713</v>
      </c>
      <c r="J70" s="95">
        <f>'[13]Div 91 forecast'!AA326</f>
        <v>1068076.8067302713</v>
      </c>
      <c r="K70" s="95">
        <f>'[13]Div 91 forecast'!AB326</f>
        <v>951855.99673027126</v>
      </c>
      <c r="L70" s="95">
        <f>'[13]Div 91 forecast'!AC326</f>
        <v>932334.27537244081</v>
      </c>
      <c r="M70" s="95">
        <f>'[13]Div 91 forecast'!AD326</f>
        <v>807882.4840815611</v>
      </c>
      <c r="N70" s="95">
        <f>'[13]Div 91 forecast'!AE326</f>
        <v>596968.49679069151</v>
      </c>
      <c r="O70" s="95">
        <f>'[13]Div 91 forecast'!AF326</f>
        <v>786910.65872246784</v>
      </c>
      <c r="P70" s="73"/>
      <c r="Q70" s="955"/>
    </row>
    <row r="71" spans="1:17">
      <c r="A71" s="73"/>
      <c r="B71" s="73" t="s">
        <v>942</v>
      </c>
      <c r="C71" s="73"/>
      <c r="D71" s="95">
        <f>D69+D70</f>
        <v>0</v>
      </c>
      <c r="E71" s="95">
        <f t="shared" ref="E71:O71" si="13">E69+E70</f>
        <v>0</v>
      </c>
      <c r="F71" s="95">
        <f t="shared" si="13"/>
        <v>0</v>
      </c>
      <c r="G71" s="95">
        <f t="shared" si="13"/>
        <v>0</v>
      </c>
      <c r="H71" s="95">
        <f t="shared" si="13"/>
        <v>0</v>
      </c>
      <c r="I71" s="95">
        <f t="shared" si="13"/>
        <v>0</v>
      </c>
      <c r="J71" s="95">
        <f t="shared" si="13"/>
        <v>0</v>
      </c>
      <c r="K71" s="95">
        <f t="shared" si="13"/>
        <v>0</v>
      </c>
      <c r="L71" s="95">
        <f t="shared" si="13"/>
        <v>0</v>
      </c>
      <c r="M71" s="95">
        <f t="shared" si="13"/>
        <v>0</v>
      </c>
      <c r="N71" s="95">
        <f t="shared" si="13"/>
        <v>0</v>
      </c>
      <c r="O71" s="95">
        <f t="shared" si="13"/>
        <v>0</v>
      </c>
      <c r="P71" s="73"/>
      <c r="Q71" s="955"/>
    </row>
    <row r="72" spans="1:17">
      <c r="A72" s="73"/>
      <c r="B72" s="73" t="s">
        <v>1571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332"/>
      <c r="P72" s="73"/>
      <c r="Q72" s="955"/>
    </row>
    <row r="73" spans="1:17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150"/>
      <c r="P73" s="73"/>
      <c r="Q73" s="955"/>
    </row>
    <row r="74" spans="1:17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150"/>
      <c r="P74" s="73"/>
      <c r="Q74" s="955"/>
    </row>
    <row r="75" spans="1:17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955"/>
    </row>
    <row r="76" spans="1:17">
      <c r="A76" s="73"/>
      <c r="Q76" s="955"/>
    </row>
    <row r="77" spans="1:17">
      <c r="A77" s="73"/>
      <c r="Q77" s="955"/>
    </row>
    <row r="78" spans="1:17">
      <c r="Q78" s="955"/>
    </row>
    <row r="79" spans="1:17">
      <c r="Q79" s="955"/>
    </row>
    <row r="80" spans="1:17">
      <c r="Q80" s="955"/>
    </row>
    <row r="81" spans="17:17">
      <c r="Q81" s="955"/>
    </row>
    <row r="82" spans="17:17">
      <c r="Q82" s="955"/>
    </row>
    <row r="83" spans="17:17">
      <c r="Q83" s="955"/>
    </row>
    <row r="84" spans="17:17">
      <c r="Q84" s="955"/>
    </row>
    <row r="85" spans="17:17">
      <c r="Q85" s="955"/>
    </row>
    <row r="86" spans="17:17">
      <c r="Q86" s="955"/>
    </row>
    <row r="87" spans="17:17">
      <c r="Q87" s="955"/>
    </row>
    <row r="88" spans="17:17">
      <c r="Q88" s="955"/>
    </row>
    <row r="89" spans="17:17">
      <c r="Q89" s="955"/>
    </row>
    <row r="90" spans="17:17">
      <c r="Q90" s="955"/>
    </row>
    <row r="91" spans="17:17">
      <c r="Q91" s="955"/>
    </row>
    <row r="92" spans="17:17">
      <c r="Q92" s="955"/>
    </row>
    <row r="93" spans="17:17">
      <c r="Q93" s="955"/>
    </row>
    <row r="94" spans="17:17">
      <c r="Q94" s="955"/>
    </row>
    <row r="95" spans="17:17">
      <c r="Q95" s="955"/>
    </row>
    <row r="96" spans="17:17">
      <c r="Q96" s="955"/>
    </row>
  </sheetData>
  <sortState xmlns:xlrd2="http://schemas.microsoft.com/office/spreadsheetml/2017/richdata2" ref="Q14:Q96">
    <sortCondition ref="Q14:Q96"/>
  </sortState>
  <mergeCells count="4">
    <mergeCell ref="A1:P1"/>
    <mergeCell ref="A2:P2"/>
    <mergeCell ref="A3:P3"/>
    <mergeCell ref="A4:P4"/>
  </mergeCells>
  <phoneticPr fontId="21" type="noConversion"/>
  <printOptions horizontalCentered="1"/>
  <pageMargins left="0.5" right="0.5" top="0.75" bottom="0.5" header="0.5" footer="0.25"/>
  <pageSetup scale="47" fitToHeight="2" orientation="landscape" verticalDpi="300" r:id="rId1"/>
  <headerFooter alignWithMargins="0">
    <oddFooter>&amp;RSchedule &amp;A
Page &amp;P of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13">
    <pageSetUpPr fitToPage="1"/>
  </sheetPr>
  <dimension ref="A1:S84"/>
  <sheetViews>
    <sheetView view="pageBreakPreview" zoomScale="80" zoomScaleNormal="100" zoomScaleSheetLayoutView="80" workbookViewId="0">
      <selection sqref="A1:O1"/>
    </sheetView>
  </sheetViews>
  <sheetFormatPr defaultColWidth="8.88671875" defaultRowHeight="15"/>
  <cols>
    <col min="1" max="1" width="4.6640625" style="172" customWidth="1"/>
    <col min="2" max="2" width="40.6640625" style="172" customWidth="1"/>
    <col min="3" max="7" width="12" style="172" bestFit="1" customWidth="1"/>
    <col min="8" max="8" width="11.77734375" style="172" customWidth="1"/>
    <col min="9" max="10" width="10.88671875" style="172" customWidth="1"/>
    <col min="11" max="11" width="11" style="172" bestFit="1" customWidth="1"/>
    <col min="12" max="12" width="11.109375" style="172" customWidth="1"/>
    <col min="13" max="13" width="12.33203125" style="172" customWidth="1"/>
    <col min="14" max="14" width="12.6640625" style="172" customWidth="1"/>
    <col min="15" max="15" width="13.77734375" style="172" customWidth="1"/>
    <col min="16" max="16" width="9.77734375" style="172" bestFit="1" customWidth="1"/>
    <col min="17" max="17" width="11.44140625" style="172" bestFit="1" customWidth="1"/>
    <col min="18" max="16384" width="8.88671875" style="172"/>
  </cols>
  <sheetData>
    <row r="1" spans="1:19" s="73" customFormat="1">
      <c r="A1" s="1270" t="str">
        <f>'Table of Contents'!A1:C1</f>
        <v>Atmos Energy Corporation, Kentucky/Mid-States Division</v>
      </c>
      <c r="B1" s="1270"/>
      <c r="C1" s="1270"/>
      <c r="D1" s="1270"/>
      <c r="E1" s="1270"/>
      <c r="F1" s="1270"/>
      <c r="G1" s="1270"/>
      <c r="H1" s="1270"/>
      <c r="I1" s="1270"/>
      <c r="J1" s="1270"/>
      <c r="K1" s="1270"/>
      <c r="L1" s="1270"/>
      <c r="M1" s="1270"/>
      <c r="N1" s="1270"/>
      <c r="O1" s="1270"/>
    </row>
    <row r="2" spans="1:19" s="73" customFormat="1">
      <c r="A2" s="1270" t="str">
        <f>'Table of Contents'!A2:C2</f>
        <v>Kentucky Jurisdiction Case No. 2021-00214</v>
      </c>
      <c r="B2" s="1270"/>
      <c r="C2" s="1270"/>
      <c r="D2" s="1270"/>
      <c r="E2" s="1270"/>
      <c r="F2" s="1270"/>
      <c r="G2" s="1270"/>
      <c r="H2" s="1270"/>
      <c r="I2" s="1270"/>
      <c r="J2" s="1270"/>
      <c r="K2" s="1270"/>
      <c r="L2" s="1270"/>
      <c r="M2" s="1270"/>
      <c r="N2" s="1270"/>
      <c r="O2" s="1270"/>
    </row>
    <row r="3" spans="1:19" s="73" customFormat="1">
      <c r="A3" s="1271" t="s">
        <v>191</v>
      </c>
      <c r="B3" s="1271"/>
      <c r="C3" s="1271"/>
      <c r="D3" s="1271"/>
      <c r="E3" s="1271"/>
      <c r="F3" s="1271"/>
      <c r="G3" s="1271"/>
      <c r="H3" s="1271"/>
      <c r="I3" s="1271"/>
      <c r="J3" s="1271"/>
      <c r="K3" s="1271"/>
      <c r="L3" s="1271"/>
      <c r="M3" s="1271"/>
      <c r="N3" s="1271"/>
      <c r="O3" s="1271"/>
    </row>
    <row r="4" spans="1:19">
      <c r="A4" s="1270" t="str">
        <f>'Table of Contents'!A3:C3</f>
        <v>Base Period: Twelve Months Ended September 30, 2021</v>
      </c>
      <c r="B4" s="1270"/>
      <c r="C4" s="1270"/>
      <c r="D4" s="1270"/>
      <c r="E4" s="1270"/>
      <c r="F4" s="1270"/>
      <c r="G4" s="1270"/>
      <c r="H4" s="1270"/>
      <c r="I4" s="1270"/>
      <c r="J4" s="1270"/>
      <c r="K4" s="1270"/>
      <c r="L4" s="1270"/>
      <c r="M4" s="1270"/>
      <c r="N4" s="1270"/>
      <c r="O4" s="1270"/>
      <c r="P4" s="73"/>
      <c r="Q4" s="557"/>
    </row>
    <row r="5" spans="1:19">
      <c r="A5" s="73"/>
      <c r="B5" s="133"/>
      <c r="C5" s="133"/>
      <c r="D5" s="133"/>
      <c r="E5" s="133"/>
      <c r="F5" s="700"/>
      <c r="G5" s="175"/>
      <c r="H5" s="175"/>
      <c r="I5" s="175"/>
      <c r="J5" s="544"/>
      <c r="K5" s="557"/>
      <c r="Q5" s="641"/>
    </row>
    <row r="6" spans="1:19">
      <c r="A6" s="472" t="str">
        <f>'C.2.1 B'!A6</f>
        <v>Data:___X____Base Period________Forecasted Period</v>
      </c>
      <c r="I6" s="175"/>
      <c r="M6" s="202"/>
      <c r="O6" s="425" t="s">
        <v>1374</v>
      </c>
      <c r="P6" s="73"/>
    </row>
    <row r="7" spans="1:19">
      <c r="A7" s="472" t="str">
        <f>'C.2.1 B'!A7</f>
        <v>Type of Filing:___X____Original________Updated ________Revised</v>
      </c>
      <c r="E7" s="544"/>
      <c r="I7" s="175"/>
      <c r="J7" s="544"/>
      <c r="M7" s="202"/>
      <c r="N7" s="673"/>
      <c r="O7" s="426" t="s">
        <v>708</v>
      </c>
    </row>
    <row r="8" spans="1:19">
      <c r="A8" s="1061" t="str">
        <f>'C.2.1 B'!A8</f>
        <v>Workpaper Reference No(s).____________________</v>
      </c>
      <c r="B8" s="209"/>
      <c r="C8" s="208"/>
      <c r="D8" s="208"/>
      <c r="E8" s="208"/>
      <c r="F8" s="208"/>
      <c r="G8" s="208"/>
      <c r="H8" s="208"/>
      <c r="I8" s="175"/>
      <c r="J8" s="208"/>
      <c r="K8" s="209"/>
      <c r="L8" s="209"/>
      <c r="M8" s="209"/>
      <c r="N8" s="177"/>
      <c r="O8" s="427" t="s">
        <v>1620</v>
      </c>
    </row>
    <row r="9" spans="1:19">
      <c r="A9" s="279" t="s">
        <v>92</v>
      </c>
      <c r="C9" s="1128" t="str">
        <f>'C.2.2 B 09'!D9</f>
        <v>actual</v>
      </c>
      <c r="D9" s="1128" t="str">
        <f>'C.2.2 B 09'!E9</f>
        <v>actual</v>
      </c>
      <c r="E9" s="1128" t="str">
        <f>'C.2.2 B 09'!F9</f>
        <v>actual</v>
      </c>
      <c r="F9" s="1128" t="str">
        <f>'C.2.2 B 09'!G9</f>
        <v>actual</v>
      </c>
      <c r="G9" s="1128" t="str">
        <f>'C.2.2 B 09'!H9</f>
        <v>actual</v>
      </c>
      <c r="H9" s="1128" t="str">
        <f>'C.2.2 B 09'!I9</f>
        <v>actual</v>
      </c>
      <c r="I9" s="1137" t="str">
        <f>'C.2.2 B 09'!J9</f>
        <v>Budgeted</v>
      </c>
      <c r="J9" s="1128" t="str">
        <f>'C.2.2 B 09'!K9</f>
        <v>Budgeted</v>
      </c>
      <c r="K9" s="1128" t="str">
        <f>'C.2.2 B 09'!L9</f>
        <v>Budgeted</v>
      </c>
      <c r="L9" s="1128" t="str">
        <f>'C.2.2 B 09'!M9</f>
        <v>Budgeted</v>
      </c>
      <c r="M9" s="1128" t="str">
        <f>'C.2.2 B 09'!N9</f>
        <v>Budgeted</v>
      </c>
      <c r="N9" s="1128" t="str">
        <f>'C.2.2 B 09'!O9</f>
        <v>Budgeted</v>
      </c>
      <c r="O9" s="704"/>
    </row>
    <row r="10" spans="1:19">
      <c r="A10" s="280" t="s">
        <v>98</v>
      </c>
      <c r="B10" s="177" t="s">
        <v>190</v>
      </c>
      <c r="C10" s="1129">
        <f>'C.2.2 B 09'!D10</f>
        <v>44105</v>
      </c>
      <c r="D10" s="1129">
        <f>'C.2.2 B 09'!E10</f>
        <v>44136</v>
      </c>
      <c r="E10" s="1129">
        <f>'C.2.2 B 09'!F10</f>
        <v>44166</v>
      </c>
      <c r="F10" s="1129">
        <f>'C.2.2 B 09'!G10</f>
        <v>44197</v>
      </c>
      <c r="G10" s="1129">
        <f>'C.2.2 B 09'!H10</f>
        <v>44228</v>
      </c>
      <c r="H10" s="1129">
        <f>'C.2.2 B 09'!I10</f>
        <v>44256</v>
      </c>
      <c r="I10" s="1129">
        <f>'C.2.2 B 09'!J10</f>
        <v>44287</v>
      </c>
      <c r="J10" s="1129">
        <f>'C.2.2 B 09'!K10</f>
        <v>44317</v>
      </c>
      <c r="K10" s="1129">
        <f>'C.2.2 B 09'!L10</f>
        <v>44348</v>
      </c>
      <c r="L10" s="1129">
        <f>'C.2.2 B 09'!M10</f>
        <v>44378</v>
      </c>
      <c r="M10" s="1129">
        <f>'C.2.2 B 09'!N10</f>
        <v>44409</v>
      </c>
      <c r="N10" s="1129">
        <f>'C.2.2 B 09'!O10</f>
        <v>44440</v>
      </c>
      <c r="O10" s="1129" t="str">
        <f>'C.2.2 B 09'!P10</f>
        <v>Total</v>
      </c>
      <c r="P10" s="709"/>
    </row>
    <row r="11" spans="1:19" ht="15.75">
      <c r="B11" s="267" t="s">
        <v>192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</row>
    <row r="12" spans="1:19">
      <c r="A12" s="389">
        <v>1</v>
      </c>
      <c r="C12" s="736"/>
      <c r="D12" s="736"/>
      <c r="E12" s="736"/>
      <c r="F12" s="736"/>
      <c r="G12" s="736"/>
      <c r="H12" s="736"/>
      <c r="I12" s="736"/>
      <c r="J12" s="736"/>
      <c r="K12" s="736"/>
      <c r="L12" s="736"/>
      <c r="M12" s="736"/>
      <c r="N12" s="736"/>
      <c r="O12" s="736"/>
      <c r="P12" s="737"/>
      <c r="Q12" s="557"/>
      <c r="R12" s="544"/>
    </row>
    <row r="13" spans="1:19">
      <c r="A13" s="1036">
        <f>A12+1</f>
        <v>2</v>
      </c>
      <c r="C13" s="736"/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P13" s="737"/>
    </row>
    <row r="14" spans="1:19">
      <c r="A14" s="1036">
        <f t="shared" ref="A14:A67" si="0">A13+1</f>
        <v>3</v>
      </c>
      <c r="B14" s="172" t="s">
        <v>1555</v>
      </c>
      <c r="C14" s="304">
        <f>[17]summary!C$35+[17]summary!C$36+[17]summary!C$37</f>
        <v>17536.599999999999</v>
      </c>
      <c r="D14" s="304">
        <f>[17]summary!D$35+[17]summary!D$36+[17]summary!D$37</f>
        <v>56025.30999999999</v>
      </c>
      <c r="E14" s="304">
        <f>[17]summary!E$35+[17]summary!E$36+[17]summary!E$37</f>
        <v>27380.319999999992</v>
      </c>
      <c r="F14" s="304">
        <f>[17]summary!F$35+[17]summary!F$36+[17]summary!F$37</f>
        <v>30289.329999999994</v>
      </c>
      <c r="G14" s="304">
        <f>[17]summary!G$35+[17]summary!G$36+[17]summary!G$37</f>
        <v>27390.390000000003</v>
      </c>
      <c r="H14" s="304">
        <f>[17]summary!H$35+[17]summary!H$36+[17]summary!H$37</f>
        <v>15891.32</v>
      </c>
      <c r="I14" s="304">
        <f>[17]summary!I$35+[17]summary!I$36+[17]summary!I$37</f>
        <v>62551</v>
      </c>
      <c r="J14" s="304">
        <f>[17]summary!J$35+[17]summary!J$36+[17]summary!J$37</f>
        <v>40043</v>
      </c>
      <c r="K14" s="304">
        <f>[17]summary!K$35+[17]summary!K$36+[17]summary!K$37</f>
        <v>52327</v>
      </c>
      <c r="L14" s="304">
        <f>[17]summary!L$35+[17]summary!L$36+[17]summary!L$37</f>
        <v>35497</v>
      </c>
      <c r="M14" s="304">
        <f>[17]summary!M$35+[17]summary!M$36+[17]summary!M$37</f>
        <v>41350.000000000007</v>
      </c>
      <c r="N14" s="304">
        <f>[17]summary!N$35+[17]summary!N$36+[17]summary!N$37</f>
        <v>34964</v>
      </c>
      <c r="O14" s="304">
        <f t="shared" ref="O14:O22" si="1">SUM(C14:N14)</f>
        <v>441245.27</v>
      </c>
      <c r="P14" s="737"/>
    </row>
    <row r="15" spans="1:19">
      <c r="A15" s="1036">
        <f t="shared" si="0"/>
        <v>4</v>
      </c>
      <c r="B15" s="73" t="s">
        <v>1203</v>
      </c>
      <c r="C15" s="364">
        <f>[17]summary!C$38</f>
        <v>0</v>
      </c>
      <c r="D15" s="364">
        <f>[17]summary!D$38</f>
        <v>0</v>
      </c>
      <c r="E15" s="364">
        <f>[17]summary!E$38</f>
        <v>0</v>
      </c>
      <c r="F15" s="364">
        <f>[17]summary!F$38</f>
        <v>0</v>
      </c>
      <c r="G15" s="364">
        <f>[17]summary!G$38</f>
        <v>0</v>
      </c>
      <c r="H15" s="364">
        <f>[17]summary!H$38</f>
        <v>0</v>
      </c>
      <c r="I15" s="364">
        <f>[17]summary!I$38</f>
        <v>0</v>
      </c>
      <c r="J15" s="364">
        <f>[17]summary!J$38</f>
        <v>0</v>
      </c>
      <c r="K15" s="364">
        <f>[17]summary!K$38</f>
        <v>0</v>
      </c>
      <c r="L15" s="364">
        <f>[17]summary!L$38</f>
        <v>0</v>
      </c>
      <c r="M15" s="364">
        <f>[17]summary!M$38</f>
        <v>0</v>
      </c>
      <c r="N15" s="364">
        <f>[17]summary!N$38</f>
        <v>0</v>
      </c>
      <c r="O15" s="498">
        <f t="shared" si="1"/>
        <v>0</v>
      </c>
      <c r="P15" s="737"/>
    </row>
    <row r="16" spans="1:19">
      <c r="A16" s="1036">
        <f t="shared" si="0"/>
        <v>5</v>
      </c>
      <c r="B16" s="172" t="s">
        <v>108</v>
      </c>
      <c r="C16" s="364">
        <f>[17]summary!C$39</f>
        <v>625688</v>
      </c>
      <c r="D16" s="364">
        <f>[17]summary!D$39</f>
        <v>625688</v>
      </c>
      <c r="E16" s="364">
        <f>[17]summary!E$39</f>
        <v>625688</v>
      </c>
      <c r="F16" s="364">
        <f>[17]summary!F$39</f>
        <v>691388</v>
      </c>
      <c r="G16" s="364">
        <f>[17]summary!G$39</f>
        <v>691388</v>
      </c>
      <c r="H16" s="364">
        <f>[17]summary!H$39</f>
        <v>691388</v>
      </c>
      <c r="I16" s="364">
        <f>'[18]FY 2021 Budget'!$E$14</f>
        <v>695800</v>
      </c>
      <c r="J16" s="364">
        <f>'[18]FY 2021 Budget'!$E$14+'[18]FY 2021 Budget'!$S$14</f>
        <v>694342</v>
      </c>
      <c r="K16" s="364">
        <f>'[18]FY 2021 Budget'!$E$14+'[18]FY 2021 Budget'!$S$14</f>
        <v>694342</v>
      </c>
      <c r="L16" s="364">
        <f>'[18]FY 2021 Budget'!$E$14+'[18]FY 2021 Budget'!$S$14</f>
        <v>694342</v>
      </c>
      <c r="M16" s="364">
        <f>'[18]FY 2021 Budget'!$E$14+'[18]FY 2021 Budget'!$S$14</f>
        <v>694342</v>
      </c>
      <c r="N16" s="364">
        <f>'[18]FY 2021 Budget'!$E$14+'[18]FY 2021 Budget'!$S$14</f>
        <v>694342</v>
      </c>
      <c r="O16" s="498">
        <f t="shared" si="1"/>
        <v>8118738</v>
      </c>
      <c r="P16" s="737"/>
      <c r="R16" s="738"/>
      <c r="S16" s="738"/>
    </row>
    <row r="17" spans="1:18">
      <c r="A17" s="1036">
        <f t="shared" si="0"/>
        <v>6</v>
      </c>
      <c r="B17" s="172" t="s">
        <v>1303</v>
      </c>
      <c r="C17" s="364">
        <f>[17]summary!C$40</f>
        <v>0</v>
      </c>
      <c r="D17" s="364">
        <f>[17]summary!D$40</f>
        <v>0</v>
      </c>
      <c r="E17" s="364">
        <f>[17]summary!E$40</f>
        <v>0</v>
      </c>
      <c r="F17" s="364">
        <f>[17]summary!F$40</f>
        <v>0</v>
      </c>
      <c r="G17" s="364">
        <f>[17]summary!G$40</f>
        <v>0</v>
      </c>
      <c r="H17" s="364">
        <f>[17]summary!H$40</f>
        <v>73846</v>
      </c>
      <c r="I17" s="364">
        <f>[17]summary!I$40</f>
        <v>0</v>
      </c>
      <c r="J17" s="364">
        <f>[17]summary!J$40</f>
        <v>0</v>
      </c>
      <c r="K17" s="364">
        <f>[17]summary!K$40</f>
        <v>145406</v>
      </c>
      <c r="L17" s="364">
        <f>[17]summary!L$40</f>
        <v>0</v>
      </c>
      <c r="M17" s="364">
        <f>[17]summary!M$40</f>
        <v>0</v>
      </c>
      <c r="N17" s="364">
        <f>[17]summary!N$40</f>
        <v>0</v>
      </c>
      <c r="O17" s="498">
        <f t="shared" si="1"/>
        <v>219252</v>
      </c>
      <c r="P17" s="737"/>
    </row>
    <row r="18" spans="1:18">
      <c r="A18" s="1036">
        <f t="shared" si="0"/>
        <v>7</v>
      </c>
      <c r="B18" s="172" t="s">
        <v>107</v>
      </c>
      <c r="C18" s="364">
        <f>[17]summary!C$41</f>
        <v>0</v>
      </c>
      <c r="D18" s="364">
        <f>[17]summary!D$41</f>
        <v>80.5</v>
      </c>
      <c r="E18" s="364">
        <f>[17]summary!E$41</f>
        <v>386.1</v>
      </c>
      <c r="F18" s="364">
        <f>[17]summary!F$41</f>
        <v>75.599999999999994</v>
      </c>
      <c r="G18" s="364">
        <f>[17]summary!G$41</f>
        <v>0</v>
      </c>
      <c r="H18" s="364">
        <f>[17]summary!H$41</f>
        <v>85.05</v>
      </c>
      <c r="I18" s="364">
        <f>[17]summary!I$41</f>
        <v>667</v>
      </c>
      <c r="J18" s="364">
        <f>[17]summary!J$41</f>
        <v>0</v>
      </c>
      <c r="K18" s="364">
        <f>[17]summary!K$41</f>
        <v>83</v>
      </c>
      <c r="L18" s="364">
        <f>[17]summary!L$41</f>
        <v>651</v>
      </c>
      <c r="M18" s="364">
        <f>[17]summary!M$41</f>
        <v>43</v>
      </c>
      <c r="N18" s="364">
        <f>[17]summary!N$41</f>
        <v>0</v>
      </c>
      <c r="O18" s="498">
        <f t="shared" si="1"/>
        <v>2071.25</v>
      </c>
      <c r="P18" s="737"/>
    </row>
    <row r="19" spans="1:18" ht="17.25" customHeight="1">
      <c r="A19" s="1036">
        <f t="shared" si="0"/>
        <v>8</v>
      </c>
      <c r="B19" s="172" t="s">
        <v>288</v>
      </c>
      <c r="C19" s="364">
        <f>[17]summary!C$42</f>
        <v>29618.09</v>
      </c>
      <c r="D19" s="364">
        <f>[17]summary!D$42</f>
        <v>29618.09</v>
      </c>
      <c r="E19" s="364">
        <f>[17]summary!E$42</f>
        <v>29618.09</v>
      </c>
      <c r="F19" s="364">
        <f>[17]summary!F$42</f>
        <v>29618.09</v>
      </c>
      <c r="G19" s="364">
        <f>[17]summary!G$42</f>
        <v>29618.09</v>
      </c>
      <c r="H19" s="364">
        <f>[17]summary!H$42</f>
        <v>29618.09</v>
      </c>
      <c r="I19" s="364">
        <f>[17]summary!I$42</f>
        <v>29618</v>
      </c>
      <c r="J19" s="364">
        <f>[17]summary!J$42</f>
        <v>29618</v>
      </c>
      <c r="K19" s="364">
        <f>[17]summary!K$42</f>
        <v>29618</v>
      </c>
      <c r="L19" s="364">
        <f>[17]summary!L$42</f>
        <v>29618</v>
      </c>
      <c r="M19" s="364">
        <f>[17]summary!M$42</f>
        <v>29618</v>
      </c>
      <c r="N19" s="364">
        <f>[17]summary!N$42</f>
        <v>29618</v>
      </c>
      <c r="O19" s="498">
        <f t="shared" si="1"/>
        <v>355416.54000000004</v>
      </c>
      <c r="P19" s="737"/>
    </row>
    <row r="20" spans="1:18">
      <c r="A20" s="1036">
        <f t="shared" si="0"/>
        <v>9</v>
      </c>
      <c r="B20" s="172" t="s">
        <v>41</v>
      </c>
      <c r="C20" s="364">
        <f>[17]summary!C$43</f>
        <v>10995.86</v>
      </c>
      <c r="D20" s="364">
        <f>[17]summary!D$43</f>
        <v>29003.25</v>
      </c>
      <c r="E20" s="364">
        <f>[17]summary!E$43</f>
        <v>15074.18</v>
      </c>
      <c r="F20" s="364">
        <f>[17]summary!F$43</f>
        <v>14063.28</v>
      </c>
      <c r="G20" s="364">
        <f>[17]summary!G$43</f>
        <v>12076.33</v>
      </c>
      <c r="H20" s="364">
        <f>[17]summary!H$43</f>
        <v>13778.08</v>
      </c>
      <c r="I20" s="364">
        <f t="shared" ref="I20:K20" si="2">I52</f>
        <v>12129.432439596081</v>
      </c>
      <c r="J20" s="364">
        <f t="shared" si="2"/>
        <v>12129.432439596081</v>
      </c>
      <c r="K20" s="364">
        <f t="shared" si="2"/>
        <v>12129.432439596081</v>
      </c>
      <c r="L20" s="364">
        <f t="shared" ref="L20:N20" si="3">L52</f>
        <v>12129.432439596081</v>
      </c>
      <c r="M20" s="364">
        <f t="shared" si="3"/>
        <v>12129.432439596081</v>
      </c>
      <c r="N20" s="364">
        <f t="shared" si="3"/>
        <v>12129.432439596081</v>
      </c>
      <c r="O20" s="498">
        <f t="shared" si="1"/>
        <v>167767.57463757647</v>
      </c>
      <c r="P20" s="544"/>
      <c r="Q20" s="544"/>
      <c r="R20" s="557"/>
    </row>
    <row r="21" spans="1:18" ht="15.75">
      <c r="A21" s="1036">
        <f t="shared" si="0"/>
        <v>10</v>
      </c>
      <c r="B21" s="172" t="s">
        <v>988</v>
      </c>
      <c r="C21" s="364">
        <f>[17]summary!C$44</f>
        <v>17756.060000000001</v>
      </c>
      <c r="D21" s="364">
        <f>[17]summary!D$44</f>
        <v>-19623.5</v>
      </c>
      <c r="E21" s="364">
        <f>[17]summary!E$44</f>
        <v>27283.74</v>
      </c>
      <c r="F21" s="364">
        <f>[17]summary!F$44</f>
        <v>45888.76</v>
      </c>
      <c r="G21" s="364">
        <f>[17]summary!G$44</f>
        <v>17962.52</v>
      </c>
      <c r="H21" s="364">
        <f>[17]summary!H$44</f>
        <v>20788.580000000002</v>
      </c>
      <c r="I21" s="364">
        <f t="shared" ref="I21:K21" si="4">I39</f>
        <v>22293.525893089285</v>
      </c>
      <c r="J21" s="364">
        <f t="shared" si="4"/>
        <v>22293.525893089285</v>
      </c>
      <c r="K21" s="364">
        <f t="shared" si="4"/>
        <v>22293.525893089285</v>
      </c>
      <c r="L21" s="364">
        <f t="shared" ref="L21:N21" si="5">L39</f>
        <v>22293.525893089285</v>
      </c>
      <c r="M21" s="364">
        <f t="shared" si="5"/>
        <v>22293.525893089285</v>
      </c>
      <c r="N21" s="364">
        <f t="shared" si="5"/>
        <v>22293.525893089285</v>
      </c>
      <c r="O21" s="498">
        <f t="shared" si="1"/>
        <v>243817.31535853565</v>
      </c>
      <c r="P21" s="544"/>
      <c r="Q21" s="544"/>
      <c r="R21" s="729"/>
    </row>
    <row r="22" spans="1:18">
      <c r="A22" s="1036">
        <f t="shared" si="0"/>
        <v>11</v>
      </c>
      <c r="B22" s="172" t="s">
        <v>1204</v>
      </c>
      <c r="C22" s="364">
        <f>[17]summary!C$45</f>
        <v>14019.55</v>
      </c>
      <c r="D22" s="364">
        <f>[17]summary!D$45</f>
        <v>15927.77</v>
      </c>
      <c r="E22" s="364">
        <f>[17]summary!E$45</f>
        <v>30994.04</v>
      </c>
      <c r="F22" s="364">
        <f>[17]summary!F$45</f>
        <v>17752.890000000003</v>
      </c>
      <c r="G22" s="364">
        <f>[17]summary!G$45</f>
        <v>17869.54</v>
      </c>
      <c r="H22" s="364">
        <f>[17]summary!H$45</f>
        <v>21410.83</v>
      </c>
      <c r="I22" s="364">
        <f t="shared" ref="I22:K22" si="6">I67</f>
        <v>13836.796794494587</v>
      </c>
      <c r="J22" s="364">
        <f t="shared" si="6"/>
        <v>13836.796794494587</v>
      </c>
      <c r="K22" s="364">
        <f t="shared" si="6"/>
        <v>13836.796794494587</v>
      </c>
      <c r="L22" s="364">
        <f t="shared" ref="L22:N22" si="7">L67</f>
        <v>13836.796794494587</v>
      </c>
      <c r="M22" s="364">
        <f t="shared" si="7"/>
        <v>13836.796794494587</v>
      </c>
      <c r="N22" s="364">
        <f t="shared" si="7"/>
        <v>13836.796794494587</v>
      </c>
      <c r="O22" s="498">
        <f t="shared" si="1"/>
        <v>200995.40076696753</v>
      </c>
      <c r="P22" s="544"/>
      <c r="Q22" s="544"/>
      <c r="R22" s="557"/>
    </row>
    <row r="23" spans="1:18">
      <c r="A23" s="1036">
        <f t="shared" si="0"/>
        <v>12</v>
      </c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</row>
    <row r="24" spans="1:18">
      <c r="A24" s="1036">
        <f t="shared" si="0"/>
        <v>13</v>
      </c>
      <c r="B24" s="172" t="s">
        <v>95</v>
      </c>
      <c r="C24" s="1103">
        <f t="shared" ref="C24:H24" si="8">SUM(C12:C22)</f>
        <v>715614.16</v>
      </c>
      <c r="D24" s="1103">
        <f t="shared" si="8"/>
        <v>736719.41999999993</v>
      </c>
      <c r="E24" s="1103">
        <f t="shared" si="8"/>
        <v>756424.47</v>
      </c>
      <c r="F24" s="1103">
        <f t="shared" si="8"/>
        <v>829075.95</v>
      </c>
      <c r="G24" s="1103">
        <f t="shared" si="8"/>
        <v>796304.87</v>
      </c>
      <c r="H24" s="1103">
        <f t="shared" si="8"/>
        <v>866805.94999999984</v>
      </c>
      <c r="I24" s="1103">
        <f t="shared" ref="I24:N24" si="9">SUM(I12:I23)</f>
        <v>836895.7551271799</v>
      </c>
      <c r="J24" s="1103">
        <f t="shared" si="9"/>
        <v>812262.7551271799</v>
      </c>
      <c r="K24" s="1103">
        <f t="shared" si="9"/>
        <v>970035.7551271799</v>
      </c>
      <c r="L24" s="1103">
        <f t="shared" si="9"/>
        <v>808367.7551271799</v>
      </c>
      <c r="M24" s="1103">
        <f t="shared" si="9"/>
        <v>813612.7551271799</v>
      </c>
      <c r="N24" s="1103">
        <f t="shared" si="9"/>
        <v>807183.7551271799</v>
      </c>
      <c r="O24" s="1103">
        <f>SUM(C24:N24)</f>
        <v>9749303.3507630825</v>
      </c>
      <c r="P24" s="544"/>
    </row>
    <row r="25" spans="1:18">
      <c r="A25" s="1036">
        <f t="shared" si="0"/>
        <v>14</v>
      </c>
      <c r="C25" s="617"/>
      <c r="D25" s="617"/>
      <c r="E25" s="617"/>
      <c r="F25" s="617"/>
      <c r="G25" s="617"/>
      <c r="H25" s="617"/>
      <c r="I25" s="617"/>
      <c r="J25" s="617"/>
      <c r="K25" s="617"/>
      <c r="L25" s="617"/>
      <c r="M25" s="617"/>
      <c r="N25" s="617"/>
      <c r="O25" s="202"/>
    </row>
    <row r="26" spans="1:18" ht="15.75">
      <c r="A26" s="1036">
        <f t="shared" si="0"/>
        <v>15</v>
      </c>
      <c r="B26" s="267" t="s">
        <v>75</v>
      </c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P26" s="557"/>
    </row>
    <row r="27" spans="1:18">
      <c r="A27" s="1036">
        <f t="shared" si="0"/>
        <v>16</v>
      </c>
      <c r="C27" s="736"/>
      <c r="D27" s="736"/>
      <c r="E27" s="736"/>
      <c r="F27" s="736"/>
      <c r="G27" s="736"/>
      <c r="H27" s="736"/>
      <c r="I27" s="736"/>
      <c r="J27" s="736"/>
      <c r="K27" s="736"/>
      <c r="L27" s="736"/>
      <c r="M27" s="736"/>
      <c r="N27" s="736"/>
      <c r="O27" s="736"/>
      <c r="Q27" s="557"/>
    </row>
    <row r="28" spans="1:18">
      <c r="A28" s="1036">
        <f t="shared" si="0"/>
        <v>17</v>
      </c>
      <c r="C28" s="736"/>
      <c r="D28" s="736"/>
      <c r="E28" s="736"/>
      <c r="F28" s="736"/>
      <c r="G28" s="736"/>
      <c r="H28" s="736"/>
      <c r="I28" s="736"/>
      <c r="J28" s="736"/>
      <c r="K28" s="736"/>
      <c r="L28" s="736"/>
      <c r="M28" s="736"/>
      <c r="N28" s="736"/>
    </row>
    <row r="29" spans="1:18">
      <c r="A29" s="1036">
        <f t="shared" si="0"/>
        <v>18</v>
      </c>
      <c r="B29" s="172" t="s">
        <v>1555</v>
      </c>
      <c r="C29" s="304">
        <f>[17]summary!C$5+[17]summary!C$6+[17]summary!C$7</f>
        <v>276702.61</v>
      </c>
      <c r="D29" s="304">
        <f>[17]summary!D$5+[17]summary!D$6+[17]summary!D$7</f>
        <v>-481431.7900000001</v>
      </c>
      <c r="E29" s="304">
        <f>[17]summary!E$5+[17]summary!E$6+[17]summary!E$7</f>
        <v>468412.7099999999</v>
      </c>
      <c r="F29" s="304">
        <f>[17]summary!F$5+[17]summary!F$6+[17]summary!F$7</f>
        <v>381852.89</v>
      </c>
      <c r="G29" s="304">
        <f>[17]summary!G$5+[17]summary!G$6+[17]summary!G$7</f>
        <v>320116.19999999995</v>
      </c>
      <c r="H29" s="304">
        <f>[17]summary!H$5+[17]summary!H$6+[17]summary!H$7</f>
        <v>376962.47000000003</v>
      </c>
      <c r="I29" s="304">
        <f>[17]summary!I$5+[17]summary!I$6+[17]summary!I$7</f>
        <v>295708.44555491535</v>
      </c>
      <c r="J29" s="304">
        <f>[17]summary!J$5+[17]summary!J$6+[17]summary!J$7</f>
        <v>295708.44555491535</v>
      </c>
      <c r="K29" s="304">
        <f>[17]summary!K$5+[17]summary!K$6+[17]summary!K$7</f>
        <v>295708.44555491535</v>
      </c>
      <c r="L29" s="304">
        <f>[17]summary!L$5+[17]summary!L$6+[17]summary!L$7</f>
        <v>295708.44555491535</v>
      </c>
      <c r="M29" s="304">
        <f>[17]summary!M$5+[17]summary!M$6+[17]summary!M$7</f>
        <v>295708.44555491535</v>
      </c>
      <c r="N29" s="304">
        <f>[17]summary!N$5+[17]summary!N$6+[17]summary!N$7</f>
        <v>295708.44555491535</v>
      </c>
      <c r="O29" s="310">
        <f t="shared" ref="O29:O34" si="10">SUM(C29:N29)</f>
        <v>3116865.763329492</v>
      </c>
    </row>
    <row r="30" spans="1:18">
      <c r="A30" s="1036">
        <f t="shared" si="0"/>
        <v>19</v>
      </c>
      <c r="B30" s="172" t="s">
        <v>287</v>
      </c>
      <c r="C30" s="364">
        <f>[17]summary!C$8</f>
        <v>80400</v>
      </c>
      <c r="D30" s="364">
        <f>[17]summary!D$8</f>
        <v>80400</v>
      </c>
      <c r="E30" s="364">
        <f>[17]summary!E$8</f>
        <v>80400</v>
      </c>
      <c r="F30" s="364">
        <f>[17]summary!F$8</f>
        <v>41200</v>
      </c>
      <c r="G30" s="364">
        <f>[17]summary!G$8</f>
        <v>41200</v>
      </c>
      <c r="H30" s="364">
        <f>[17]summary!H$8</f>
        <v>41200</v>
      </c>
      <c r="I30" s="364">
        <f>'[18]FY 2021 Budget'!$E$5</f>
        <v>41200</v>
      </c>
      <c r="J30" s="364">
        <f>'[18]FY 2021 Budget'!$E$5</f>
        <v>41200</v>
      </c>
      <c r="K30" s="364">
        <f>'[18]FY 2021 Budget'!$E$5</f>
        <v>41200</v>
      </c>
      <c r="L30" s="364">
        <f>'[18]FY 2021 Budget'!$E$5</f>
        <v>41200</v>
      </c>
      <c r="M30" s="364">
        <f>'[18]FY 2021 Budget'!$E$5</f>
        <v>41200</v>
      </c>
      <c r="N30" s="364">
        <f>'[18]FY 2021 Budget'!$E$5</f>
        <v>41200</v>
      </c>
      <c r="O30" s="498">
        <f t="shared" si="10"/>
        <v>612000</v>
      </c>
      <c r="P30" s="544"/>
    </row>
    <row r="31" spans="1:18">
      <c r="A31" s="1036">
        <f t="shared" si="0"/>
        <v>20</v>
      </c>
      <c r="B31" s="172" t="s">
        <v>1203</v>
      </c>
      <c r="C31" s="364">
        <f>[17]summary!C$10</f>
        <v>0</v>
      </c>
      <c r="D31" s="364">
        <f>[17]summary!D$10</f>
        <v>0</v>
      </c>
      <c r="E31" s="364">
        <f>[17]summary!E$10</f>
        <v>0</v>
      </c>
      <c r="F31" s="364">
        <f>[17]summary!F$10</f>
        <v>0</v>
      </c>
      <c r="G31" s="364">
        <f>[17]summary!G$10</f>
        <v>0</v>
      </c>
      <c r="H31" s="364">
        <f>[17]summary!H$10</f>
        <v>0</v>
      </c>
      <c r="I31" s="364">
        <f>[17]summary!I$10</f>
        <v>0</v>
      </c>
      <c r="J31" s="364">
        <f>[17]summary!J$10</f>
        <v>0</v>
      </c>
      <c r="K31" s="364">
        <f>[17]summary!K$10</f>
        <v>0</v>
      </c>
      <c r="L31" s="364">
        <f>[17]summary!L$10</f>
        <v>0</v>
      </c>
      <c r="M31" s="364">
        <f>[17]summary!M$10</f>
        <v>0</v>
      </c>
      <c r="N31" s="364">
        <f>[17]summary!N$10</f>
        <v>0</v>
      </c>
      <c r="O31" s="498">
        <f t="shared" si="10"/>
        <v>0</v>
      </c>
    </row>
    <row r="32" spans="1:18">
      <c r="A32" s="1036">
        <f t="shared" si="0"/>
        <v>21</v>
      </c>
      <c r="B32" s="172" t="s">
        <v>205</v>
      </c>
      <c r="C32" s="364">
        <f>[17]summary!C$9</f>
        <v>60.72</v>
      </c>
      <c r="D32" s="364">
        <f>[17]summary!D$9</f>
        <v>6304.75</v>
      </c>
      <c r="E32" s="364">
        <f>[17]summary!E$9</f>
        <v>0</v>
      </c>
      <c r="F32" s="364">
        <f>[17]summary!F$9</f>
        <v>500000</v>
      </c>
      <c r="G32" s="364">
        <f>[17]summary!G$9</f>
        <v>0</v>
      </c>
      <c r="H32" s="364">
        <f>[17]summary!H$9</f>
        <v>0</v>
      </c>
      <c r="I32" s="364">
        <f>[17]summary!I$9</f>
        <v>111526.04132907827</v>
      </c>
      <c r="J32" s="364">
        <f>[17]summary!J$9</f>
        <v>111526.04132907827</v>
      </c>
      <c r="K32" s="364">
        <f>[17]summary!K$9</f>
        <v>111526.04132907827</v>
      </c>
      <c r="L32" s="364">
        <f>[17]summary!L$9</f>
        <v>111526.04132907827</v>
      </c>
      <c r="M32" s="364">
        <f>[17]summary!M$9</f>
        <v>111526.04132907827</v>
      </c>
      <c r="N32" s="364">
        <f>[17]summary!N$9</f>
        <v>111526.04132907827</v>
      </c>
      <c r="O32" s="498">
        <f t="shared" si="10"/>
        <v>1175521.7179744698</v>
      </c>
      <c r="Q32" s="95"/>
      <c r="R32" s="557"/>
    </row>
    <row r="33" spans="1:17">
      <c r="A33" s="1036">
        <f t="shared" si="0"/>
        <v>22</v>
      </c>
      <c r="B33" s="72"/>
      <c r="C33" s="510"/>
      <c r="D33" s="510"/>
      <c r="E33" s="510"/>
      <c r="F33" s="430"/>
      <c r="G33" s="430"/>
      <c r="H33" s="430"/>
      <c r="I33" s="430"/>
      <c r="J33" s="430"/>
      <c r="K33" s="430"/>
      <c r="L33" s="430"/>
      <c r="M33" s="430"/>
      <c r="N33" s="430"/>
    </row>
    <row r="34" spans="1:17">
      <c r="A34" s="1036">
        <f t="shared" si="0"/>
        <v>23</v>
      </c>
      <c r="B34" s="172" t="s">
        <v>206</v>
      </c>
      <c r="C34" s="1103">
        <f t="shared" ref="C34:N34" si="11">SUM(C27:C32)</f>
        <v>357163.32999999996</v>
      </c>
      <c r="D34" s="1103">
        <f t="shared" si="11"/>
        <v>-394727.0400000001</v>
      </c>
      <c r="E34" s="1103">
        <f t="shared" si="11"/>
        <v>548812.71</v>
      </c>
      <c r="F34" s="1103">
        <f t="shared" si="11"/>
        <v>923052.89</v>
      </c>
      <c r="G34" s="1103">
        <f t="shared" si="11"/>
        <v>361316.19999999995</v>
      </c>
      <c r="H34" s="1103">
        <f t="shared" si="11"/>
        <v>418162.47000000003</v>
      </c>
      <c r="I34" s="1103">
        <f t="shared" si="11"/>
        <v>448434.48688399361</v>
      </c>
      <c r="J34" s="1103">
        <f t="shared" si="11"/>
        <v>448434.48688399361</v>
      </c>
      <c r="K34" s="1103">
        <f t="shared" si="11"/>
        <v>448434.48688399361</v>
      </c>
      <c r="L34" s="1103">
        <f t="shared" si="11"/>
        <v>448434.48688399361</v>
      </c>
      <c r="M34" s="1103">
        <f t="shared" si="11"/>
        <v>448434.48688399361</v>
      </c>
      <c r="N34" s="1103">
        <f t="shared" si="11"/>
        <v>448434.48688399361</v>
      </c>
      <c r="O34" s="1103">
        <f t="shared" si="10"/>
        <v>4904387.4813039619</v>
      </c>
    </row>
    <row r="35" spans="1:17">
      <c r="A35" s="1036">
        <f t="shared" si="0"/>
        <v>24</v>
      </c>
      <c r="C35" s="617"/>
      <c r="D35" s="617"/>
      <c r="E35" s="617"/>
      <c r="F35" s="617"/>
      <c r="G35" s="617"/>
      <c r="H35" s="617"/>
      <c r="I35" s="617"/>
      <c r="J35" s="617"/>
      <c r="K35" s="617"/>
      <c r="L35" s="617"/>
      <c r="M35" s="617"/>
      <c r="N35" s="617"/>
    </row>
    <row r="36" spans="1:17">
      <c r="A36" s="1036">
        <f t="shared" si="0"/>
        <v>25</v>
      </c>
      <c r="B36" s="172" t="s">
        <v>207</v>
      </c>
      <c r="C36" s="284"/>
      <c r="D36" s="284"/>
      <c r="E36" s="284"/>
      <c r="F36" s="284"/>
      <c r="G36" s="284"/>
      <c r="H36" s="284"/>
      <c r="I36" s="1136">
        <f>Allocation!$G$14</f>
        <v>9.8599999999999993E-2</v>
      </c>
      <c r="J36" s="1136">
        <f>Allocation!$G$14</f>
        <v>9.8599999999999993E-2</v>
      </c>
      <c r="K36" s="1136">
        <f>Allocation!$G$14</f>
        <v>9.8599999999999993E-2</v>
      </c>
      <c r="L36" s="1136">
        <f>Allocation!$G$14</f>
        <v>9.8599999999999993E-2</v>
      </c>
      <c r="M36" s="1136">
        <f>Allocation!$G$14</f>
        <v>9.8599999999999993E-2</v>
      </c>
      <c r="N36" s="1136">
        <f>Allocation!$G$14</f>
        <v>9.8599999999999993E-2</v>
      </c>
    </row>
    <row r="37" spans="1:17">
      <c r="A37" s="1036">
        <f t="shared" si="0"/>
        <v>26</v>
      </c>
      <c r="B37" s="172" t="s">
        <v>208</v>
      </c>
      <c r="C37" s="469"/>
      <c r="D37" s="469"/>
      <c r="E37" s="469"/>
      <c r="F37" s="469"/>
      <c r="G37" s="469"/>
      <c r="H37" s="469"/>
      <c r="I37" s="665">
        <f>Allocation!$H$14</f>
        <v>0.50419999999999998</v>
      </c>
      <c r="J37" s="665">
        <f>Allocation!$H$14</f>
        <v>0.50419999999999998</v>
      </c>
      <c r="K37" s="665">
        <f>Allocation!$H$14</f>
        <v>0.50419999999999998</v>
      </c>
      <c r="L37" s="665">
        <f>Allocation!$H$14</f>
        <v>0.50419999999999998</v>
      </c>
      <c r="M37" s="665">
        <f>Allocation!$H$14</f>
        <v>0.50419999999999998</v>
      </c>
      <c r="N37" s="665">
        <f>Allocation!$H$14</f>
        <v>0.50419999999999998</v>
      </c>
    </row>
    <row r="38" spans="1:17">
      <c r="A38" s="1036">
        <f t="shared" si="0"/>
        <v>27</v>
      </c>
    </row>
    <row r="39" spans="1:17">
      <c r="A39" s="1036">
        <f t="shared" si="0"/>
        <v>28</v>
      </c>
      <c r="B39" s="172" t="s">
        <v>209</v>
      </c>
      <c r="C39" s="1103">
        <f t="shared" ref="C39:H39" si="12">C21</f>
        <v>17756.060000000001</v>
      </c>
      <c r="D39" s="1103">
        <f t="shared" si="12"/>
        <v>-19623.5</v>
      </c>
      <c r="E39" s="1103">
        <f t="shared" si="12"/>
        <v>27283.74</v>
      </c>
      <c r="F39" s="1103">
        <f t="shared" si="12"/>
        <v>45888.76</v>
      </c>
      <c r="G39" s="1103">
        <f t="shared" si="12"/>
        <v>17962.52</v>
      </c>
      <c r="H39" s="1103">
        <f t="shared" si="12"/>
        <v>20788.580000000002</v>
      </c>
      <c r="I39" s="1103">
        <f t="shared" ref="I39:K39" si="13">(I34)*I36*I37</f>
        <v>22293.525893089285</v>
      </c>
      <c r="J39" s="1103">
        <f t="shared" si="13"/>
        <v>22293.525893089285</v>
      </c>
      <c r="K39" s="1103">
        <f t="shared" si="13"/>
        <v>22293.525893089285</v>
      </c>
      <c r="L39" s="1103">
        <f t="shared" ref="L39:N39" si="14">(L34)*L36*L37</f>
        <v>22293.525893089285</v>
      </c>
      <c r="M39" s="1103">
        <f t="shared" si="14"/>
        <v>22293.525893089285</v>
      </c>
      <c r="N39" s="1103">
        <f t="shared" si="14"/>
        <v>22293.525893089285</v>
      </c>
      <c r="O39" s="1103">
        <f>SUM(C39:N39)</f>
        <v>243817.31535853565</v>
      </c>
    </row>
    <row r="40" spans="1:17">
      <c r="A40" s="1036">
        <f t="shared" si="0"/>
        <v>29</v>
      </c>
    </row>
    <row r="41" spans="1:17" ht="15.75">
      <c r="A41" s="1036">
        <f t="shared" si="0"/>
        <v>30</v>
      </c>
      <c r="B41" s="267" t="s">
        <v>76</v>
      </c>
    </row>
    <row r="42" spans="1:17">
      <c r="A42" s="1036">
        <f t="shared" si="0"/>
        <v>31</v>
      </c>
      <c r="C42" s="736"/>
      <c r="D42" s="736"/>
      <c r="E42" s="736"/>
      <c r="F42" s="736"/>
      <c r="G42" s="736"/>
      <c r="H42" s="736"/>
      <c r="I42" s="736"/>
      <c r="J42" s="736"/>
      <c r="K42" s="736"/>
      <c r="L42" s="736"/>
      <c r="M42" s="736"/>
      <c r="N42" s="736"/>
      <c r="O42" s="736"/>
      <c r="P42" s="544"/>
    </row>
    <row r="43" spans="1:17">
      <c r="A43" s="1036">
        <f t="shared" si="0"/>
        <v>32</v>
      </c>
      <c r="C43" s="736"/>
      <c r="D43" s="736"/>
      <c r="E43" s="736"/>
      <c r="F43" s="736"/>
      <c r="G43" s="736"/>
      <c r="H43" s="736"/>
      <c r="I43" s="736"/>
      <c r="J43" s="736"/>
      <c r="K43" s="736"/>
      <c r="L43" s="736"/>
      <c r="M43" s="736"/>
      <c r="N43" s="736"/>
    </row>
    <row r="44" spans="1:17">
      <c r="A44" s="1036">
        <f t="shared" si="0"/>
        <v>33</v>
      </c>
      <c r="B44" s="172" t="s">
        <v>1555</v>
      </c>
      <c r="C44" s="304">
        <f>[17]summary!C$15+[17]summary!C$16+[17]summary!C$17</f>
        <v>149580.84000000003</v>
      </c>
      <c r="D44" s="304">
        <f>[17]summary!D$15+[17]summary!D$16+[17]summary!D$17</f>
        <v>473313.3</v>
      </c>
      <c r="E44" s="304">
        <f>[17]summary!E$15+[17]summary!E$16+[17]summary!E$17</f>
        <v>222900.01000000004</v>
      </c>
      <c r="F44" s="304">
        <f>[17]summary!F$15+[17]summary!F$16+[17]summary!F$17</f>
        <v>224326.22000000003</v>
      </c>
      <c r="G44" s="304">
        <f>[17]summary!G$15+[17]summary!G$16+[17]summary!G$17</f>
        <v>188605.39</v>
      </c>
      <c r="H44" s="304">
        <f>[17]summary!H$15+[17]summary!H$16+[17]summary!H$17</f>
        <v>219199.00999999998</v>
      </c>
      <c r="I44" s="304">
        <f>[17]summary!I$15+[17]summary!I$16+[17]summary!I$17</f>
        <v>189757.87230896112</v>
      </c>
      <c r="J44" s="304">
        <f>[17]summary!J$15+[17]summary!J$16+[17]summary!J$17</f>
        <v>189757.87230896112</v>
      </c>
      <c r="K44" s="304">
        <f>[17]summary!K$15+[17]summary!K$16+[17]summary!K$17</f>
        <v>189757.87230896112</v>
      </c>
      <c r="L44" s="304">
        <f>[17]summary!L$15+[17]summary!L$16+[17]summary!L$17</f>
        <v>189757.87230896112</v>
      </c>
      <c r="M44" s="304">
        <f>[17]summary!M$15+[17]summary!M$16+[17]summary!M$17</f>
        <v>189757.87230896112</v>
      </c>
      <c r="N44" s="304">
        <f>[17]summary!N$15+[17]summary!N$16+[17]summary!N$17</f>
        <v>189757.87230896112</v>
      </c>
      <c r="O44" s="310">
        <f t="shared" ref="O44:O47" si="15">SUM(C44:N44)</f>
        <v>2616472.0038537672</v>
      </c>
    </row>
    <row r="45" spans="1:17">
      <c r="A45" s="1036">
        <f t="shared" si="0"/>
        <v>34</v>
      </c>
      <c r="B45" s="172" t="s">
        <v>287</v>
      </c>
      <c r="C45" s="364">
        <f>[17]summary!C$18</f>
        <v>48100</v>
      </c>
      <c r="D45" s="364">
        <f>[17]summary!D$18</f>
        <v>48100</v>
      </c>
      <c r="E45" s="364">
        <f>[17]summary!E$18</f>
        <v>48100</v>
      </c>
      <c r="F45" s="364">
        <f>[17]summary!F$18</f>
        <v>28500</v>
      </c>
      <c r="G45" s="364">
        <f>[17]summary!G$18</f>
        <v>28500</v>
      </c>
      <c r="H45" s="364">
        <f>[17]summary!H$18</f>
        <v>28500</v>
      </c>
      <c r="I45" s="364">
        <f>'[18]FY 2021 Budget'!$E$6</f>
        <v>28500</v>
      </c>
      <c r="J45" s="364">
        <f>'[18]FY 2021 Budget'!$E$6</f>
        <v>28500</v>
      </c>
      <c r="K45" s="364">
        <f>'[18]FY 2021 Budget'!$E$6</f>
        <v>28500</v>
      </c>
      <c r="L45" s="364">
        <f>'[18]FY 2021 Budget'!$E$6</f>
        <v>28500</v>
      </c>
      <c r="M45" s="364">
        <f>'[18]FY 2021 Budget'!$E$6</f>
        <v>28500</v>
      </c>
      <c r="N45" s="364">
        <f>'[18]FY 2021 Budget'!$E$6</f>
        <v>28500</v>
      </c>
      <c r="O45" s="498">
        <f t="shared" si="15"/>
        <v>400800</v>
      </c>
      <c r="P45" s="544"/>
    </row>
    <row r="46" spans="1:17">
      <c r="A46" s="1036">
        <f t="shared" si="0"/>
        <v>35</v>
      </c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0"/>
    </row>
    <row r="47" spans="1:17">
      <c r="A47" s="1036">
        <f t="shared" si="0"/>
        <v>36</v>
      </c>
      <c r="B47" s="172" t="s">
        <v>206</v>
      </c>
      <c r="C47" s="1103">
        <f t="shared" ref="C47:N47" si="16">SUM(C42:C45)</f>
        <v>197680.84000000003</v>
      </c>
      <c r="D47" s="1103">
        <f t="shared" si="16"/>
        <v>521413.3</v>
      </c>
      <c r="E47" s="1103">
        <f t="shared" si="16"/>
        <v>271000.01</v>
      </c>
      <c r="F47" s="1103">
        <f t="shared" si="16"/>
        <v>252826.22000000003</v>
      </c>
      <c r="G47" s="1103">
        <f t="shared" si="16"/>
        <v>217105.39</v>
      </c>
      <c r="H47" s="1103">
        <f t="shared" si="16"/>
        <v>247699.00999999998</v>
      </c>
      <c r="I47" s="1103">
        <f t="shared" si="16"/>
        <v>218257.87230896112</v>
      </c>
      <c r="J47" s="1103">
        <f>SUM(J42:J45)</f>
        <v>218257.87230896112</v>
      </c>
      <c r="K47" s="1103">
        <f t="shared" si="16"/>
        <v>218257.87230896112</v>
      </c>
      <c r="L47" s="1103">
        <f t="shared" si="16"/>
        <v>218257.87230896112</v>
      </c>
      <c r="M47" s="1103">
        <f t="shared" si="16"/>
        <v>218257.87230896112</v>
      </c>
      <c r="N47" s="1103">
        <f t="shared" si="16"/>
        <v>218257.87230896112</v>
      </c>
      <c r="O47" s="1103">
        <f t="shared" si="15"/>
        <v>3017272.0038537672</v>
      </c>
      <c r="Q47" s="95"/>
    </row>
    <row r="48" spans="1:17">
      <c r="A48" s="1036">
        <f t="shared" si="0"/>
        <v>37</v>
      </c>
      <c r="C48" s="617"/>
      <c r="D48" s="617"/>
      <c r="E48" s="617"/>
      <c r="F48" s="617"/>
      <c r="G48" s="617"/>
      <c r="H48" s="617"/>
      <c r="I48" s="617"/>
      <c r="J48" s="617"/>
      <c r="K48" s="617"/>
      <c r="L48" s="617"/>
      <c r="M48" s="617"/>
      <c r="N48" s="617"/>
    </row>
    <row r="49" spans="1:17">
      <c r="A49" s="1036">
        <f t="shared" si="0"/>
        <v>38</v>
      </c>
      <c r="B49" s="172" t="s">
        <v>207</v>
      </c>
      <c r="C49" s="469"/>
      <c r="D49" s="469"/>
      <c r="E49" s="469"/>
      <c r="F49" s="469"/>
      <c r="G49" s="469"/>
      <c r="H49" s="469"/>
      <c r="I49" s="665">
        <f>Allocation!$C$15</f>
        <v>0.11020000000000001</v>
      </c>
      <c r="J49" s="665">
        <f>Allocation!$C$15</f>
        <v>0.11020000000000001</v>
      </c>
      <c r="K49" s="665">
        <f>Allocation!$C$15</f>
        <v>0.11020000000000001</v>
      </c>
      <c r="L49" s="665">
        <f>Allocation!$C$15</f>
        <v>0.11020000000000001</v>
      </c>
      <c r="M49" s="665">
        <f>Allocation!$C$15</f>
        <v>0.11020000000000001</v>
      </c>
      <c r="N49" s="665">
        <f>Allocation!$C$15</f>
        <v>0.11020000000000001</v>
      </c>
    </row>
    <row r="50" spans="1:17">
      <c r="A50" s="1036">
        <f t="shared" si="0"/>
        <v>39</v>
      </c>
      <c r="B50" s="172" t="s">
        <v>208</v>
      </c>
      <c r="C50" s="469"/>
      <c r="D50" s="665"/>
      <c r="E50" s="469"/>
      <c r="F50" s="469"/>
      <c r="G50" s="469"/>
      <c r="H50" s="469"/>
      <c r="I50" s="665">
        <f>Allocation!$D$15</f>
        <v>0.50429999999999997</v>
      </c>
      <c r="J50" s="665">
        <f>Allocation!$D$15</f>
        <v>0.50429999999999997</v>
      </c>
      <c r="K50" s="665">
        <f>Allocation!$D$15</f>
        <v>0.50429999999999997</v>
      </c>
      <c r="L50" s="665">
        <f>Allocation!$D$15</f>
        <v>0.50429999999999997</v>
      </c>
      <c r="M50" s="665">
        <f>Allocation!$D$15</f>
        <v>0.50429999999999997</v>
      </c>
      <c r="N50" s="665">
        <f>Allocation!$D$15</f>
        <v>0.50429999999999997</v>
      </c>
    </row>
    <row r="51" spans="1:17">
      <c r="A51" s="1036">
        <f t="shared" si="0"/>
        <v>40</v>
      </c>
      <c r="J51" s="469"/>
    </row>
    <row r="52" spans="1:17">
      <c r="A52" s="1036">
        <f t="shared" si="0"/>
        <v>41</v>
      </c>
      <c r="B52" s="172" t="s">
        <v>209</v>
      </c>
      <c r="C52" s="1103">
        <f t="shared" ref="C52:H52" si="17">C20</f>
        <v>10995.86</v>
      </c>
      <c r="D52" s="1103">
        <f t="shared" si="17"/>
        <v>29003.25</v>
      </c>
      <c r="E52" s="1103">
        <f t="shared" si="17"/>
        <v>15074.18</v>
      </c>
      <c r="F52" s="1103">
        <f t="shared" si="17"/>
        <v>14063.28</v>
      </c>
      <c r="G52" s="1103">
        <f t="shared" si="17"/>
        <v>12076.33</v>
      </c>
      <c r="H52" s="1103">
        <f t="shared" si="17"/>
        <v>13778.08</v>
      </c>
      <c r="I52" s="1103">
        <f t="shared" ref="I52:K52" si="18">(I47)*I49*I50</f>
        <v>12129.432439596081</v>
      </c>
      <c r="J52" s="1103">
        <f t="shared" si="18"/>
        <v>12129.432439596081</v>
      </c>
      <c r="K52" s="1103">
        <f t="shared" si="18"/>
        <v>12129.432439596081</v>
      </c>
      <c r="L52" s="1103">
        <f t="shared" ref="L52:N52" si="19">(L47)*L49*L50</f>
        <v>12129.432439596081</v>
      </c>
      <c r="M52" s="1103">
        <f t="shared" si="19"/>
        <v>12129.432439596081</v>
      </c>
      <c r="N52" s="1103">
        <f t="shared" si="19"/>
        <v>12129.432439596081</v>
      </c>
      <c r="O52" s="1103">
        <f>SUM(C52:N52)</f>
        <v>167767.57463757647</v>
      </c>
    </row>
    <row r="53" spans="1:17">
      <c r="A53" s="1036">
        <f t="shared" si="0"/>
        <v>42</v>
      </c>
    </row>
    <row r="54" spans="1:17" ht="15.75">
      <c r="A54" s="1036">
        <f t="shared" si="0"/>
        <v>43</v>
      </c>
      <c r="B54" s="267" t="s">
        <v>77</v>
      </c>
    </row>
    <row r="55" spans="1:17">
      <c r="A55" s="1036">
        <f t="shared" si="0"/>
        <v>44</v>
      </c>
      <c r="C55" s="736"/>
      <c r="D55" s="736"/>
      <c r="E55" s="736"/>
      <c r="F55" s="736"/>
      <c r="G55" s="736"/>
      <c r="H55" s="736"/>
      <c r="I55" s="736"/>
      <c r="J55" s="736"/>
      <c r="K55" s="736"/>
      <c r="L55" s="736"/>
      <c r="M55" s="736"/>
      <c r="N55" s="736"/>
      <c r="O55" s="736"/>
    </row>
    <row r="56" spans="1:17">
      <c r="A56" s="1036">
        <f t="shared" si="0"/>
        <v>45</v>
      </c>
      <c r="C56" s="736"/>
      <c r="D56" s="736"/>
      <c r="E56" s="736"/>
      <c r="F56" s="736"/>
      <c r="G56" s="736"/>
      <c r="H56" s="736"/>
      <c r="I56" s="736"/>
      <c r="J56" s="736"/>
      <c r="K56" s="736"/>
      <c r="L56" s="736"/>
      <c r="M56" s="736"/>
      <c r="N56" s="736"/>
    </row>
    <row r="57" spans="1:17">
      <c r="A57" s="1036">
        <f t="shared" si="0"/>
        <v>46</v>
      </c>
      <c r="B57" s="172" t="s">
        <v>1555</v>
      </c>
      <c r="C57" s="304">
        <f>[17]summary!C$24+[17]summary!$C25+[17]summary!C$26</f>
        <v>26858.569999999996</v>
      </c>
      <c r="D57" s="304">
        <f>[17]summary!D$24+[17]summary!$C25+[17]summary!D$26</f>
        <v>31582.079999999994</v>
      </c>
      <c r="E57" s="304">
        <f>[17]summary!E$24+[17]summary!$C25+[17]summary!E$26</f>
        <v>61474.640000000007</v>
      </c>
      <c r="F57" s="304">
        <f>[17]summary!F$24+[17]summary!$C25+[17]summary!F$26</f>
        <v>32993.51</v>
      </c>
      <c r="G57" s="304">
        <f>[17]summary!G$24+[17]summary!$C25+[17]summary!G$26</f>
        <v>35235.89</v>
      </c>
      <c r="H57" s="304">
        <f>[17]summary!H$24+[17]summary!$C25+[17]summary!H$26</f>
        <v>42553.3</v>
      </c>
      <c r="I57" s="304">
        <f>[17]summary!I$24+[17]summary!I$25+[17]summary!I$26</f>
        <v>27443.071785986886</v>
      </c>
      <c r="J57" s="304">
        <f>[17]summary!J$24+[17]summary!J$25+[17]summary!J$26</f>
        <v>27443.071785986886</v>
      </c>
      <c r="K57" s="304">
        <f>[17]summary!K$24+[17]summary!K$25+[17]summary!K$26</f>
        <v>27443.071785986886</v>
      </c>
      <c r="L57" s="304">
        <f>[17]summary!L$24+[17]summary!L$25+[17]summary!L$26</f>
        <v>27443.071785986886</v>
      </c>
      <c r="M57" s="304">
        <f>[17]summary!M$24+[17]summary!M$25+[17]summary!M$26</f>
        <v>27443.071785986886</v>
      </c>
      <c r="N57" s="304">
        <f>[17]summary!N$24+[17]summary!N$25+[17]summary!N$26</f>
        <v>27443.071785986886</v>
      </c>
      <c r="O57" s="304">
        <f t="shared" ref="O57:O62" si="20">SUM(C57:N57)</f>
        <v>395356.42071592133</v>
      </c>
    </row>
    <row r="58" spans="1:17">
      <c r="A58" s="1036">
        <f t="shared" si="0"/>
        <v>47</v>
      </c>
      <c r="B58" s="72" t="s">
        <v>1203</v>
      </c>
      <c r="C58" s="364">
        <f>[17]summary!C$27</f>
        <v>0</v>
      </c>
      <c r="D58" s="364">
        <f>[17]summary!D$27</f>
        <v>0</v>
      </c>
      <c r="E58" s="364">
        <f>[17]summary!E$27</f>
        <v>0</v>
      </c>
      <c r="F58" s="364">
        <f>[17]summary!F$27</f>
        <v>0</v>
      </c>
      <c r="G58" s="364">
        <f>[17]summary!G$27</f>
        <v>0</v>
      </c>
      <c r="H58" s="364">
        <f>[17]summary!H$27</f>
        <v>0</v>
      </c>
      <c r="I58" s="364">
        <f>[17]summary!I$27</f>
        <v>0</v>
      </c>
      <c r="J58" s="364">
        <f>[17]summary!J$27</f>
        <v>0</v>
      </c>
      <c r="K58" s="364">
        <f>[17]summary!K$27</f>
        <v>0</v>
      </c>
      <c r="L58" s="364">
        <f>[17]summary!L$27</f>
        <v>0</v>
      </c>
      <c r="M58" s="364">
        <f>[17]summary!M$27</f>
        <v>0</v>
      </c>
      <c r="N58" s="364">
        <f>[17]summary!N$27</f>
        <v>0</v>
      </c>
      <c r="O58" s="498">
        <f t="shared" si="20"/>
        <v>0</v>
      </c>
    </row>
    <row r="59" spans="1:17">
      <c r="A59" s="1036">
        <f t="shared" si="0"/>
        <v>48</v>
      </c>
      <c r="B59" s="172" t="s">
        <v>287</v>
      </c>
      <c r="C59" s="364">
        <f>[17]summary!C$28</f>
        <v>0</v>
      </c>
      <c r="D59" s="364">
        <f>[17]summary!D$28</f>
        <v>0</v>
      </c>
      <c r="E59" s="364">
        <f>[17]summary!E$28</f>
        <v>0</v>
      </c>
      <c r="F59" s="364">
        <f>[17]summary!F$28</f>
        <v>0</v>
      </c>
      <c r="G59" s="364">
        <f>[17]summary!G$28</f>
        <v>0</v>
      </c>
      <c r="H59" s="364">
        <f>[17]summary!H$28</f>
        <v>0</v>
      </c>
      <c r="I59" s="364">
        <f>'[18]FY 2021 Budget'!$E$17</f>
        <v>0</v>
      </c>
      <c r="J59" s="364">
        <f>'[18]FY 2021 Budget'!$E$17</f>
        <v>0</v>
      </c>
      <c r="K59" s="364">
        <f>'[18]FY 2021 Budget'!$E$17</f>
        <v>0</v>
      </c>
      <c r="L59" s="364">
        <f>'[18]FY 2021 Budget'!$E$17</f>
        <v>0</v>
      </c>
      <c r="M59" s="364">
        <f>'[18]FY 2021 Budget'!$E$17</f>
        <v>0</v>
      </c>
      <c r="N59" s="364">
        <f>'[18]FY 2021 Budget'!$E$17</f>
        <v>0</v>
      </c>
      <c r="O59" s="498">
        <f t="shared" si="20"/>
        <v>0</v>
      </c>
    </row>
    <row r="60" spans="1:17">
      <c r="A60" s="1036">
        <f t="shared" si="0"/>
        <v>49</v>
      </c>
      <c r="B60" s="95" t="s">
        <v>1302</v>
      </c>
      <c r="C60" s="364">
        <f>[17]summary!C$30</f>
        <v>0</v>
      </c>
      <c r="D60" s="364">
        <f>[17]summary!D$30</f>
        <v>0</v>
      </c>
      <c r="E60" s="364">
        <f>[17]summary!E$30</f>
        <v>0</v>
      </c>
      <c r="F60" s="364">
        <f>[17]summary!F$30</f>
        <v>0</v>
      </c>
      <c r="G60" s="364">
        <f>[17]summary!G$30</f>
        <v>0</v>
      </c>
      <c r="H60" s="364">
        <f>[17]summary!H$30</f>
        <v>0</v>
      </c>
      <c r="I60" s="364">
        <f>[17]summary!I$30</f>
        <v>0</v>
      </c>
      <c r="J60" s="364">
        <f>[17]summary!J$30</f>
        <v>0</v>
      </c>
      <c r="K60" s="364">
        <f>[17]summary!K$30</f>
        <v>0</v>
      </c>
      <c r="L60" s="364">
        <f>[17]summary!L$30</f>
        <v>0</v>
      </c>
      <c r="M60" s="364">
        <f>[17]summary!M$30</f>
        <v>0</v>
      </c>
      <c r="N60" s="364">
        <f>[17]summary!N$30</f>
        <v>0</v>
      </c>
      <c r="O60" s="498">
        <f t="shared" si="20"/>
        <v>0</v>
      </c>
    </row>
    <row r="61" spans="1:17">
      <c r="A61" s="1036">
        <f t="shared" si="0"/>
        <v>50</v>
      </c>
      <c r="B61" s="72"/>
      <c r="C61" s="430"/>
      <c r="D61" s="430"/>
      <c r="E61" s="510"/>
      <c r="F61" s="510"/>
      <c r="G61" s="430"/>
      <c r="H61" s="430"/>
      <c r="I61" s="430"/>
      <c r="J61" s="430"/>
      <c r="K61" s="430"/>
      <c r="L61" s="430"/>
      <c r="M61" s="430"/>
      <c r="N61" s="430"/>
      <c r="Q61" s="95"/>
    </row>
    <row r="62" spans="1:17">
      <c r="A62" s="1036">
        <f t="shared" si="0"/>
        <v>51</v>
      </c>
      <c r="B62" s="172" t="s">
        <v>206</v>
      </c>
      <c r="C62" s="1103">
        <f t="shared" ref="C62:N62" si="21">SUM(C55:C60)</f>
        <v>26858.569999999996</v>
      </c>
      <c r="D62" s="1103">
        <f t="shared" si="21"/>
        <v>31582.079999999994</v>
      </c>
      <c r="E62" s="1103">
        <f t="shared" si="21"/>
        <v>61474.640000000007</v>
      </c>
      <c r="F62" s="1103">
        <f t="shared" si="21"/>
        <v>32993.51</v>
      </c>
      <c r="G62" s="1103">
        <f t="shared" si="21"/>
        <v>35235.89</v>
      </c>
      <c r="H62" s="1103">
        <f t="shared" si="21"/>
        <v>42553.3</v>
      </c>
      <c r="I62" s="1103">
        <f t="shared" si="21"/>
        <v>27443.071785986886</v>
      </c>
      <c r="J62" s="1103">
        <f t="shared" si="21"/>
        <v>27443.071785986886</v>
      </c>
      <c r="K62" s="1103">
        <f t="shared" si="21"/>
        <v>27443.071785986886</v>
      </c>
      <c r="L62" s="1103">
        <f t="shared" si="21"/>
        <v>27443.071785986886</v>
      </c>
      <c r="M62" s="1103">
        <f t="shared" si="21"/>
        <v>27443.071785986886</v>
      </c>
      <c r="N62" s="1103">
        <f t="shared" si="21"/>
        <v>27443.071785986886</v>
      </c>
      <c r="O62" s="1103">
        <f t="shared" si="20"/>
        <v>395356.42071592133</v>
      </c>
    </row>
    <row r="63" spans="1:17">
      <c r="A63" s="1036">
        <f t="shared" si="0"/>
        <v>52</v>
      </c>
      <c r="C63" s="617"/>
      <c r="D63" s="617"/>
      <c r="E63" s="617"/>
      <c r="F63" s="617"/>
      <c r="G63" s="617"/>
      <c r="H63" s="617"/>
      <c r="I63" s="617"/>
      <c r="J63" s="617"/>
      <c r="K63" s="617"/>
      <c r="L63" s="617"/>
      <c r="M63" s="617"/>
      <c r="N63" s="617"/>
    </row>
    <row r="64" spans="1:17">
      <c r="A64" s="1036">
        <f t="shared" si="0"/>
        <v>53</v>
      </c>
      <c r="B64" s="172" t="s">
        <v>207</v>
      </c>
      <c r="C64" s="469"/>
      <c r="D64" s="469"/>
      <c r="E64" s="469"/>
      <c r="F64" s="469"/>
      <c r="G64" s="469"/>
      <c r="H64" s="469"/>
      <c r="I64" s="469">
        <v>1</v>
      </c>
      <c r="J64" s="469">
        <v>1</v>
      </c>
      <c r="K64" s="469">
        <v>1</v>
      </c>
      <c r="L64" s="469">
        <v>1</v>
      </c>
      <c r="M64" s="469">
        <v>1</v>
      </c>
      <c r="N64" s="469">
        <v>1</v>
      </c>
    </row>
    <row r="65" spans="1:16">
      <c r="A65" s="1036">
        <f t="shared" si="0"/>
        <v>54</v>
      </c>
      <c r="B65" s="172" t="s">
        <v>208</v>
      </c>
      <c r="C65" s="469"/>
      <c r="D65" s="469"/>
      <c r="E65" s="469"/>
      <c r="F65" s="469"/>
      <c r="G65" s="469"/>
      <c r="H65" s="469"/>
      <c r="I65" s="665">
        <f>Allocation!$H$17</f>
        <v>0.50419999999999998</v>
      </c>
      <c r="J65" s="665">
        <f>Allocation!$H$17</f>
        <v>0.50419999999999998</v>
      </c>
      <c r="K65" s="665">
        <f>Allocation!$H$17</f>
        <v>0.50419999999999998</v>
      </c>
      <c r="L65" s="665">
        <f>Allocation!$H$17</f>
        <v>0.50419999999999998</v>
      </c>
      <c r="M65" s="665">
        <f>Allocation!$H$17</f>
        <v>0.50419999999999998</v>
      </c>
      <c r="N65" s="665">
        <f>Allocation!$H$17</f>
        <v>0.50419999999999998</v>
      </c>
    </row>
    <row r="66" spans="1:16">
      <c r="A66" s="1036">
        <f t="shared" si="0"/>
        <v>55</v>
      </c>
    </row>
    <row r="67" spans="1:16">
      <c r="A67" s="1036">
        <f t="shared" si="0"/>
        <v>56</v>
      </c>
      <c r="B67" s="172" t="s">
        <v>209</v>
      </c>
      <c r="C67" s="1103">
        <f t="shared" ref="C67:H67" si="22">C22</f>
        <v>14019.55</v>
      </c>
      <c r="D67" s="1103">
        <f t="shared" si="22"/>
        <v>15927.77</v>
      </c>
      <c r="E67" s="1103">
        <f t="shared" si="22"/>
        <v>30994.04</v>
      </c>
      <c r="F67" s="1103">
        <f t="shared" si="22"/>
        <v>17752.890000000003</v>
      </c>
      <c r="G67" s="1103">
        <f t="shared" si="22"/>
        <v>17869.54</v>
      </c>
      <c r="H67" s="1103">
        <f t="shared" si="22"/>
        <v>21410.83</v>
      </c>
      <c r="I67" s="1103">
        <f t="shared" ref="I67:K67" si="23">(I62)*I64*I65</f>
        <v>13836.796794494587</v>
      </c>
      <c r="J67" s="1103">
        <f t="shared" si="23"/>
        <v>13836.796794494587</v>
      </c>
      <c r="K67" s="1103">
        <f t="shared" si="23"/>
        <v>13836.796794494587</v>
      </c>
      <c r="L67" s="1103">
        <f t="shared" ref="L67:N67" si="24">(L62)*L64*L65</f>
        <v>13836.796794494587</v>
      </c>
      <c r="M67" s="1103">
        <f t="shared" si="24"/>
        <v>13836.796794494587</v>
      </c>
      <c r="N67" s="1103">
        <f t="shared" si="24"/>
        <v>13836.796794494587</v>
      </c>
      <c r="O67" s="1103">
        <f>SUM(C67:N67)</f>
        <v>200995.40076696753</v>
      </c>
    </row>
    <row r="68" spans="1:16">
      <c r="C68" s="617"/>
    </row>
    <row r="70" spans="1:16">
      <c r="B70" s="967" t="s">
        <v>1602</v>
      </c>
      <c r="C70" s="469"/>
      <c r="D70" s="469"/>
      <c r="E70" s="469"/>
      <c r="F70" s="469"/>
      <c r="G70" s="469"/>
      <c r="H70" s="469"/>
      <c r="I70" s="469"/>
      <c r="J70" s="469"/>
      <c r="K70" s="469"/>
      <c r="L70" s="469"/>
      <c r="M70" s="469"/>
      <c r="N70" s="469"/>
      <c r="O70" s="544"/>
    </row>
    <row r="71" spans="1:16">
      <c r="B71" s="967" t="s">
        <v>1606</v>
      </c>
      <c r="C71" s="469"/>
      <c r="D71" s="469"/>
      <c r="E71" s="469"/>
      <c r="F71" s="469"/>
      <c r="G71" s="469"/>
      <c r="H71" s="469"/>
      <c r="I71" s="469"/>
      <c r="J71" s="469"/>
      <c r="K71" s="469"/>
      <c r="L71" s="469"/>
      <c r="M71" s="469"/>
      <c r="N71" s="469"/>
      <c r="P71" s="544"/>
    </row>
    <row r="72" spans="1:16">
      <c r="B72" s="967"/>
      <c r="C72" s="469"/>
      <c r="D72" s="469"/>
      <c r="E72" s="469"/>
      <c r="F72" s="469"/>
      <c r="G72" s="469"/>
      <c r="H72" s="469"/>
      <c r="I72" s="469"/>
      <c r="J72" s="469"/>
      <c r="K72" s="469"/>
      <c r="L72" s="469"/>
      <c r="M72" s="469"/>
      <c r="N72" s="469"/>
      <c r="P72" s="544"/>
    </row>
    <row r="73" spans="1:16">
      <c r="P73" s="544"/>
    </row>
    <row r="74" spans="1:16">
      <c r="P74" s="544"/>
    </row>
    <row r="75" spans="1:16">
      <c r="E75" s="544"/>
      <c r="J75" s="557"/>
    </row>
    <row r="78" spans="1:16">
      <c r="J78" s="544"/>
      <c r="K78" s="544"/>
    </row>
    <row r="79" spans="1:16">
      <c r="J79" s="544"/>
      <c r="K79" s="544"/>
    </row>
    <row r="80" spans="1:16">
      <c r="J80" s="544"/>
      <c r="K80" s="544"/>
    </row>
    <row r="81" spans="10:11">
      <c r="J81" s="544"/>
      <c r="K81" s="544"/>
    </row>
    <row r="82" spans="10:11">
      <c r="J82" s="544"/>
      <c r="K82" s="544"/>
    </row>
    <row r="83" spans="10:11">
      <c r="J83" s="544"/>
      <c r="K83" s="544"/>
    </row>
    <row r="84" spans="10:11">
      <c r="J84" s="544"/>
      <c r="K84" s="544"/>
    </row>
  </sheetData>
  <mergeCells count="4">
    <mergeCell ref="A1:O1"/>
    <mergeCell ref="A2:O2"/>
    <mergeCell ref="A3:O3"/>
    <mergeCell ref="A4:O4"/>
  </mergeCells>
  <phoneticPr fontId="21" type="noConversion"/>
  <printOptions horizontalCentered="1"/>
  <pageMargins left="0.17" right="0.17" top="0.6" bottom="0.17" header="0.18" footer="0.42"/>
  <pageSetup scale="48" orientation="landscape" r:id="rId1"/>
  <headerFooter alignWithMargins="0">
    <oddFooter>&amp;RSchedule &amp;A
Page &amp;P of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14">
    <pageSetUpPr fitToPage="1"/>
  </sheetPr>
  <dimension ref="A1:S71"/>
  <sheetViews>
    <sheetView view="pageBreakPreview" zoomScale="80" zoomScaleNormal="100" zoomScaleSheetLayoutView="80" workbookViewId="0">
      <selection sqref="A1:O1"/>
    </sheetView>
  </sheetViews>
  <sheetFormatPr defaultColWidth="8.88671875" defaultRowHeight="15"/>
  <cols>
    <col min="1" max="1" width="4.6640625" style="73" customWidth="1"/>
    <col min="2" max="2" width="40.6640625" style="73" customWidth="1"/>
    <col min="3" max="3" width="11" style="73" bestFit="1" customWidth="1"/>
    <col min="4" max="5" width="11.109375" style="73" bestFit="1" customWidth="1"/>
    <col min="6" max="7" width="11" style="73" bestFit="1" customWidth="1"/>
    <col min="8" max="8" width="11.109375" style="73" bestFit="1" customWidth="1"/>
    <col min="9" max="12" width="11" style="73" bestFit="1" customWidth="1"/>
    <col min="13" max="13" width="12" style="73" bestFit="1" customWidth="1"/>
    <col min="14" max="14" width="11" style="73" bestFit="1" customWidth="1"/>
    <col min="15" max="15" width="13.88671875" style="73" customWidth="1"/>
    <col min="16" max="16" width="13.109375" style="73" bestFit="1" customWidth="1"/>
    <col min="17" max="17" width="12" style="73" bestFit="1" customWidth="1"/>
    <col min="18" max="18" width="11.44140625" style="73" bestFit="1" customWidth="1"/>
    <col min="19" max="16384" width="8.88671875" style="73"/>
  </cols>
  <sheetData>
    <row r="1" spans="1:19">
      <c r="A1" s="1270" t="str">
        <f>'Table of Contents'!A1:C1</f>
        <v>Atmos Energy Corporation, Kentucky/Mid-States Division</v>
      </c>
      <c r="B1" s="1270"/>
      <c r="C1" s="1270"/>
      <c r="D1" s="1270"/>
      <c r="E1" s="1270"/>
      <c r="F1" s="1270"/>
      <c r="G1" s="1270"/>
      <c r="H1" s="1270"/>
      <c r="I1" s="1270"/>
      <c r="J1" s="1270"/>
      <c r="K1" s="1270"/>
      <c r="L1" s="1270"/>
      <c r="M1" s="1270"/>
      <c r="N1" s="1270"/>
      <c r="O1" s="1270"/>
    </row>
    <row r="2" spans="1:19">
      <c r="A2" s="1270" t="str">
        <f>'Table of Contents'!A2:C2</f>
        <v>Kentucky Jurisdiction Case No. 2021-00214</v>
      </c>
      <c r="B2" s="1270"/>
      <c r="C2" s="1270"/>
      <c r="D2" s="1270"/>
      <c r="E2" s="1270"/>
      <c r="F2" s="1270"/>
      <c r="G2" s="1270"/>
      <c r="H2" s="1270"/>
      <c r="I2" s="1270"/>
      <c r="J2" s="1270"/>
      <c r="K2" s="1270"/>
      <c r="L2" s="1270"/>
      <c r="M2" s="1270"/>
      <c r="N2" s="1270"/>
      <c r="O2" s="1270"/>
    </row>
    <row r="3" spans="1:19">
      <c r="A3" s="1271" t="s">
        <v>191</v>
      </c>
      <c r="B3" s="1271"/>
      <c r="C3" s="1271"/>
      <c r="D3" s="1271"/>
      <c r="E3" s="1271"/>
      <c r="F3" s="1271"/>
      <c r="G3" s="1271"/>
      <c r="H3" s="1271"/>
      <c r="I3" s="1271"/>
      <c r="J3" s="1271"/>
      <c r="K3" s="1271"/>
      <c r="L3" s="1271"/>
      <c r="M3" s="1271"/>
      <c r="N3" s="1271"/>
      <c r="O3" s="1271"/>
      <c r="Q3" s="557"/>
    </row>
    <row r="4" spans="1:19">
      <c r="A4" s="1270" t="str">
        <f>'Table of Contents'!A4:C4</f>
        <v>Forecasted Test Period: Twelve Months Ended December 31, 2022</v>
      </c>
      <c r="B4" s="1270"/>
      <c r="C4" s="1270"/>
      <c r="D4" s="1270"/>
      <c r="E4" s="1270"/>
      <c r="F4" s="1270"/>
      <c r="G4" s="1270"/>
      <c r="H4" s="1270"/>
      <c r="I4" s="1270"/>
      <c r="J4" s="1270"/>
      <c r="K4" s="1270"/>
      <c r="L4" s="1270"/>
      <c r="M4" s="1270"/>
      <c r="N4" s="1270"/>
      <c r="O4" s="1270"/>
    </row>
    <row r="5" spans="1:19">
      <c r="B5" s="133"/>
      <c r="C5" s="133"/>
      <c r="D5" s="133"/>
      <c r="E5" s="133"/>
      <c r="F5" s="700"/>
      <c r="G5" s="133"/>
      <c r="H5" s="133"/>
      <c r="I5" s="133"/>
      <c r="J5" s="133"/>
      <c r="K5" s="133"/>
      <c r="L5" s="133"/>
      <c r="M5" s="317"/>
      <c r="N5" s="133"/>
    </row>
    <row r="6" spans="1:19">
      <c r="A6" s="472" t="str">
        <f>'C.2.1 F'!A6</f>
        <v>Data:________Base Period___X____Forecasted Period</v>
      </c>
      <c r="M6" s="66"/>
      <c r="O6" s="150" t="s">
        <v>1374</v>
      </c>
    </row>
    <row r="7" spans="1:19">
      <c r="A7" s="472" t="str">
        <f>'C.2.1 F'!A7</f>
        <v>Type of Filing:___X____Original________Updated ________Revised</v>
      </c>
      <c r="M7" s="66"/>
      <c r="N7" s="739"/>
      <c r="O7" s="428" t="s">
        <v>709</v>
      </c>
    </row>
    <row r="8" spans="1:19">
      <c r="A8" s="1061" t="str">
        <f>'C.2.1 F'!A8</f>
        <v>Workpaper Reference No(s).____________________</v>
      </c>
      <c r="B8" s="74"/>
      <c r="C8" s="134"/>
      <c r="D8" s="134"/>
      <c r="E8" s="134"/>
      <c r="F8" s="134"/>
      <c r="G8" s="134"/>
      <c r="H8" s="134"/>
      <c r="I8" s="134"/>
      <c r="J8" s="134"/>
      <c r="K8" s="134"/>
      <c r="L8" s="74"/>
      <c r="M8" s="74"/>
      <c r="N8" s="311"/>
      <c r="O8" s="1126" t="str">
        <f>'C.2.3 B'!O8</f>
        <v>Witness: Christian</v>
      </c>
    </row>
    <row r="9" spans="1:19">
      <c r="A9" s="336" t="s">
        <v>92</v>
      </c>
      <c r="C9" s="1128" t="str">
        <f>'C.2.2-F 09'!D9</f>
        <v>Forecasted</v>
      </c>
      <c r="D9" s="1128" t="str">
        <f>'C.2.2-F 09'!E9</f>
        <v>Forecasted</v>
      </c>
      <c r="E9" s="1128" t="str">
        <f>'C.2.2-F 09'!F9</f>
        <v>Forecasted</v>
      </c>
      <c r="F9" s="1128" t="str">
        <f>'C.2.2-F 09'!G9</f>
        <v>Forecasted</v>
      </c>
      <c r="G9" s="1128" t="str">
        <f>'C.2.2-F 09'!H9</f>
        <v>Forecasted</v>
      </c>
      <c r="H9" s="1128" t="str">
        <f>'C.2.2-F 09'!I9</f>
        <v>Forecasted</v>
      </c>
      <c r="I9" s="1128" t="str">
        <f>'C.2.2-F 09'!J9</f>
        <v>Forecasted</v>
      </c>
      <c r="J9" s="1128" t="str">
        <f>'C.2.2-F 09'!K9</f>
        <v>Forecasted</v>
      </c>
      <c r="K9" s="1128" t="str">
        <f>'C.2.2-F 09'!L9</f>
        <v>Forecasted</v>
      </c>
      <c r="L9" s="1128" t="str">
        <f>'C.2.2-F 09'!M9</f>
        <v>Forecasted</v>
      </c>
      <c r="M9" s="1128" t="str">
        <f>'C.2.2-F 09'!N9</f>
        <v>Forecasted</v>
      </c>
      <c r="N9" s="1128" t="str">
        <f>'C.2.2-F 09'!O9</f>
        <v>Forecasted</v>
      </c>
      <c r="O9" s="731"/>
    </row>
    <row r="10" spans="1:19">
      <c r="A10" s="337" t="s">
        <v>98</v>
      </c>
      <c r="B10" s="311" t="s">
        <v>190</v>
      </c>
      <c r="C10" s="1138">
        <f>'C.2.2-F 09'!D10</f>
        <v>44562</v>
      </c>
      <c r="D10" s="1138">
        <f>'C.2.2-F 09'!E10</f>
        <v>44593</v>
      </c>
      <c r="E10" s="1138">
        <f>'C.2.2-F 09'!F10</f>
        <v>44621</v>
      </c>
      <c r="F10" s="1138">
        <f>'C.2.2-F 09'!G10</f>
        <v>44652</v>
      </c>
      <c r="G10" s="1138">
        <f>'C.2.2-F 09'!H10</f>
        <v>44682</v>
      </c>
      <c r="H10" s="1138">
        <f>'C.2.2-F 09'!I10</f>
        <v>44713</v>
      </c>
      <c r="I10" s="1138">
        <f>'C.2.2-F 09'!J10</f>
        <v>44743</v>
      </c>
      <c r="J10" s="1138">
        <f>'C.2.2-F 09'!K10</f>
        <v>44774</v>
      </c>
      <c r="K10" s="1138">
        <f>'C.2.2-F 09'!L10</f>
        <v>44805</v>
      </c>
      <c r="L10" s="1138">
        <f>'C.2.2-F 09'!M10</f>
        <v>44835</v>
      </c>
      <c r="M10" s="1138">
        <f>'C.2.2-F 09'!N10</f>
        <v>44866</v>
      </c>
      <c r="N10" s="1138">
        <f>'C.2.2-F 09'!O10</f>
        <v>44896</v>
      </c>
      <c r="O10" s="1129" t="str">
        <f>'C.2.2 B 09'!P10</f>
        <v>Total</v>
      </c>
      <c r="P10" s="68"/>
    </row>
    <row r="11" spans="1:19" ht="15.75">
      <c r="B11" s="267"/>
      <c r="C11" s="682"/>
      <c r="D11" s="682"/>
      <c r="E11" s="682"/>
      <c r="F11" s="682"/>
      <c r="G11" s="682"/>
      <c r="H11" s="682"/>
      <c r="I11" s="682"/>
      <c r="J11" s="682"/>
      <c r="K11" s="682"/>
      <c r="L11" s="682"/>
      <c r="M11" s="682"/>
      <c r="N11" s="682"/>
      <c r="O11" s="682"/>
    </row>
    <row r="12" spans="1:19" ht="15.75">
      <c r="B12" s="267" t="s">
        <v>192</v>
      </c>
      <c r="C12" s="682"/>
      <c r="D12" s="682"/>
      <c r="E12" s="682"/>
      <c r="F12" s="682"/>
      <c r="G12" s="682"/>
      <c r="H12" s="682"/>
      <c r="I12" s="682"/>
      <c r="J12" s="682"/>
      <c r="K12" s="682"/>
      <c r="L12" s="682"/>
      <c r="M12" s="682"/>
      <c r="N12" s="682"/>
      <c r="O12" s="682"/>
    </row>
    <row r="13" spans="1:19">
      <c r="A13" s="684">
        <v>1</v>
      </c>
      <c r="C13" s="736"/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304"/>
      <c r="P13" s="544"/>
      <c r="S13" s="557"/>
    </row>
    <row r="14" spans="1:19">
      <c r="A14" s="1036">
        <f>A13+1</f>
        <v>2</v>
      </c>
      <c r="C14" s="430"/>
      <c r="D14" s="430"/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364"/>
      <c r="P14" s="740"/>
    </row>
    <row r="15" spans="1:19">
      <c r="A15" s="1036">
        <f t="shared" ref="A15:A68" si="0">A14+1</f>
        <v>3</v>
      </c>
      <c r="B15" s="73" t="s">
        <v>1554</v>
      </c>
      <c r="C15" s="304">
        <f>'[17]009DIV Budget'!E$22*1.03</f>
        <v>64427.53</v>
      </c>
      <c r="D15" s="304">
        <f>'[17]009DIV Budget'!F$22*1.03</f>
        <v>41244.29</v>
      </c>
      <c r="E15" s="304">
        <f>'[17]009DIV Budget'!G$22*1.03</f>
        <v>53896.810000000005</v>
      </c>
      <c r="F15" s="304">
        <f>'[17]009DIV Budget'!H$22*1.03</f>
        <v>36561.910000000003</v>
      </c>
      <c r="G15" s="304">
        <f>'[17]009DIV Budget'!I$22*1.03</f>
        <v>42590.5</v>
      </c>
      <c r="H15" s="304">
        <f>'[17]009DIV Budget'!J$22*1.03</f>
        <v>36012.92</v>
      </c>
      <c r="I15" s="304">
        <f>'[17]009DIV Budget'!K$22*1.03</f>
        <v>37032.620000000003</v>
      </c>
      <c r="J15" s="304">
        <f>'[17]009DIV Budget'!L$22*1.03</f>
        <v>32207.07</v>
      </c>
      <c r="K15" s="304">
        <f>'[17]009DIV Budget'!M$22*1.03</f>
        <v>53449.79</v>
      </c>
      <c r="L15" s="304">
        <f>'[17]009DIV Budget'!B$22*1.03</f>
        <v>36700.959999999999</v>
      </c>
      <c r="M15" s="304">
        <f>'[17]009DIV Budget'!C$22*1.03</f>
        <v>102227.5</v>
      </c>
      <c r="N15" s="304">
        <f>'[17]009DIV Budget'!D$22*1.03</f>
        <v>24381.13</v>
      </c>
      <c r="O15" s="304">
        <f t="shared" ref="O15:O23" si="1">SUM(C15:N15)</f>
        <v>560733.03</v>
      </c>
      <c r="P15" s="740"/>
    </row>
    <row r="16" spans="1:19">
      <c r="A16" s="1036">
        <f t="shared" si="0"/>
        <v>4</v>
      </c>
      <c r="B16" s="73" t="s">
        <v>1203</v>
      </c>
      <c r="C16" s="364">
        <f>'C.2.3 B'!F15*1.03</f>
        <v>0</v>
      </c>
      <c r="D16" s="364">
        <f>'C.2.3 B'!G15*1.03</f>
        <v>0</v>
      </c>
      <c r="E16" s="364">
        <f>'C.2.3 B'!H15*1.03</f>
        <v>0</v>
      </c>
      <c r="F16" s="364">
        <f>'C.2.3 B'!I15</f>
        <v>0</v>
      </c>
      <c r="G16" s="364">
        <f>'C.2.3 B'!J15</f>
        <v>0</v>
      </c>
      <c r="H16" s="364">
        <f>'C.2.3 B'!K15</f>
        <v>0</v>
      </c>
      <c r="I16" s="364">
        <f>'C.2.3 B'!L15</f>
        <v>0</v>
      </c>
      <c r="J16" s="364">
        <f>'C.2.3 B'!M15</f>
        <v>0</v>
      </c>
      <c r="K16" s="364">
        <f>'C.2.3 B'!N15</f>
        <v>0</v>
      </c>
      <c r="L16" s="492">
        <f>'C.2.3 B'!C15*1.03</f>
        <v>0</v>
      </c>
      <c r="M16" s="492">
        <f>'C.2.3 B'!M15</f>
        <v>0</v>
      </c>
      <c r="N16" s="492">
        <f>'C.2.3 B'!N15</f>
        <v>0</v>
      </c>
      <c r="O16" s="364">
        <f t="shared" si="1"/>
        <v>0</v>
      </c>
      <c r="P16" s="544"/>
      <c r="R16" s="715"/>
    </row>
    <row r="17" spans="1:18">
      <c r="A17" s="1036">
        <f t="shared" si="0"/>
        <v>5</v>
      </c>
      <c r="B17" s="73" t="s">
        <v>108</v>
      </c>
      <c r="C17" s="364">
        <f>(('C.2.3 B'!$O$16/'B.1 B'!$D$15)*'B.1 F '!$D$15)/12</f>
        <v>721721.00559507392</v>
      </c>
      <c r="D17" s="364">
        <f>(('C.2.3 B'!$O$16/'B.1 B'!$D$15)*'B.1 F '!$D$15)/12</f>
        <v>721721.00559507392</v>
      </c>
      <c r="E17" s="364">
        <f>(('C.2.3 B'!$O$16/'B.1 B'!$D$15)*'B.1 F '!$D$15)/12</f>
        <v>721721.00559507392</v>
      </c>
      <c r="F17" s="364">
        <f>(('C.2.3 B'!$O$16/'B.1 B'!$D$15)*'B.1 F '!$D$15)/12</f>
        <v>721721.00559507392</v>
      </c>
      <c r="G17" s="364">
        <f>(('C.2.3 B'!$O$16/'B.1 B'!$D$15)*'B.1 F '!$D$15)/12</f>
        <v>721721.00559507392</v>
      </c>
      <c r="H17" s="364">
        <f>(('C.2.3 B'!$O$16/'B.1 B'!$D$15)*'B.1 F '!$D$15)/12</f>
        <v>721721.00559507392</v>
      </c>
      <c r="I17" s="364">
        <f>(('C.2.3 B'!$O$16/'B.1 B'!$D$15)*'B.1 F '!$D$15)/12</f>
        <v>721721.00559507392</v>
      </c>
      <c r="J17" s="364">
        <f>(('C.2.3 B'!$O$16/'B.1 B'!$D$15)*'B.1 F '!$D$15)/12</f>
        <v>721721.00559507392</v>
      </c>
      <c r="K17" s="364">
        <f>(('C.2.3 B'!$O$16/'B.1 B'!$D$15)*'B.1 F '!$D$15)/12</f>
        <v>721721.00559507392</v>
      </c>
      <c r="L17" s="364">
        <f>(('C.2.3 B'!$O$16/'B.1 B'!$D$15)*'B.1 F '!$D$15)/12</f>
        <v>721721.00559507392</v>
      </c>
      <c r="M17" s="364">
        <f>(('C.2.3 B'!$O$16/'B.1 B'!$D$15)*'B.1 F '!$D$15)/12</f>
        <v>721721.00559507392</v>
      </c>
      <c r="N17" s="364">
        <f>(('C.2.3 B'!$O$16/'B.1 B'!$D$15)*'B.1 F '!$D$15)/12</f>
        <v>721721.00559507392</v>
      </c>
      <c r="O17" s="364">
        <f>SUM(C17:N17)</f>
        <v>8660652.0671408866</v>
      </c>
      <c r="P17" s="507"/>
      <c r="Q17" s="507"/>
      <c r="R17" s="544"/>
    </row>
    <row r="18" spans="1:18">
      <c r="A18" s="1036">
        <f t="shared" si="0"/>
        <v>6</v>
      </c>
      <c r="B18" s="172" t="s">
        <v>1303</v>
      </c>
      <c r="C18" s="364">
        <f>'[17]009DIV Budget'!E$69</f>
        <v>0</v>
      </c>
      <c r="D18" s="364">
        <f>'[17]009DIV Budget'!F$69</f>
        <v>0</v>
      </c>
      <c r="E18" s="364">
        <f>'[17]009DIV Budget'!G$69</f>
        <v>145406</v>
      </c>
      <c r="F18" s="364">
        <f>'[17]009DIV Budget'!H$69</f>
        <v>0</v>
      </c>
      <c r="G18" s="364">
        <f>'[17]009DIV Budget'!I$69</f>
        <v>0</v>
      </c>
      <c r="H18" s="364">
        <f>'[17]009DIV Budget'!J$69</f>
        <v>0</v>
      </c>
      <c r="I18" s="364">
        <f>'[17]009DIV Budget'!K$69</f>
        <v>0</v>
      </c>
      <c r="J18" s="364">
        <f>'[17]009DIV Budget'!L$69</f>
        <v>0</v>
      </c>
      <c r="K18" s="364">
        <f>'[17]009DIV Budget'!M$69</f>
        <v>0</v>
      </c>
      <c r="L18" s="364">
        <f>'[17]009DIV Budget'!B$69</f>
        <v>0</v>
      </c>
      <c r="M18" s="364">
        <f>'[17]009DIV Budget'!C$69</f>
        <v>0</v>
      </c>
      <c r="N18" s="364">
        <f>'[17]009DIV Budget'!D$69</f>
        <v>0</v>
      </c>
      <c r="O18" s="364">
        <f t="shared" si="1"/>
        <v>145406</v>
      </c>
      <c r="Q18" s="741"/>
    </row>
    <row r="19" spans="1:18">
      <c r="A19" s="1036">
        <f t="shared" si="0"/>
        <v>7</v>
      </c>
      <c r="B19" s="73" t="s">
        <v>107</v>
      </c>
      <c r="C19" s="364">
        <f>'[17]009DIV Budget'!E$26+'[17]009DIV Budget'!E$75</f>
        <v>667</v>
      </c>
      <c r="D19" s="364">
        <f>'[17]009DIV Budget'!F$26+'[17]009DIV Budget'!F$75</f>
        <v>0</v>
      </c>
      <c r="E19" s="364">
        <f>'[17]009DIV Budget'!G$26+'[17]009DIV Budget'!G$75</f>
        <v>83</v>
      </c>
      <c r="F19" s="364">
        <f>'[17]009DIV Budget'!H$26+'[17]009DIV Budget'!H$75</f>
        <v>651</v>
      </c>
      <c r="G19" s="364">
        <f>'[17]009DIV Budget'!I$26+'[17]009DIV Budget'!I$75</f>
        <v>43</v>
      </c>
      <c r="H19" s="364">
        <f>'[17]009DIV Budget'!J$26+'[17]009DIV Budget'!J$75</f>
        <v>0</v>
      </c>
      <c r="I19" s="364">
        <f>'[17]009DIV Budget'!K$26+'[17]009DIV Budget'!K$75</f>
        <v>16506</v>
      </c>
      <c r="J19" s="364">
        <f>'[17]009DIV Budget'!L$26+'[17]009DIV Budget'!L$75</f>
        <v>212</v>
      </c>
      <c r="K19" s="364">
        <f>'[17]009DIV Budget'!M$26+'[17]009DIV Budget'!M$75</f>
        <v>83</v>
      </c>
      <c r="L19" s="364">
        <f>'[17]009DIV Budget'!B$26+'[17]009DIV Budget'!B$75</f>
        <v>782</v>
      </c>
      <c r="M19" s="364">
        <f>'[17]009DIV Budget'!C$26+'[17]009DIV Budget'!C$75</f>
        <v>65</v>
      </c>
      <c r="N19" s="364">
        <f>'[17]009DIV Budget'!D$26+'[17]009DIV Budget'!D$75</f>
        <v>383</v>
      </c>
      <c r="O19" s="364">
        <f t="shared" si="1"/>
        <v>19475</v>
      </c>
      <c r="P19" s="544"/>
      <c r="Q19" s="741"/>
    </row>
    <row r="20" spans="1:18">
      <c r="A20" s="1036">
        <f t="shared" si="0"/>
        <v>8</v>
      </c>
      <c r="B20" s="73" t="s">
        <v>288</v>
      </c>
      <c r="C20" s="364">
        <f>$O20/12</f>
        <v>28911.153824944908</v>
      </c>
      <c r="D20" s="364">
        <f>C20</f>
        <v>28911.153824944908</v>
      </c>
      <c r="E20" s="364">
        <f t="shared" ref="E20" si="2">D20</f>
        <v>28911.153824944908</v>
      </c>
      <c r="F20" s="364">
        <f t="shared" ref="F20" si="3">E20</f>
        <v>28911.153824944908</v>
      </c>
      <c r="G20" s="364">
        <f t="shared" ref="G20" si="4">F20</f>
        <v>28911.153824944908</v>
      </c>
      <c r="H20" s="364">
        <f t="shared" ref="H20" si="5">G20</f>
        <v>28911.153824944908</v>
      </c>
      <c r="I20" s="364">
        <f t="shared" ref="I20" si="6">H20</f>
        <v>28911.153824944908</v>
      </c>
      <c r="J20" s="364">
        <f t="shared" ref="J20" si="7">I20</f>
        <v>28911.153824944908</v>
      </c>
      <c r="K20" s="364">
        <f t="shared" ref="K20" si="8">J20</f>
        <v>28911.153824944908</v>
      </c>
      <c r="L20" s="364">
        <f t="shared" ref="L20" si="9">K20</f>
        <v>28911.153824944908</v>
      </c>
      <c r="M20" s="364">
        <f t="shared" ref="M20" si="10">L20</f>
        <v>28911.153824944908</v>
      </c>
      <c r="N20" s="364">
        <f t="shared" ref="N20" si="11">M20</f>
        <v>28911.153824944908</v>
      </c>
      <c r="O20" s="364">
        <f>-H.1!$E$21*SUM('C.2.2-F 09'!$P$17:$P$28)</f>
        <v>346933.84589933889</v>
      </c>
      <c r="P20" s="742"/>
      <c r="Q20" s="544"/>
      <c r="R20" s="544"/>
    </row>
    <row r="21" spans="1:18">
      <c r="A21" s="1036">
        <f t="shared" si="0"/>
        <v>9</v>
      </c>
      <c r="B21" s="73" t="s">
        <v>41</v>
      </c>
      <c r="C21" s="364">
        <f>C53</f>
        <v>12445.799762483966</v>
      </c>
      <c r="D21" s="364">
        <f t="shared" ref="D21:N21" si="12">D53</f>
        <v>12445.799762483966</v>
      </c>
      <c r="E21" s="364">
        <f t="shared" si="12"/>
        <v>12445.799762483966</v>
      </c>
      <c r="F21" s="364">
        <f t="shared" si="12"/>
        <v>12445.799762483966</v>
      </c>
      <c r="G21" s="364">
        <f t="shared" si="12"/>
        <v>12445.799762483966</v>
      </c>
      <c r="H21" s="364">
        <f t="shared" si="12"/>
        <v>12445.799762483966</v>
      </c>
      <c r="I21" s="364">
        <f t="shared" si="12"/>
        <v>12445.799762483966</v>
      </c>
      <c r="J21" s="364">
        <f t="shared" si="12"/>
        <v>12445.799762483966</v>
      </c>
      <c r="K21" s="364">
        <f t="shared" si="12"/>
        <v>12445.799762483966</v>
      </c>
      <c r="L21" s="364">
        <f t="shared" si="12"/>
        <v>12445.799762483966</v>
      </c>
      <c r="M21" s="364">
        <f t="shared" si="12"/>
        <v>12445.799762483966</v>
      </c>
      <c r="N21" s="364">
        <f t="shared" si="12"/>
        <v>12445.799762483966</v>
      </c>
      <c r="O21" s="364">
        <f t="shared" si="1"/>
        <v>149349.59714980758</v>
      </c>
      <c r="P21" s="507"/>
      <c r="Q21" s="544"/>
    </row>
    <row r="22" spans="1:18">
      <c r="A22" s="1036">
        <f t="shared" si="0"/>
        <v>10</v>
      </c>
      <c r="B22" s="73" t="s">
        <v>988</v>
      </c>
      <c r="C22" s="364">
        <f>C40</f>
        <v>22734.552447509199</v>
      </c>
      <c r="D22" s="364">
        <f t="shared" ref="D22:N22" si="13">D40</f>
        <v>22734.552447509199</v>
      </c>
      <c r="E22" s="364">
        <f t="shared" si="13"/>
        <v>22734.552447509199</v>
      </c>
      <c r="F22" s="364">
        <f t="shared" si="13"/>
        <v>22734.552447509199</v>
      </c>
      <c r="G22" s="364">
        <f t="shared" si="13"/>
        <v>22734.552447509199</v>
      </c>
      <c r="H22" s="364">
        <f t="shared" si="13"/>
        <v>22734.552447509199</v>
      </c>
      <c r="I22" s="364">
        <f t="shared" si="13"/>
        <v>22734.552447509199</v>
      </c>
      <c r="J22" s="364">
        <f t="shared" si="13"/>
        <v>22734.552447509199</v>
      </c>
      <c r="K22" s="364">
        <f t="shared" si="13"/>
        <v>22734.552447509199</v>
      </c>
      <c r="L22" s="364">
        <f t="shared" si="13"/>
        <v>22734.552447509199</v>
      </c>
      <c r="M22" s="364">
        <f t="shared" si="13"/>
        <v>22734.552447509199</v>
      </c>
      <c r="N22" s="364">
        <f t="shared" si="13"/>
        <v>22734.552447509199</v>
      </c>
      <c r="O22" s="364">
        <f t="shared" si="1"/>
        <v>272814.6293701104</v>
      </c>
      <c r="P22" s="507"/>
      <c r="Q22" s="544"/>
    </row>
    <row r="23" spans="1:18">
      <c r="A23" s="1036">
        <f t="shared" si="0"/>
        <v>11</v>
      </c>
      <c r="B23" s="73" t="s">
        <v>1204</v>
      </c>
      <c r="C23" s="364">
        <f>C68</f>
        <v>14251.900698329426</v>
      </c>
      <c r="D23" s="364">
        <f t="shared" ref="D23:N23" si="14">D68</f>
        <v>14251.900698329426</v>
      </c>
      <c r="E23" s="364">
        <f t="shared" si="14"/>
        <v>14251.900698329426</v>
      </c>
      <c r="F23" s="364">
        <f t="shared" si="14"/>
        <v>14251.900698329426</v>
      </c>
      <c r="G23" s="364">
        <f t="shared" si="14"/>
        <v>14251.900698329426</v>
      </c>
      <c r="H23" s="364">
        <f t="shared" si="14"/>
        <v>14251.900698329426</v>
      </c>
      <c r="I23" s="364">
        <f t="shared" si="14"/>
        <v>14251.900698329426</v>
      </c>
      <c r="J23" s="364">
        <f t="shared" si="14"/>
        <v>14251.900698329426</v>
      </c>
      <c r="K23" s="364">
        <f t="shared" si="14"/>
        <v>14251.900698329426</v>
      </c>
      <c r="L23" s="364">
        <f t="shared" si="14"/>
        <v>14251.900698329426</v>
      </c>
      <c r="M23" s="364">
        <f t="shared" si="14"/>
        <v>14251.900698329426</v>
      </c>
      <c r="N23" s="364">
        <f t="shared" si="14"/>
        <v>14251.900698329426</v>
      </c>
      <c r="O23" s="364">
        <f t="shared" si="1"/>
        <v>171022.80837995315</v>
      </c>
      <c r="P23" s="507"/>
      <c r="Q23" s="544"/>
    </row>
    <row r="24" spans="1:18">
      <c r="A24" s="1036">
        <f t="shared" si="0"/>
        <v>12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</row>
    <row r="25" spans="1:18">
      <c r="A25" s="1036">
        <f t="shared" si="0"/>
        <v>13</v>
      </c>
      <c r="B25" s="73" t="s">
        <v>95</v>
      </c>
      <c r="C25" s="1103">
        <f t="shared" ref="C25:N25" si="15">SUM(C13:C24)</f>
        <v>865158.94232834142</v>
      </c>
      <c r="D25" s="1103">
        <f t="shared" si="15"/>
        <v>841308.70232834143</v>
      </c>
      <c r="E25" s="1103">
        <f t="shared" si="15"/>
        <v>999450.22232834145</v>
      </c>
      <c r="F25" s="1103">
        <f t="shared" si="15"/>
        <v>837277.32232834143</v>
      </c>
      <c r="G25" s="1103">
        <f t="shared" si="15"/>
        <v>842697.91232834139</v>
      </c>
      <c r="H25" s="1103">
        <f t="shared" si="15"/>
        <v>836077.33232834144</v>
      </c>
      <c r="I25" s="1103">
        <f t="shared" si="15"/>
        <v>853603.03232834139</v>
      </c>
      <c r="J25" s="1103">
        <f t="shared" si="15"/>
        <v>832483.48232834134</v>
      </c>
      <c r="K25" s="1103">
        <f t="shared" si="15"/>
        <v>853597.20232834143</v>
      </c>
      <c r="L25" s="1103">
        <f t="shared" si="15"/>
        <v>837547.37232834136</v>
      </c>
      <c r="M25" s="1103">
        <f t="shared" si="15"/>
        <v>902356.91232834139</v>
      </c>
      <c r="N25" s="1103">
        <f t="shared" si="15"/>
        <v>824828.5423283414</v>
      </c>
      <c r="O25" s="1103">
        <f>SUM(C25:N25)</f>
        <v>10326386.977940097</v>
      </c>
      <c r="P25" s="741"/>
    </row>
    <row r="26" spans="1:18">
      <c r="A26" s="1036">
        <f t="shared" si="0"/>
        <v>14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</row>
    <row r="27" spans="1:18" ht="15.75">
      <c r="A27" s="1036">
        <f t="shared" si="0"/>
        <v>15</v>
      </c>
      <c r="B27" s="267" t="s">
        <v>75</v>
      </c>
    </row>
    <row r="28" spans="1:18">
      <c r="A28" s="1036">
        <f t="shared" si="0"/>
        <v>16</v>
      </c>
      <c r="C28" s="736"/>
      <c r="D28" s="736"/>
      <c r="E28" s="736"/>
      <c r="F28" s="736"/>
      <c r="G28" s="736"/>
      <c r="H28" s="736"/>
      <c r="I28" s="736"/>
      <c r="J28" s="736"/>
      <c r="K28" s="736"/>
      <c r="L28" s="736"/>
      <c r="M28" s="736"/>
      <c r="N28" s="736"/>
      <c r="O28" s="304"/>
    </row>
    <row r="29" spans="1:18">
      <c r="A29" s="1036">
        <f t="shared" si="0"/>
        <v>17</v>
      </c>
      <c r="C29" s="736"/>
      <c r="D29" s="736"/>
      <c r="E29" s="736"/>
      <c r="F29" s="736"/>
      <c r="G29" s="736"/>
      <c r="H29" s="736"/>
      <c r="I29" s="736"/>
      <c r="J29" s="736"/>
      <c r="K29" s="736"/>
      <c r="L29" s="736"/>
      <c r="M29" s="736"/>
      <c r="N29" s="736"/>
      <c r="O29" s="364"/>
    </row>
    <row r="30" spans="1:18">
      <c r="A30" s="1036">
        <f t="shared" si="0"/>
        <v>18</v>
      </c>
      <c r="B30" s="73" t="s">
        <v>1555</v>
      </c>
      <c r="C30" s="304">
        <f>'C.2.3 B'!$N29*1.03</f>
        <v>304579.69892156281</v>
      </c>
      <c r="D30" s="304">
        <f>C30</f>
        <v>304579.69892156281</v>
      </c>
      <c r="E30" s="304">
        <f t="shared" ref="E30:N30" si="16">D30</f>
        <v>304579.69892156281</v>
      </c>
      <c r="F30" s="304">
        <f t="shared" si="16"/>
        <v>304579.69892156281</v>
      </c>
      <c r="G30" s="304">
        <f t="shared" si="16"/>
        <v>304579.69892156281</v>
      </c>
      <c r="H30" s="304">
        <f t="shared" si="16"/>
        <v>304579.69892156281</v>
      </c>
      <c r="I30" s="304">
        <f t="shared" si="16"/>
        <v>304579.69892156281</v>
      </c>
      <c r="J30" s="304">
        <f t="shared" si="16"/>
        <v>304579.69892156281</v>
      </c>
      <c r="K30" s="304">
        <f t="shared" si="16"/>
        <v>304579.69892156281</v>
      </c>
      <c r="L30" s="304">
        <f t="shared" si="16"/>
        <v>304579.69892156281</v>
      </c>
      <c r="M30" s="304">
        <f t="shared" si="16"/>
        <v>304579.69892156281</v>
      </c>
      <c r="N30" s="304">
        <f t="shared" si="16"/>
        <v>304579.69892156281</v>
      </c>
      <c r="O30" s="304">
        <f t="shared" ref="O30:O35" si="17">SUM(C30:N30)</f>
        <v>3654956.3870587531</v>
      </c>
    </row>
    <row r="31" spans="1:18">
      <c r="A31" s="1036">
        <f t="shared" si="0"/>
        <v>19</v>
      </c>
      <c r="B31" s="73" t="s">
        <v>287</v>
      </c>
      <c r="C31" s="364">
        <f>'C.2.3 B'!$N30</f>
        <v>41200</v>
      </c>
      <c r="D31" s="364">
        <f>'C.2.3 B'!$N30</f>
        <v>41200</v>
      </c>
      <c r="E31" s="364">
        <f>'C.2.3 B'!$N30</f>
        <v>41200</v>
      </c>
      <c r="F31" s="364">
        <f>'C.2.3 B'!$N30</f>
        <v>41200</v>
      </c>
      <c r="G31" s="364">
        <f>'C.2.3 B'!$N30</f>
        <v>41200</v>
      </c>
      <c r="H31" s="364">
        <f>'C.2.3 B'!$N30</f>
        <v>41200</v>
      </c>
      <c r="I31" s="364">
        <f>'C.2.3 B'!$N30</f>
        <v>41200</v>
      </c>
      <c r="J31" s="364">
        <f>'C.2.3 B'!$N30</f>
        <v>41200</v>
      </c>
      <c r="K31" s="364">
        <f>'C.2.3 B'!$N30</f>
        <v>41200</v>
      </c>
      <c r="L31" s="364">
        <f>'C.2.3 B'!$N30</f>
        <v>41200</v>
      </c>
      <c r="M31" s="364">
        <f>'C.2.3 B'!$N30</f>
        <v>41200</v>
      </c>
      <c r="N31" s="364">
        <f>'C.2.3 B'!$N30</f>
        <v>41200</v>
      </c>
      <c r="O31" s="364">
        <f>SUM(C31:N31)</f>
        <v>494400</v>
      </c>
      <c r="P31" s="507"/>
      <c r="Q31" s="507"/>
      <c r="R31" s="544"/>
    </row>
    <row r="32" spans="1:18">
      <c r="A32" s="1036">
        <f t="shared" si="0"/>
        <v>20</v>
      </c>
      <c r="B32" s="73" t="s">
        <v>204</v>
      </c>
      <c r="C32" s="364">
        <f>'C.2.3 B'!N31</f>
        <v>0</v>
      </c>
      <c r="D32" s="364">
        <f>C32</f>
        <v>0</v>
      </c>
      <c r="E32" s="364">
        <f t="shared" ref="E32:N32" si="18">D32</f>
        <v>0</v>
      </c>
      <c r="F32" s="364">
        <f t="shared" si="18"/>
        <v>0</v>
      </c>
      <c r="G32" s="364">
        <f t="shared" si="18"/>
        <v>0</v>
      </c>
      <c r="H32" s="364">
        <f t="shared" si="18"/>
        <v>0</v>
      </c>
      <c r="I32" s="364">
        <f t="shared" si="18"/>
        <v>0</v>
      </c>
      <c r="J32" s="364">
        <f t="shared" si="18"/>
        <v>0</v>
      </c>
      <c r="K32" s="364">
        <f t="shared" si="18"/>
        <v>0</v>
      </c>
      <c r="L32" s="364">
        <f t="shared" si="18"/>
        <v>0</v>
      </c>
      <c r="M32" s="364">
        <f t="shared" si="18"/>
        <v>0</v>
      </c>
      <c r="N32" s="364">
        <f t="shared" si="18"/>
        <v>0</v>
      </c>
      <c r="O32" s="364">
        <f t="shared" si="17"/>
        <v>0</v>
      </c>
    </row>
    <row r="33" spans="1:18">
      <c r="A33" s="1036">
        <f t="shared" si="0"/>
        <v>21</v>
      </c>
      <c r="B33" s="73" t="s">
        <v>205</v>
      </c>
      <c r="C33" s="364">
        <f>'C.2.3 B'!N32</f>
        <v>111526.04132907827</v>
      </c>
      <c r="D33" s="364">
        <f>C33</f>
        <v>111526.04132907827</v>
      </c>
      <c r="E33" s="364">
        <f t="shared" ref="E33:N33" si="19">D33</f>
        <v>111526.04132907827</v>
      </c>
      <c r="F33" s="364">
        <f t="shared" si="19"/>
        <v>111526.04132907827</v>
      </c>
      <c r="G33" s="364">
        <f t="shared" si="19"/>
        <v>111526.04132907827</v>
      </c>
      <c r="H33" s="364">
        <f t="shared" si="19"/>
        <v>111526.04132907827</v>
      </c>
      <c r="I33" s="364">
        <f t="shared" si="19"/>
        <v>111526.04132907827</v>
      </c>
      <c r="J33" s="364">
        <f t="shared" si="19"/>
        <v>111526.04132907827</v>
      </c>
      <c r="K33" s="364">
        <f t="shared" si="19"/>
        <v>111526.04132907827</v>
      </c>
      <c r="L33" s="364">
        <f t="shared" si="19"/>
        <v>111526.04132907827</v>
      </c>
      <c r="M33" s="364">
        <f t="shared" si="19"/>
        <v>111526.04132907827</v>
      </c>
      <c r="N33" s="364">
        <f t="shared" si="19"/>
        <v>111526.04132907827</v>
      </c>
      <c r="O33" s="364">
        <f t="shared" si="17"/>
        <v>1338312.4959489396</v>
      </c>
    </row>
    <row r="34" spans="1:18">
      <c r="A34" s="1036">
        <f t="shared" si="0"/>
        <v>22</v>
      </c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</row>
    <row r="35" spans="1:18">
      <c r="A35" s="1036">
        <f t="shared" si="0"/>
        <v>23</v>
      </c>
      <c r="B35" s="73" t="s">
        <v>206</v>
      </c>
      <c r="C35" s="1103">
        <f t="shared" ref="C35:N35" si="20">SUM(C28:C34)</f>
        <v>457305.74025064107</v>
      </c>
      <c r="D35" s="1103">
        <f t="shared" si="20"/>
        <v>457305.74025064107</v>
      </c>
      <c r="E35" s="1103">
        <f t="shared" si="20"/>
        <v>457305.74025064107</v>
      </c>
      <c r="F35" s="1103">
        <f t="shared" si="20"/>
        <v>457305.74025064107</v>
      </c>
      <c r="G35" s="1103">
        <f t="shared" si="20"/>
        <v>457305.74025064107</v>
      </c>
      <c r="H35" s="1103">
        <f t="shared" si="20"/>
        <v>457305.74025064107</v>
      </c>
      <c r="I35" s="1103">
        <f t="shared" si="20"/>
        <v>457305.74025064107</v>
      </c>
      <c r="J35" s="1103">
        <f t="shared" si="20"/>
        <v>457305.74025064107</v>
      </c>
      <c r="K35" s="1103">
        <f t="shared" si="20"/>
        <v>457305.74025064107</v>
      </c>
      <c r="L35" s="1103">
        <f t="shared" si="20"/>
        <v>457305.74025064107</v>
      </c>
      <c r="M35" s="1103">
        <f t="shared" si="20"/>
        <v>457305.74025064107</v>
      </c>
      <c r="N35" s="1103">
        <f t="shared" si="20"/>
        <v>457305.74025064107</v>
      </c>
      <c r="O35" s="1103">
        <f t="shared" si="17"/>
        <v>5487668.883007694</v>
      </c>
    </row>
    <row r="36" spans="1:18">
      <c r="A36" s="1036">
        <f t="shared" si="0"/>
        <v>24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</row>
    <row r="37" spans="1:18">
      <c r="A37" s="1036">
        <f t="shared" si="0"/>
        <v>25</v>
      </c>
      <c r="B37" s="73" t="s">
        <v>207</v>
      </c>
      <c r="C37" s="1136">
        <f>Allocation!C14</f>
        <v>9.8599999999999993E-2</v>
      </c>
      <c r="D37" s="1136">
        <f>$C$37</f>
        <v>9.8599999999999993E-2</v>
      </c>
      <c r="E37" s="1136">
        <f t="shared" ref="E37:N37" si="21">$C$37</f>
        <v>9.8599999999999993E-2</v>
      </c>
      <c r="F37" s="1136">
        <f t="shared" si="21"/>
        <v>9.8599999999999993E-2</v>
      </c>
      <c r="G37" s="1136">
        <f t="shared" si="21"/>
        <v>9.8599999999999993E-2</v>
      </c>
      <c r="H37" s="1136">
        <f t="shared" si="21"/>
        <v>9.8599999999999993E-2</v>
      </c>
      <c r="I37" s="1136">
        <f t="shared" si="21"/>
        <v>9.8599999999999993E-2</v>
      </c>
      <c r="J37" s="1136">
        <f t="shared" si="21"/>
        <v>9.8599999999999993E-2</v>
      </c>
      <c r="K37" s="1136">
        <f t="shared" si="21"/>
        <v>9.8599999999999993E-2</v>
      </c>
      <c r="L37" s="1136">
        <f t="shared" si="21"/>
        <v>9.8599999999999993E-2</v>
      </c>
      <c r="M37" s="1136">
        <f t="shared" si="21"/>
        <v>9.8599999999999993E-2</v>
      </c>
      <c r="N37" s="1136">
        <f t="shared" si="21"/>
        <v>9.8599999999999993E-2</v>
      </c>
    </row>
    <row r="38" spans="1:18">
      <c r="A38" s="1036">
        <f t="shared" si="0"/>
        <v>26</v>
      </c>
      <c r="B38" s="73" t="s">
        <v>208</v>
      </c>
      <c r="C38" s="665">
        <f>Allocation!D14</f>
        <v>0.50419999999999998</v>
      </c>
      <c r="D38" s="665">
        <f>$C$38</f>
        <v>0.50419999999999998</v>
      </c>
      <c r="E38" s="665">
        <f t="shared" ref="E38:N38" si="22">$C$38</f>
        <v>0.50419999999999998</v>
      </c>
      <c r="F38" s="665">
        <f t="shared" si="22"/>
        <v>0.50419999999999998</v>
      </c>
      <c r="G38" s="665">
        <f t="shared" si="22"/>
        <v>0.50419999999999998</v>
      </c>
      <c r="H38" s="665">
        <f t="shared" si="22"/>
        <v>0.50419999999999998</v>
      </c>
      <c r="I38" s="665">
        <f t="shared" si="22"/>
        <v>0.50419999999999998</v>
      </c>
      <c r="J38" s="665">
        <f t="shared" si="22"/>
        <v>0.50419999999999998</v>
      </c>
      <c r="K38" s="665">
        <f t="shared" si="22"/>
        <v>0.50419999999999998</v>
      </c>
      <c r="L38" s="665">
        <f t="shared" si="22"/>
        <v>0.50419999999999998</v>
      </c>
      <c r="M38" s="665">
        <f t="shared" si="22"/>
        <v>0.50419999999999998</v>
      </c>
      <c r="N38" s="665">
        <f t="shared" si="22"/>
        <v>0.50419999999999998</v>
      </c>
    </row>
    <row r="39" spans="1:18">
      <c r="A39" s="1036">
        <f t="shared" si="0"/>
        <v>27</v>
      </c>
    </row>
    <row r="40" spans="1:18">
      <c r="A40" s="1036">
        <f t="shared" si="0"/>
        <v>28</v>
      </c>
      <c r="B40" s="73" t="s">
        <v>1306</v>
      </c>
      <c r="C40" s="1139">
        <f>C35*C37*C38</f>
        <v>22734.552447509199</v>
      </c>
      <c r="D40" s="1139">
        <f t="shared" ref="D40:N40" si="23">D35*D37*D38</f>
        <v>22734.552447509199</v>
      </c>
      <c r="E40" s="1139">
        <f t="shared" si="23"/>
        <v>22734.552447509199</v>
      </c>
      <c r="F40" s="1139">
        <f t="shared" si="23"/>
        <v>22734.552447509199</v>
      </c>
      <c r="G40" s="1139">
        <f t="shared" si="23"/>
        <v>22734.552447509199</v>
      </c>
      <c r="H40" s="1139">
        <f t="shared" si="23"/>
        <v>22734.552447509199</v>
      </c>
      <c r="I40" s="1139">
        <f t="shared" si="23"/>
        <v>22734.552447509199</v>
      </c>
      <c r="J40" s="1139">
        <f t="shared" si="23"/>
        <v>22734.552447509199</v>
      </c>
      <c r="K40" s="1139">
        <f t="shared" si="23"/>
        <v>22734.552447509199</v>
      </c>
      <c r="L40" s="1139">
        <f t="shared" si="23"/>
        <v>22734.552447509199</v>
      </c>
      <c r="M40" s="1139">
        <f t="shared" si="23"/>
        <v>22734.552447509199</v>
      </c>
      <c r="N40" s="1139">
        <f t="shared" si="23"/>
        <v>22734.552447509199</v>
      </c>
      <c r="O40" s="1103">
        <f>SUM(C40:N40)</f>
        <v>272814.6293701104</v>
      </c>
    </row>
    <row r="41" spans="1:18">
      <c r="A41" s="1036">
        <f t="shared" si="0"/>
        <v>29</v>
      </c>
    </row>
    <row r="42" spans="1:18" ht="15.75">
      <c r="A42" s="1036">
        <f t="shared" si="0"/>
        <v>30</v>
      </c>
      <c r="B42" s="267" t="s">
        <v>76</v>
      </c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</row>
    <row r="43" spans="1:18">
      <c r="A43" s="1036">
        <f t="shared" si="0"/>
        <v>31</v>
      </c>
      <c r="C43" s="736"/>
      <c r="D43" s="736"/>
      <c r="E43" s="736"/>
      <c r="F43" s="736"/>
      <c r="G43" s="736"/>
      <c r="H43" s="736"/>
      <c r="I43" s="736"/>
      <c r="J43" s="736"/>
      <c r="K43" s="736"/>
      <c r="L43" s="736"/>
      <c r="M43" s="736"/>
      <c r="N43" s="736"/>
      <c r="O43" s="304"/>
      <c r="P43" s="544"/>
    </row>
    <row r="44" spans="1:18">
      <c r="A44" s="1036">
        <f t="shared" si="0"/>
        <v>32</v>
      </c>
      <c r="C44" s="736"/>
      <c r="D44" s="736"/>
      <c r="E44" s="736"/>
      <c r="F44" s="736"/>
      <c r="G44" s="736"/>
      <c r="H44" s="736"/>
      <c r="I44" s="736"/>
      <c r="J44" s="736"/>
      <c r="K44" s="736"/>
      <c r="L44" s="736"/>
      <c r="M44" s="736"/>
      <c r="N44" s="736"/>
      <c r="O44" s="364"/>
    </row>
    <row r="45" spans="1:18">
      <c r="A45" s="1036">
        <f t="shared" si="0"/>
        <v>33</v>
      </c>
      <c r="B45" s="73" t="s">
        <v>1555</v>
      </c>
      <c r="C45" s="304">
        <f>'C.2.3 B'!$N44*1.03</f>
        <v>195450.60847822996</v>
      </c>
      <c r="D45" s="304">
        <f>C45</f>
        <v>195450.60847822996</v>
      </c>
      <c r="E45" s="304">
        <f t="shared" ref="E45:N45" si="24">D45</f>
        <v>195450.60847822996</v>
      </c>
      <c r="F45" s="304">
        <f t="shared" si="24"/>
        <v>195450.60847822996</v>
      </c>
      <c r="G45" s="304">
        <f t="shared" si="24"/>
        <v>195450.60847822996</v>
      </c>
      <c r="H45" s="304">
        <f t="shared" si="24"/>
        <v>195450.60847822996</v>
      </c>
      <c r="I45" s="304">
        <f t="shared" si="24"/>
        <v>195450.60847822996</v>
      </c>
      <c r="J45" s="304">
        <f t="shared" si="24"/>
        <v>195450.60847822996</v>
      </c>
      <c r="K45" s="304">
        <f t="shared" si="24"/>
        <v>195450.60847822996</v>
      </c>
      <c r="L45" s="304">
        <f t="shared" si="24"/>
        <v>195450.60847822996</v>
      </c>
      <c r="M45" s="304">
        <f t="shared" si="24"/>
        <v>195450.60847822996</v>
      </c>
      <c r="N45" s="304">
        <f t="shared" si="24"/>
        <v>195450.60847822996</v>
      </c>
      <c r="O45" s="304">
        <f t="shared" ref="O45:O48" si="25">SUM(C45:N45)</f>
        <v>2345407.3017387595</v>
      </c>
    </row>
    <row r="46" spans="1:18">
      <c r="A46" s="1036">
        <f t="shared" si="0"/>
        <v>34</v>
      </c>
      <c r="B46" s="73" t="s">
        <v>287</v>
      </c>
      <c r="C46" s="364">
        <f>'C.2.3 B'!$N45</f>
        <v>28500</v>
      </c>
      <c r="D46" s="364">
        <f>C46</f>
        <v>28500</v>
      </c>
      <c r="E46" s="364">
        <f t="shared" ref="E46:N46" si="26">D46</f>
        <v>28500</v>
      </c>
      <c r="F46" s="364">
        <f t="shared" si="26"/>
        <v>28500</v>
      </c>
      <c r="G46" s="364">
        <f t="shared" si="26"/>
        <v>28500</v>
      </c>
      <c r="H46" s="364">
        <f t="shared" si="26"/>
        <v>28500</v>
      </c>
      <c r="I46" s="364">
        <f t="shared" si="26"/>
        <v>28500</v>
      </c>
      <c r="J46" s="364">
        <f t="shared" si="26"/>
        <v>28500</v>
      </c>
      <c r="K46" s="364">
        <f t="shared" si="26"/>
        <v>28500</v>
      </c>
      <c r="L46" s="364">
        <f t="shared" si="26"/>
        <v>28500</v>
      </c>
      <c r="M46" s="364">
        <f t="shared" si="26"/>
        <v>28500</v>
      </c>
      <c r="N46" s="364">
        <f t="shared" si="26"/>
        <v>28500</v>
      </c>
      <c r="O46" s="364">
        <f>SUM(C46:N46)</f>
        <v>342000</v>
      </c>
      <c r="P46" s="507"/>
      <c r="Q46" s="507"/>
      <c r="R46" s="544"/>
    </row>
    <row r="47" spans="1:18">
      <c r="A47" s="1036">
        <f t="shared" si="0"/>
        <v>35</v>
      </c>
      <c r="C47" s="364"/>
      <c r="D47" s="364"/>
      <c r="E47" s="364"/>
      <c r="F47" s="364"/>
      <c r="G47" s="364"/>
      <c r="H47" s="364"/>
      <c r="I47" s="364"/>
      <c r="J47" s="364"/>
      <c r="K47" s="364"/>
      <c r="L47" s="364"/>
      <c r="M47" s="364"/>
      <c r="N47" s="364"/>
      <c r="O47" s="364"/>
    </row>
    <row r="48" spans="1:18">
      <c r="A48" s="1036">
        <f t="shared" si="0"/>
        <v>36</v>
      </c>
      <c r="B48" s="73" t="s">
        <v>206</v>
      </c>
      <c r="C48" s="1103">
        <f t="shared" ref="C48:N48" si="27">SUM(C43:C46)</f>
        <v>223950.60847822996</v>
      </c>
      <c r="D48" s="1103">
        <f t="shared" si="27"/>
        <v>223950.60847822996</v>
      </c>
      <c r="E48" s="1103">
        <f t="shared" si="27"/>
        <v>223950.60847822996</v>
      </c>
      <c r="F48" s="1103">
        <f t="shared" si="27"/>
        <v>223950.60847822996</v>
      </c>
      <c r="G48" s="1103">
        <f t="shared" si="27"/>
        <v>223950.60847822996</v>
      </c>
      <c r="H48" s="1103">
        <f t="shared" si="27"/>
        <v>223950.60847822996</v>
      </c>
      <c r="I48" s="1103">
        <f t="shared" si="27"/>
        <v>223950.60847822996</v>
      </c>
      <c r="J48" s="1103">
        <f t="shared" si="27"/>
        <v>223950.60847822996</v>
      </c>
      <c r="K48" s="1103">
        <f t="shared" si="27"/>
        <v>223950.60847822996</v>
      </c>
      <c r="L48" s="1103">
        <f t="shared" si="27"/>
        <v>223950.60847822996</v>
      </c>
      <c r="M48" s="1103">
        <f t="shared" si="27"/>
        <v>223950.60847822996</v>
      </c>
      <c r="N48" s="1103">
        <f t="shared" si="27"/>
        <v>223950.60847822996</v>
      </c>
      <c r="O48" s="1103">
        <f t="shared" si="25"/>
        <v>2687407.3017387595</v>
      </c>
    </row>
    <row r="49" spans="1:18">
      <c r="A49" s="1036">
        <f t="shared" si="0"/>
        <v>37</v>
      </c>
    </row>
    <row r="50" spans="1:18">
      <c r="A50" s="1036">
        <f t="shared" si="0"/>
        <v>38</v>
      </c>
      <c r="B50" s="73" t="s">
        <v>207</v>
      </c>
      <c r="C50" s="665">
        <f>Allocation!C15</f>
        <v>0.11020000000000001</v>
      </c>
      <c r="D50" s="665">
        <f>$C$50</f>
        <v>0.11020000000000001</v>
      </c>
      <c r="E50" s="665">
        <f t="shared" ref="E50:N50" si="28">$C$50</f>
        <v>0.11020000000000001</v>
      </c>
      <c r="F50" s="665">
        <f t="shared" si="28"/>
        <v>0.11020000000000001</v>
      </c>
      <c r="G50" s="665">
        <f t="shared" si="28"/>
        <v>0.11020000000000001</v>
      </c>
      <c r="H50" s="665">
        <f t="shared" si="28"/>
        <v>0.11020000000000001</v>
      </c>
      <c r="I50" s="665">
        <f t="shared" si="28"/>
        <v>0.11020000000000001</v>
      </c>
      <c r="J50" s="665">
        <f t="shared" si="28"/>
        <v>0.11020000000000001</v>
      </c>
      <c r="K50" s="665">
        <f t="shared" si="28"/>
        <v>0.11020000000000001</v>
      </c>
      <c r="L50" s="665">
        <f t="shared" si="28"/>
        <v>0.11020000000000001</v>
      </c>
      <c r="M50" s="665">
        <f t="shared" si="28"/>
        <v>0.11020000000000001</v>
      </c>
      <c r="N50" s="665">
        <f t="shared" si="28"/>
        <v>0.11020000000000001</v>
      </c>
    </row>
    <row r="51" spans="1:18">
      <c r="A51" s="1036">
        <f t="shared" si="0"/>
        <v>39</v>
      </c>
      <c r="B51" s="73" t="s">
        <v>208</v>
      </c>
      <c r="C51" s="665">
        <f>Allocation!D15</f>
        <v>0.50429999999999997</v>
      </c>
      <c r="D51" s="665">
        <f>$C$51</f>
        <v>0.50429999999999997</v>
      </c>
      <c r="E51" s="665">
        <f t="shared" ref="E51:N51" si="29">$C$51</f>
        <v>0.50429999999999997</v>
      </c>
      <c r="F51" s="665">
        <f t="shared" si="29"/>
        <v>0.50429999999999997</v>
      </c>
      <c r="G51" s="665">
        <f t="shared" si="29"/>
        <v>0.50429999999999997</v>
      </c>
      <c r="H51" s="665">
        <f t="shared" si="29"/>
        <v>0.50429999999999997</v>
      </c>
      <c r="I51" s="665">
        <f t="shared" si="29"/>
        <v>0.50429999999999997</v>
      </c>
      <c r="J51" s="665">
        <f t="shared" si="29"/>
        <v>0.50429999999999997</v>
      </c>
      <c r="K51" s="665">
        <f t="shared" si="29"/>
        <v>0.50429999999999997</v>
      </c>
      <c r="L51" s="665">
        <f t="shared" si="29"/>
        <v>0.50429999999999997</v>
      </c>
      <c r="M51" s="665">
        <f t="shared" si="29"/>
        <v>0.50429999999999997</v>
      </c>
      <c r="N51" s="665">
        <f t="shared" si="29"/>
        <v>0.50429999999999997</v>
      </c>
    </row>
    <row r="52" spans="1:18">
      <c r="A52" s="1036">
        <f t="shared" si="0"/>
        <v>40</v>
      </c>
    </row>
    <row r="53" spans="1:18">
      <c r="A53" s="1036">
        <f t="shared" si="0"/>
        <v>41</v>
      </c>
      <c r="B53" s="73" t="s">
        <v>1305</v>
      </c>
      <c r="C53" s="1139">
        <f t="shared" ref="C53:N53" si="30">C48*C50*C51</f>
        <v>12445.799762483966</v>
      </c>
      <c r="D53" s="1139">
        <f t="shared" si="30"/>
        <v>12445.799762483966</v>
      </c>
      <c r="E53" s="1139">
        <f t="shared" si="30"/>
        <v>12445.799762483966</v>
      </c>
      <c r="F53" s="1139">
        <f t="shared" si="30"/>
        <v>12445.799762483966</v>
      </c>
      <c r="G53" s="1139">
        <f t="shared" si="30"/>
        <v>12445.799762483966</v>
      </c>
      <c r="H53" s="1139">
        <f t="shared" si="30"/>
        <v>12445.799762483966</v>
      </c>
      <c r="I53" s="1139">
        <f t="shared" si="30"/>
        <v>12445.799762483966</v>
      </c>
      <c r="J53" s="1139">
        <f t="shared" si="30"/>
        <v>12445.799762483966</v>
      </c>
      <c r="K53" s="1139">
        <f t="shared" si="30"/>
        <v>12445.799762483966</v>
      </c>
      <c r="L53" s="1139">
        <f t="shared" si="30"/>
        <v>12445.799762483966</v>
      </c>
      <c r="M53" s="1139">
        <f t="shared" si="30"/>
        <v>12445.799762483966</v>
      </c>
      <c r="N53" s="1139">
        <f t="shared" si="30"/>
        <v>12445.799762483966</v>
      </c>
      <c r="O53" s="1103">
        <f>SUM(C53:N53)</f>
        <v>149349.59714980758</v>
      </c>
    </row>
    <row r="54" spans="1:18">
      <c r="A54" s="1036">
        <f t="shared" si="0"/>
        <v>42</v>
      </c>
    </row>
    <row r="55" spans="1:18" ht="15.75">
      <c r="A55" s="1036">
        <f t="shared" si="0"/>
        <v>43</v>
      </c>
      <c r="B55" s="267" t="s">
        <v>77</v>
      </c>
    </row>
    <row r="56" spans="1:18">
      <c r="A56" s="1036">
        <f t="shared" si="0"/>
        <v>44</v>
      </c>
      <c r="C56" s="736"/>
      <c r="D56" s="736"/>
      <c r="E56" s="736"/>
      <c r="F56" s="736"/>
      <c r="G56" s="736"/>
      <c r="H56" s="736"/>
      <c r="I56" s="736"/>
      <c r="J56" s="736"/>
      <c r="K56" s="736"/>
      <c r="L56" s="736"/>
      <c r="M56" s="736"/>
      <c r="N56" s="736"/>
      <c r="O56" s="304"/>
    </row>
    <row r="57" spans="1:18">
      <c r="A57" s="1036">
        <f t="shared" si="0"/>
        <v>45</v>
      </c>
      <c r="C57" s="736"/>
      <c r="D57" s="736"/>
      <c r="E57" s="736"/>
      <c r="F57" s="736"/>
      <c r="G57" s="736"/>
      <c r="H57" s="736"/>
      <c r="I57" s="736"/>
      <c r="J57" s="736"/>
      <c r="K57" s="736"/>
      <c r="L57" s="736"/>
      <c r="M57" s="736"/>
      <c r="N57" s="736"/>
      <c r="O57" s="364"/>
    </row>
    <row r="58" spans="1:18">
      <c r="A58" s="1036">
        <f t="shared" si="0"/>
        <v>46</v>
      </c>
      <c r="B58" s="73" t="s">
        <v>1555</v>
      </c>
      <c r="C58" s="304">
        <f>'C.2.3 B'!N57*1.03</f>
        <v>28266.363939566494</v>
      </c>
      <c r="D58" s="304">
        <f>C58</f>
        <v>28266.363939566494</v>
      </c>
      <c r="E58" s="304">
        <f t="shared" ref="E58:N58" si="31">D58</f>
        <v>28266.363939566494</v>
      </c>
      <c r="F58" s="304">
        <f t="shared" si="31"/>
        <v>28266.363939566494</v>
      </c>
      <c r="G58" s="304">
        <f t="shared" si="31"/>
        <v>28266.363939566494</v>
      </c>
      <c r="H58" s="304">
        <f t="shared" si="31"/>
        <v>28266.363939566494</v>
      </c>
      <c r="I58" s="304">
        <f t="shared" si="31"/>
        <v>28266.363939566494</v>
      </c>
      <c r="J58" s="304">
        <f t="shared" si="31"/>
        <v>28266.363939566494</v>
      </c>
      <c r="K58" s="304">
        <f t="shared" si="31"/>
        <v>28266.363939566494</v>
      </c>
      <c r="L58" s="304">
        <f t="shared" si="31"/>
        <v>28266.363939566494</v>
      </c>
      <c r="M58" s="304">
        <f t="shared" si="31"/>
        <v>28266.363939566494</v>
      </c>
      <c r="N58" s="304">
        <f t="shared" si="31"/>
        <v>28266.363939566494</v>
      </c>
      <c r="O58" s="304">
        <f t="shared" ref="O58:O63" si="32">SUM(C58:N58)</f>
        <v>339196.36727479781</v>
      </c>
    </row>
    <row r="59" spans="1:18">
      <c r="A59" s="1036">
        <f t="shared" si="0"/>
        <v>47</v>
      </c>
      <c r="B59" s="72" t="s">
        <v>1203</v>
      </c>
      <c r="C59" s="364">
        <f>'C.2.3 B'!F58*1.03</f>
        <v>0</v>
      </c>
      <c r="D59" s="364">
        <f>C59</f>
        <v>0</v>
      </c>
      <c r="E59" s="364">
        <f t="shared" ref="E59:N59" si="33">D59</f>
        <v>0</v>
      </c>
      <c r="F59" s="364">
        <f t="shared" si="33"/>
        <v>0</v>
      </c>
      <c r="G59" s="364">
        <f t="shared" si="33"/>
        <v>0</v>
      </c>
      <c r="H59" s="364">
        <f t="shared" si="33"/>
        <v>0</v>
      </c>
      <c r="I59" s="364">
        <f t="shared" si="33"/>
        <v>0</v>
      </c>
      <c r="J59" s="364">
        <f t="shared" si="33"/>
        <v>0</v>
      </c>
      <c r="K59" s="364">
        <f t="shared" si="33"/>
        <v>0</v>
      </c>
      <c r="L59" s="364">
        <f t="shared" si="33"/>
        <v>0</v>
      </c>
      <c r="M59" s="364">
        <f t="shared" si="33"/>
        <v>0</v>
      </c>
      <c r="N59" s="364">
        <f t="shared" si="33"/>
        <v>0</v>
      </c>
      <c r="O59" s="364">
        <f t="shared" si="32"/>
        <v>0</v>
      </c>
    </row>
    <row r="60" spans="1:18">
      <c r="A60" s="1036">
        <f t="shared" si="0"/>
        <v>48</v>
      </c>
      <c r="B60" s="73" t="s">
        <v>287</v>
      </c>
      <c r="C60" s="364">
        <f>'C.2.3 B'!C59</f>
        <v>0</v>
      </c>
      <c r="D60" s="364">
        <f>C60</f>
        <v>0</v>
      </c>
      <c r="E60" s="364">
        <f t="shared" ref="E60:N60" si="34">D60</f>
        <v>0</v>
      </c>
      <c r="F60" s="364">
        <f t="shared" si="34"/>
        <v>0</v>
      </c>
      <c r="G60" s="364">
        <f t="shared" si="34"/>
        <v>0</v>
      </c>
      <c r="H60" s="364">
        <f t="shared" si="34"/>
        <v>0</v>
      </c>
      <c r="I60" s="364">
        <f t="shared" si="34"/>
        <v>0</v>
      </c>
      <c r="J60" s="364">
        <f t="shared" si="34"/>
        <v>0</v>
      </c>
      <c r="K60" s="364">
        <f t="shared" si="34"/>
        <v>0</v>
      </c>
      <c r="L60" s="364">
        <f t="shared" si="34"/>
        <v>0</v>
      </c>
      <c r="M60" s="364">
        <f t="shared" si="34"/>
        <v>0</v>
      </c>
      <c r="N60" s="364">
        <f t="shared" si="34"/>
        <v>0</v>
      </c>
      <c r="O60" s="364">
        <f>SUM(C60:N60)</f>
        <v>0</v>
      </c>
      <c r="P60" s="507"/>
      <c r="Q60" s="507"/>
      <c r="R60" s="544"/>
    </row>
    <row r="61" spans="1:18">
      <c r="A61" s="1036">
        <f t="shared" si="0"/>
        <v>49</v>
      </c>
      <c r="B61" s="95" t="s">
        <v>1302</v>
      </c>
      <c r="C61" s="364">
        <f>'C.2.3 B'!C60</f>
        <v>0</v>
      </c>
      <c r="D61" s="364">
        <f>C61</f>
        <v>0</v>
      </c>
      <c r="E61" s="364">
        <f t="shared" ref="E61:N61" si="35">D61</f>
        <v>0</v>
      </c>
      <c r="F61" s="364">
        <f t="shared" si="35"/>
        <v>0</v>
      </c>
      <c r="G61" s="364">
        <f t="shared" si="35"/>
        <v>0</v>
      </c>
      <c r="H61" s="364">
        <f t="shared" si="35"/>
        <v>0</v>
      </c>
      <c r="I61" s="364">
        <f t="shared" si="35"/>
        <v>0</v>
      </c>
      <c r="J61" s="364">
        <f t="shared" si="35"/>
        <v>0</v>
      </c>
      <c r="K61" s="364">
        <f t="shared" si="35"/>
        <v>0</v>
      </c>
      <c r="L61" s="364">
        <f t="shared" si="35"/>
        <v>0</v>
      </c>
      <c r="M61" s="364">
        <f t="shared" si="35"/>
        <v>0</v>
      </c>
      <c r="N61" s="364">
        <f t="shared" si="35"/>
        <v>0</v>
      </c>
      <c r="O61" s="364">
        <f t="shared" si="32"/>
        <v>0</v>
      </c>
      <c r="P61" s="741"/>
    </row>
    <row r="62" spans="1:18">
      <c r="A62" s="1036">
        <f t="shared" si="0"/>
        <v>50</v>
      </c>
      <c r="C62" s="364"/>
      <c r="D62" s="364"/>
      <c r="E62" s="364"/>
      <c r="F62" s="364"/>
      <c r="G62" s="364"/>
      <c r="H62" s="364"/>
      <c r="I62" s="364"/>
      <c r="J62" s="364"/>
      <c r="K62" s="364"/>
      <c r="L62" s="364"/>
      <c r="M62" s="364"/>
      <c r="N62" s="364"/>
      <c r="O62" s="364"/>
    </row>
    <row r="63" spans="1:18">
      <c r="A63" s="1036">
        <f t="shared" si="0"/>
        <v>51</v>
      </c>
      <c r="B63" s="73" t="s">
        <v>206</v>
      </c>
      <c r="C63" s="1103">
        <f t="shared" ref="C63:N63" si="36">SUM(C56:C62)</f>
        <v>28266.363939566494</v>
      </c>
      <c r="D63" s="1103">
        <f t="shared" si="36"/>
        <v>28266.363939566494</v>
      </c>
      <c r="E63" s="1103">
        <f t="shared" si="36"/>
        <v>28266.363939566494</v>
      </c>
      <c r="F63" s="1103">
        <f t="shared" si="36"/>
        <v>28266.363939566494</v>
      </c>
      <c r="G63" s="1103">
        <f t="shared" si="36"/>
        <v>28266.363939566494</v>
      </c>
      <c r="H63" s="1103">
        <f t="shared" si="36"/>
        <v>28266.363939566494</v>
      </c>
      <c r="I63" s="1103">
        <f t="shared" si="36"/>
        <v>28266.363939566494</v>
      </c>
      <c r="J63" s="1103">
        <f t="shared" si="36"/>
        <v>28266.363939566494</v>
      </c>
      <c r="K63" s="1103">
        <f t="shared" si="36"/>
        <v>28266.363939566494</v>
      </c>
      <c r="L63" s="1103">
        <f t="shared" si="36"/>
        <v>28266.363939566494</v>
      </c>
      <c r="M63" s="1103">
        <f t="shared" si="36"/>
        <v>28266.363939566494</v>
      </c>
      <c r="N63" s="1103">
        <f t="shared" si="36"/>
        <v>28266.363939566494</v>
      </c>
      <c r="O63" s="1103">
        <f t="shared" si="32"/>
        <v>339196.36727479781</v>
      </c>
    </row>
    <row r="64" spans="1:18">
      <c r="A64" s="1036">
        <f t="shared" si="0"/>
        <v>52</v>
      </c>
      <c r="G64" s="740"/>
    </row>
    <row r="65" spans="1:15">
      <c r="A65" s="1036">
        <f t="shared" si="0"/>
        <v>53</v>
      </c>
      <c r="B65" s="73" t="s">
        <v>207</v>
      </c>
      <c r="C65" s="469">
        <v>1</v>
      </c>
      <c r="D65" s="665">
        <f>$C$65</f>
        <v>1</v>
      </c>
      <c r="E65" s="665">
        <f t="shared" ref="E65:N65" si="37">$C$65</f>
        <v>1</v>
      </c>
      <c r="F65" s="665">
        <f t="shared" si="37"/>
        <v>1</v>
      </c>
      <c r="G65" s="665">
        <f t="shared" si="37"/>
        <v>1</v>
      </c>
      <c r="H65" s="665">
        <f t="shared" si="37"/>
        <v>1</v>
      </c>
      <c r="I65" s="665">
        <f t="shared" si="37"/>
        <v>1</v>
      </c>
      <c r="J65" s="665">
        <f t="shared" si="37"/>
        <v>1</v>
      </c>
      <c r="K65" s="665">
        <f t="shared" si="37"/>
        <v>1</v>
      </c>
      <c r="L65" s="665">
        <f t="shared" si="37"/>
        <v>1</v>
      </c>
      <c r="M65" s="665">
        <f t="shared" si="37"/>
        <v>1</v>
      </c>
      <c r="N65" s="665">
        <f t="shared" si="37"/>
        <v>1</v>
      </c>
    </row>
    <row r="66" spans="1:15">
      <c r="A66" s="1036">
        <f t="shared" si="0"/>
        <v>54</v>
      </c>
      <c r="B66" s="73" t="s">
        <v>208</v>
      </c>
      <c r="C66" s="665">
        <f>Allocation!D17</f>
        <v>0.50419999999999998</v>
      </c>
      <c r="D66" s="665">
        <f>$C$66</f>
        <v>0.50419999999999998</v>
      </c>
      <c r="E66" s="665">
        <f t="shared" ref="E66:N66" si="38">$C$66</f>
        <v>0.50419999999999998</v>
      </c>
      <c r="F66" s="665">
        <f t="shared" si="38"/>
        <v>0.50419999999999998</v>
      </c>
      <c r="G66" s="665">
        <f t="shared" si="38"/>
        <v>0.50419999999999998</v>
      </c>
      <c r="H66" s="665">
        <f t="shared" si="38"/>
        <v>0.50419999999999998</v>
      </c>
      <c r="I66" s="665">
        <f t="shared" si="38"/>
        <v>0.50419999999999998</v>
      </c>
      <c r="J66" s="665">
        <f t="shared" si="38"/>
        <v>0.50419999999999998</v>
      </c>
      <c r="K66" s="665">
        <f t="shared" si="38"/>
        <v>0.50419999999999998</v>
      </c>
      <c r="L66" s="665">
        <f t="shared" si="38"/>
        <v>0.50419999999999998</v>
      </c>
      <c r="M66" s="665">
        <f t="shared" si="38"/>
        <v>0.50419999999999998</v>
      </c>
      <c r="N66" s="665">
        <f t="shared" si="38"/>
        <v>0.50419999999999998</v>
      </c>
    </row>
    <row r="67" spans="1:15">
      <c r="A67" s="1036">
        <f t="shared" si="0"/>
        <v>55</v>
      </c>
    </row>
    <row r="68" spans="1:15">
      <c r="A68" s="1036">
        <f t="shared" si="0"/>
        <v>56</v>
      </c>
      <c r="B68" s="73" t="s">
        <v>1304</v>
      </c>
      <c r="C68" s="1139">
        <f>C63*C65*C66</f>
        <v>14251.900698329426</v>
      </c>
      <c r="D68" s="1139">
        <f t="shared" ref="D68:N68" si="39">D63*D65*D66</f>
        <v>14251.900698329426</v>
      </c>
      <c r="E68" s="1139">
        <f t="shared" si="39"/>
        <v>14251.900698329426</v>
      </c>
      <c r="F68" s="1139">
        <f t="shared" si="39"/>
        <v>14251.900698329426</v>
      </c>
      <c r="G68" s="1139">
        <f t="shared" si="39"/>
        <v>14251.900698329426</v>
      </c>
      <c r="H68" s="1139">
        <f t="shared" si="39"/>
        <v>14251.900698329426</v>
      </c>
      <c r="I68" s="1139">
        <f t="shared" si="39"/>
        <v>14251.900698329426</v>
      </c>
      <c r="J68" s="1139">
        <f t="shared" si="39"/>
        <v>14251.900698329426</v>
      </c>
      <c r="K68" s="1139">
        <f t="shared" si="39"/>
        <v>14251.900698329426</v>
      </c>
      <c r="L68" s="1139">
        <f t="shared" si="39"/>
        <v>14251.900698329426</v>
      </c>
      <c r="M68" s="1139">
        <f t="shared" si="39"/>
        <v>14251.900698329426</v>
      </c>
      <c r="N68" s="1139">
        <f t="shared" si="39"/>
        <v>14251.900698329426</v>
      </c>
      <c r="O68" s="1103">
        <f>SUM(C68:N68)</f>
        <v>171022.80837995315</v>
      </c>
    </row>
    <row r="69" spans="1:15">
      <c r="B69" s="743"/>
    </row>
    <row r="70" spans="1:15">
      <c r="B70" s="95" t="s">
        <v>1605</v>
      </c>
    </row>
    <row r="71" spans="1:15">
      <c r="B71" s="73" t="s">
        <v>1606</v>
      </c>
    </row>
  </sheetData>
  <mergeCells count="4">
    <mergeCell ref="A1:O1"/>
    <mergeCell ref="A2:O2"/>
    <mergeCell ref="A3:O3"/>
    <mergeCell ref="A4:O4"/>
  </mergeCells>
  <phoneticPr fontId="21" type="noConversion"/>
  <printOptions horizontalCentered="1"/>
  <pageMargins left="0.17" right="0.17" top="0.66" bottom="0.17" header="0.5" footer="0.44"/>
  <pageSetup scale="47" orientation="landscape" r:id="rId1"/>
  <headerFooter alignWithMargins="0">
    <oddFooter>&amp;RSchedule &amp;A
Page &amp;P of 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15">
    <pageSetUpPr fitToPage="1"/>
  </sheetPr>
  <dimension ref="A1:C23"/>
  <sheetViews>
    <sheetView view="pageBreakPreview" zoomScale="80" zoomScaleNormal="100" zoomScaleSheetLayoutView="80" workbookViewId="0">
      <selection sqref="A1:C1"/>
    </sheetView>
  </sheetViews>
  <sheetFormatPr defaultRowHeight="15"/>
  <cols>
    <col min="2" max="2" width="8.109375" customWidth="1"/>
    <col min="3" max="3" width="68.44140625" bestFit="1" customWidth="1"/>
  </cols>
  <sheetData>
    <row r="1" spans="1:3">
      <c r="A1" s="1255" t="str">
        <f>'Table of Contents'!A1:C1</f>
        <v>Atmos Energy Corporation, Kentucky/Mid-States Division</v>
      </c>
      <c r="B1" s="1255"/>
      <c r="C1" s="1255"/>
    </row>
    <row r="2" spans="1:3">
      <c r="A2" s="1255" t="str">
        <f>'Table of Contents'!A2:C2</f>
        <v>Kentucky Jurisdiction Case No. 2021-00214</v>
      </c>
      <c r="B2" s="1255"/>
      <c r="C2" s="1255"/>
    </row>
    <row r="3" spans="1:3">
      <c r="A3" s="1255" t="str">
        <f>'Table of Contents'!A3:C3</f>
        <v>Base Period: Twelve Months Ended September 30, 2021</v>
      </c>
      <c r="B3" s="1255"/>
      <c r="C3" s="1255"/>
    </row>
    <row r="4" spans="1:3">
      <c r="A4" s="1255" t="str">
        <f>'Table of Contents'!A4:C4</f>
        <v>Forecasted Test Period: Twelve Months Ended December 31, 2022</v>
      </c>
      <c r="B4" s="1255"/>
      <c r="C4" s="1255"/>
    </row>
    <row r="13" spans="1:3">
      <c r="A13" s="1251" t="s">
        <v>1375</v>
      </c>
      <c r="B13" s="1251"/>
      <c r="C13" s="1251"/>
    </row>
    <row r="15" spans="1:3">
      <c r="A15" s="1251" t="s">
        <v>58</v>
      </c>
      <c r="B15" s="1251"/>
      <c r="C15" s="1251"/>
    </row>
    <row r="18" spans="1:3">
      <c r="A18" s="52" t="s">
        <v>57</v>
      </c>
      <c r="B18" s="52" t="s">
        <v>609</v>
      </c>
      <c r="C18" s="52" t="s">
        <v>972</v>
      </c>
    </row>
    <row r="20" spans="1:3">
      <c r="A20" t="s">
        <v>1049</v>
      </c>
      <c r="B20" s="47">
        <v>4</v>
      </c>
      <c r="C20" t="s">
        <v>1061</v>
      </c>
    </row>
    <row r="21" spans="1:3">
      <c r="A21" t="s">
        <v>466</v>
      </c>
      <c r="B21" s="47">
        <v>1</v>
      </c>
      <c r="C21" t="s">
        <v>427</v>
      </c>
    </row>
    <row r="22" spans="1:3">
      <c r="A22" t="s">
        <v>1073</v>
      </c>
      <c r="B22" s="47">
        <v>1</v>
      </c>
      <c r="C22" t="s">
        <v>427</v>
      </c>
    </row>
    <row r="23" spans="1:3">
      <c r="A23" t="s">
        <v>1075</v>
      </c>
      <c r="B23" s="47">
        <v>1</v>
      </c>
      <c r="C23" t="s">
        <v>427</v>
      </c>
    </row>
  </sheetData>
  <mergeCells count="6">
    <mergeCell ref="A4:C4"/>
    <mergeCell ref="A13:C13"/>
    <mergeCell ref="A15:C15"/>
    <mergeCell ref="A1:C1"/>
    <mergeCell ref="A2:C2"/>
    <mergeCell ref="A3:C3"/>
  </mergeCells>
  <phoneticPr fontId="21" type="noConversion"/>
  <pageMargins left="0.87" right="0.69" top="1" bottom="1" header="0.5" footer="0.5"/>
  <pageSetup scale="86" orientation="portrait" r:id="rId1"/>
  <headerFooter alignWithMargins="0"/>
  <colBreaks count="1" manualBreakCount="1">
    <brk id="3" max="1048575" man="1"/>
  </col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32">
    <pageSetUpPr fitToPage="1"/>
  </sheetPr>
  <dimension ref="A1:U178"/>
  <sheetViews>
    <sheetView view="pageBreakPreview" topLeftCell="A31" zoomScale="80" zoomScaleNormal="100" zoomScaleSheetLayoutView="80" workbookViewId="0">
      <selection sqref="A1:C1"/>
    </sheetView>
  </sheetViews>
  <sheetFormatPr defaultColWidth="7.109375" defaultRowHeight="15.75" customHeight="1"/>
  <cols>
    <col min="1" max="1" width="15.21875" style="56" customWidth="1"/>
    <col min="2" max="2" width="9.109375" style="56" customWidth="1"/>
    <col min="3" max="3" width="43.109375" style="56" customWidth="1"/>
    <col min="4" max="4" width="12.44140625" style="56" customWidth="1"/>
    <col min="5" max="5" width="1.44140625" style="56" customWidth="1"/>
    <col min="6" max="6" width="13.33203125" style="56" customWidth="1"/>
    <col min="7" max="7" width="1.44140625" style="56" customWidth="1"/>
    <col min="8" max="8" width="12.5546875" style="56" customWidth="1"/>
    <col min="9" max="9" width="1.44140625" style="56" customWidth="1"/>
    <col min="10" max="10" width="16" style="56" customWidth="1"/>
    <col min="11" max="11" width="1.44140625" style="56" customWidth="1"/>
    <col min="12" max="12" width="10" style="56" customWidth="1"/>
    <col min="13" max="13" width="1.44140625" style="56" customWidth="1"/>
    <col min="14" max="14" width="12" style="56" customWidth="1"/>
    <col min="15" max="15" width="1.44140625" style="56" customWidth="1"/>
    <col min="16" max="16" width="13.5546875" style="56" customWidth="1"/>
    <col min="17" max="17" width="6.6640625" style="56" customWidth="1"/>
    <col min="18" max="18" width="7.44140625" style="56" customWidth="1"/>
    <col min="19" max="19" width="9.5546875" style="56" customWidth="1"/>
    <col min="20" max="20" width="6.109375" style="56" customWidth="1"/>
    <col min="21" max="21" width="5.33203125" style="56" customWidth="1"/>
    <col min="22" max="22" width="7.44140625" style="56" customWidth="1"/>
    <col min="23" max="16384" width="7.109375" style="56"/>
  </cols>
  <sheetData>
    <row r="1" spans="1:16" ht="15.75" customHeight="1">
      <c r="A1" s="1140" t="str">
        <f>'Table of Contents'!A1:C1</f>
        <v>Atmos Energy Corporation, Kentucky/Mid-States Division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ht="15.75" customHeight="1">
      <c r="A2" s="1140" t="str">
        <f>'Table of Contents'!A2:C2</f>
        <v>Kentucky Jurisdiction Case No. 2021-00214</v>
      </c>
      <c r="B2" s="174"/>
      <c r="C2" s="174"/>
      <c r="D2" s="866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6" ht="15.75" customHeight="1">
      <c r="A3" s="59" t="s">
        <v>52</v>
      </c>
      <c r="B3" s="174"/>
      <c r="C3" s="174"/>
      <c r="D3" s="867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ht="15.75" customHeight="1">
      <c r="A4" s="59" t="s">
        <v>843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ht="15.75" customHeight="1">
      <c r="A5" s="59" t="str">
        <f>Allocation!A4</f>
        <v>Forecasted Test Period: Twelve Months Ended December 31, 2022</v>
      </c>
      <c r="B5" s="174"/>
      <c r="C5" s="174"/>
      <c r="D5" s="59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</row>
    <row r="6" spans="1:16" ht="15.75" customHeight="1">
      <c r="A6" s="59"/>
      <c r="B6" s="174"/>
      <c r="C6" s="174"/>
      <c r="D6" s="59"/>
      <c r="E6" s="174"/>
      <c r="F6" s="174"/>
      <c r="G6" s="174"/>
      <c r="H6" s="174"/>
      <c r="I6" s="174"/>
      <c r="J6" s="174"/>
      <c r="K6" s="174"/>
      <c r="M6" s="174"/>
      <c r="N6" s="86"/>
      <c r="O6" s="174"/>
      <c r="P6" s="86"/>
    </row>
    <row r="7" spans="1:16" ht="15.75" customHeight="1">
      <c r="A7" s="60" t="s">
        <v>675</v>
      </c>
      <c r="N7" s="396"/>
      <c r="P7" s="868" t="s">
        <v>1376</v>
      </c>
    </row>
    <row r="8" spans="1:16" ht="15.75" customHeight="1">
      <c r="A8" s="60" t="s">
        <v>1032</v>
      </c>
      <c r="P8" s="563" t="s">
        <v>672</v>
      </c>
    </row>
    <row r="9" spans="1:16" ht="15.75" customHeight="1">
      <c r="A9" s="211" t="s">
        <v>363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564"/>
      <c r="M9" s="212"/>
      <c r="N9" s="212"/>
      <c r="O9" s="212"/>
      <c r="P9" s="869" t="s">
        <v>1621</v>
      </c>
    </row>
    <row r="10" spans="1:16" ht="15.75" customHeight="1">
      <c r="H10" s="213" t="s">
        <v>217</v>
      </c>
    </row>
    <row r="11" spans="1:16" ht="15.75" customHeight="1">
      <c r="A11" s="213" t="s">
        <v>92</v>
      </c>
      <c r="B11" s="247" t="s">
        <v>1259</v>
      </c>
      <c r="D11" s="213" t="s">
        <v>43</v>
      </c>
      <c r="F11" s="870" t="s">
        <v>466</v>
      </c>
      <c r="G11" s="871"/>
      <c r="H11" s="870" t="s">
        <v>466</v>
      </c>
      <c r="I11" s="872"/>
      <c r="J11" s="870" t="s">
        <v>466</v>
      </c>
      <c r="K11" s="871"/>
      <c r="L11" s="873" t="s">
        <v>1073</v>
      </c>
      <c r="M11" s="874"/>
      <c r="N11" s="873" t="s">
        <v>1073</v>
      </c>
      <c r="O11" s="871"/>
      <c r="P11" s="870" t="s">
        <v>95</v>
      </c>
    </row>
    <row r="12" spans="1:16" ht="15.75" customHeight="1">
      <c r="A12" s="875" t="s">
        <v>98</v>
      </c>
      <c r="B12" s="248" t="s">
        <v>218</v>
      </c>
      <c r="C12" s="212"/>
      <c r="D12" s="875" t="s">
        <v>533</v>
      </c>
      <c r="E12" s="212"/>
      <c r="F12" s="875" t="s">
        <v>601</v>
      </c>
      <c r="G12" s="211" t="s">
        <v>321</v>
      </c>
      <c r="H12" s="875" t="s">
        <v>460</v>
      </c>
      <c r="I12" s="211" t="s">
        <v>321</v>
      </c>
      <c r="J12" s="875" t="s">
        <v>461</v>
      </c>
      <c r="K12" s="211" t="s">
        <v>321</v>
      </c>
      <c r="L12" s="794" t="s">
        <v>462</v>
      </c>
      <c r="M12" s="790" t="s">
        <v>321</v>
      </c>
      <c r="N12" s="794" t="s">
        <v>463</v>
      </c>
      <c r="O12" s="212"/>
      <c r="P12" s="875" t="s">
        <v>467</v>
      </c>
    </row>
    <row r="14" spans="1:16" ht="15.75" customHeight="1">
      <c r="B14" s="60" t="s">
        <v>1095</v>
      </c>
    </row>
    <row r="15" spans="1:16" ht="15.75" customHeight="1">
      <c r="A15" s="213" t="s">
        <v>364</v>
      </c>
      <c r="B15" s="60" t="s">
        <v>1002</v>
      </c>
      <c r="D15" s="78">
        <f>'C.2.1 B'!D15</f>
        <v>93481690.702966988</v>
      </c>
      <c r="E15" s="88"/>
      <c r="F15" s="78">
        <f>'D.2.1'!D15</f>
        <v>6714821.2466921359</v>
      </c>
      <c r="G15" s="78"/>
      <c r="H15" s="78"/>
      <c r="I15" s="78"/>
      <c r="J15" s="78"/>
      <c r="K15" s="78"/>
      <c r="L15" s="78"/>
      <c r="M15" s="78"/>
      <c r="N15" s="78"/>
      <c r="O15" s="78"/>
      <c r="P15" s="78">
        <f>SUM(F15:O15)</f>
        <v>6714821.2466921359</v>
      </c>
    </row>
    <row r="16" spans="1:16" ht="15.75" customHeight="1">
      <c r="A16" s="213">
        <f>A15+1</f>
        <v>2</v>
      </c>
      <c r="B16" s="60" t="s">
        <v>1003</v>
      </c>
      <c r="D16" s="78">
        <f>'C.2.1 B'!D17</f>
        <v>40468226.853622571</v>
      </c>
      <c r="E16" s="88"/>
      <c r="F16" s="78">
        <f>'D.2.1'!D20</f>
        <v>2055319.9652753174</v>
      </c>
      <c r="G16" s="78"/>
      <c r="H16" s="78"/>
      <c r="I16" s="78"/>
      <c r="J16" s="78"/>
      <c r="K16" s="78"/>
      <c r="L16" s="78"/>
      <c r="M16" s="78"/>
      <c r="N16" s="78"/>
      <c r="O16" s="78"/>
      <c r="P16" s="78">
        <f>SUM(F16:O16)</f>
        <v>2055319.9652753174</v>
      </c>
    </row>
    <row r="17" spans="1:16" ht="15.75" customHeight="1">
      <c r="A17" s="213">
        <f t="shared" ref="A17:A42" si="0">A16+1</f>
        <v>3</v>
      </c>
      <c r="B17" s="60" t="s">
        <v>1004</v>
      </c>
      <c r="D17" s="78">
        <f>'C.2.1 B'!D18</f>
        <v>4548662.3270437289</v>
      </c>
      <c r="E17" s="88"/>
      <c r="F17" s="78">
        <f>'D.2.1'!D25</f>
        <v>392862.60456251353</v>
      </c>
      <c r="G17" s="78"/>
      <c r="H17" s="78"/>
      <c r="I17" s="78"/>
      <c r="J17" s="78"/>
      <c r="K17" s="78"/>
      <c r="L17" s="78"/>
      <c r="M17" s="78"/>
      <c r="N17" s="78"/>
      <c r="O17" s="78"/>
      <c r="P17" s="78">
        <f>SUM(F17:O17)</f>
        <v>392862.60456251353</v>
      </c>
    </row>
    <row r="18" spans="1:16" ht="15.75" customHeight="1">
      <c r="A18" s="213">
        <f t="shared" si="0"/>
        <v>4</v>
      </c>
      <c r="B18" s="60" t="s">
        <v>1005</v>
      </c>
      <c r="D18" s="78">
        <f>'C.2.1 B'!D21</f>
        <v>5882491.037973485</v>
      </c>
      <c r="E18" s="88"/>
      <c r="F18" s="78">
        <f>'D.2.1'!D30</f>
        <v>530361.02205653396</v>
      </c>
      <c r="G18" s="78"/>
      <c r="H18" s="78"/>
      <c r="I18" s="78"/>
      <c r="J18" s="78"/>
      <c r="K18" s="78"/>
      <c r="L18" s="78"/>
      <c r="M18" s="78"/>
      <c r="N18" s="78"/>
      <c r="O18" s="78"/>
      <c r="P18" s="78">
        <f>SUM(F18:O18)</f>
        <v>530361.02205653396</v>
      </c>
    </row>
    <row r="19" spans="1:16" ht="15.75" customHeight="1">
      <c r="A19" s="213">
        <f t="shared" si="0"/>
        <v>5</v>
      </c>
      <c r="B19" s="60"/>
      <c r="D19" s="390"/>
      <c r="E19" s="88"/>
      <c r="F19" s="116"/>
      <c r="G19" s="78"/>
      <c r="H19" s="116"/>
      <c r="I19" s="78"/>
      <c r="J19" s="116"/>
      <c r="K19" s="78"/>
      <c r="L19" s="116"/>
      <c r="M19" s="78"/>
      <c r="N19" s="116"/>
      <c r="O19" s="78"/>
      <c r="P19" s="116"/>
    </row>
    <row r="20" spans="1:16" ht="15.75" customHeight="1">
      <c r="A20" s="213">
        <f t="shared" si="0"/>
        <v>6</v>
      </c>
      <c r="D20" s="78"/>
      <c r="E20" s="8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1:16" ht="15.75" customHeight="1">
      <c r="A21" s="213">
        <f t="shared" si="0"/>
        <v>7</v>
      </c>
      <c r="B21" s="60" t="s">
        <v>575</v>
      </c>
      <c r="D21" s="78">
        <f>SUM(D15:D19)</f>
        <v>144381070.92160678</v>
      </c>
      <c r="E21" s="88"/>
      <c r="F21" s="78">
        <f>SUM(F15:F19)</f>
        <v>9693364.8385865018</v>
      </c>
      <c r="G21" s="78"/>
      <c r="H21" s="78">
        <f>SUM(H15:H19)</f>
        <v>0</v>
      </c>
      <c r="I21" s="78"/>
      <c r="J21" s="78">
        <f>SUM(J15:J19)</f>
        <v>0</v>
      </c>
      <c r="K21" s="78"/>
      <c r="L21" s="78">
        <f>SUM(L15:L19)</f>
        <v>0</v>
      </c>
      <c r="M21" s="78"/>
      <c r="N21" s="78">
        <f>SUM(N15:N19)</f>
        <v>0</v>
      </c>
      <c r="O21" s="78"/>
      <c r="P21" s="78">
        <f>SUM(F21:O21)</f>
        <v>9693364.8385865018</v>
      </c>
    </row>
    <row r="22" spans="1:16" ht="15.75" customHeight="1">
      <c r="A22" s="213">
        <f t="shared" si="0"/>
        <v>8</v>
      </c>
      <c r="D22" s="78"/>
      <c r="E22" s="8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1:16" ht="15.75" customHeight="1">
      <c r="A23" s="213">
        <f t="shared" si="0"/>
        <v>9</v>
      </c>
      <c r="B23" s="60" t="s">
        <v>431</v>
      </c>
      <c r="D23" s="78"/>
      <c r="E23" s="8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1:16" ht="15.75" customHeight="1">
      <c r="A24" s="213">
        <f t="shared" si="0"/>
        <v>10</v>
      </c>
      <c r="B24" s="60" t="s">
        <v>229</v>
      </c>
      <c r="D24" s="78">
        <f>'C.2.1 B'!D26</f>
        <v>490350.28302817419</v>
      </c>
      <c r="E24" s="88"/>
      <c r="F24" s="78"/>
      <c r="G24" s="78"/>
      <c r="H24" s="78">
        <f>'D.2.1'!D40</f>
        <v>809929.7881678897</v>
      </c>
      <c r="I24" s="78"/>
      <c r="J24" s="78"/>
      <c r="K24" s="78"/>
      <c r="L24" s="78"/>
      <c r="M24" s="78"/>
      <c r="N24" s="78"/>
      <c r="O24" s="78"/>
      <c r="P24" s="78">
        <f>SUM(F24:O24)</f>
        <v>809929.7881678897</v>
      </c>
    </row>
    <row r="25" spans="1:16" ht="15.75" customHeight="1">
      <c r="A25" s="213">
        <f t="shared" si="0"/>
        <v>11</v>
      </c>
      <c r="B25" s="60" t="s">
        <v>561</v>
      </c>
      <c r="D25" s="78">
        <f>'C.2.1 B'!D27</f>
        <v>234281</v>
      </c>
      <c r="E25" s="88"/>
      <c r="F25" s="78"/>
      <c r="G25" s="78"/>
      <c r="H25" s="78">
        <f>'D.2.1'!D45</f>
        <v>5</v>
      </c>
      <c r="I25" s="78"/>
      <c r="J25" s="78"/>
      <c r="K25" s="78"/>
      <c r="L25" s="78"/>
      <c r="M25" s="78"/>
      <c r="N25" s="78"/>
      <c r="O25" s="78"/>
      <c r="P25" s="78">
        <f>SUM(F25:O25)</f>
        <v>5</v>
      </c>
    </row>
    <row r="26" spans="1:16" ht="15.75" customHeight="1">
      <c r="A26" s="213">
        <f t="shared" si="0"/>
        <v>12</v>
      </c>
      <c r="B26" s="60" t="s">
        <v>1202</v>
      </c>
      <c r="D26" s="78">
        <f>'C.2.1 B'!D28</f>
        <v>16646735.096687652</v>
      </c>
      <c r="E26" s="88"/>
      <c r="F26" s="78"/>
      <c r="G26" s="78"/>
      <c r="H26" s="78">
        <f>'D.2.1'!D50</f>
        <v>-1502225.6304475162</v>
      </c>
      <c r="I26" s="78"/>
      <c r="J26" s="78"/>
      <c r="K26" s="78"/>
      <c r="L26" s="78"/>
      <c r="M26" s="78"/>
      <c r="N26" s="78"/>
      <c r="O26" s="78"/>
      <c r="P26" s="78">
        <f>SUM(F26:O26)</f>
        <v>-1502225.6304475162</v>
      </c>
    </row>
    <row r="27" spans="1:16" ht="15.75" customHeight="1">
      <c r="A27" s="213">
        <f t="shared" si="0"/>
        <v>13</v>
      </c>
      <c r="B27" s="60" t="s">
        <v>221</v>
      </c>
      <c r="D27" s="390">
        <f>'C.2.1 B'!D29</f>
        <v>1222878.1555915009</v>
      </c>
      <c r="E27" s="88"/>
      <c r="F27" s="116"/>
      <c r="G27" s="78"/>
      <c r="H27" s="116">
        <f>'D.2.1'!D55</f>
        <v>1490533.4964484987</v>
      </c>
      <c r="I27" s="78"/>
      <c r="J27" s="116"/>
      <c r="K27" s="78"/>
      <c r="L27" s="116"/>
      <c r="M27" s="78"/>
      <c r="N27" s="116"/>
      <c r="O27" s="78"/>
      <c r="P27" s="116">
        <f>SUM(F27:O27)</f>
        <v>1490533.4964484987</v>
      </c>
    </row>
    <row r="28" spans="1:16" ht="15.75" customHeight="1">
      <c r="A28" s="213">
        <f t="shared" si="0"/>
        <v>14</v>
      </c>
      <c r="D28" s="78"/>
      <c r="E28" s="8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1:16" ht="15.75" customHeight="1">
      <c r="A29" s="213">
        <f t="shared" si="0"/>
        <v>15</v>
      </c>
      <c r="B29" s="60" t="s">
        <v>1137</v>
      </c>
      <c r="D29" s="116">
        <f>SUM(D24:D27)</f>
        <v>18594244.535307325</v>
      </c>
      <c r="E29" s="88"/>
      <c r="F29" s="116">
        <f>SUM(F25:F27)</f>
        <v>0</v>
      </c>
      <c r="G29" s="78"/>
      <c r="H29" s="116">
        <f>SUM(H24:H27)</f>
        <v>798242.65416887216</v>
      </c>
      <c r="I29" s="78"/>
      <c r="J29" s="116">
        <f>SUM(J25:J27)</f>
        <v>0</v>
      </c>
      <c r="K29" s="88"/>
      <c r="L29" s="116">
        <f>SUM(L25:L27)</f>
        <v>0</v>
      </c>
      <c r="M29" s="78"/>
      <c r="N29" s="116">
        <f>SUM(N25:N27)</f>
        <v>0</v>
      </c>
      <c r="O29" s="78"/>
      <c r="P29" s="116">
        <f>SUM(F29:O29)</f>
        <v>798242.65416887216</v>
      </c>
    </row>
    <row r="30" spans="1:16" ht="15.75" customHeight="1">
      <c r="A30" s="213">
        <f t="shared" si="0"/>
        <v>16</v>
      </c>
      <c r="D30" s="78"/>
      <c r="E30" s="88"/>
      <c r="F30" s="78"/>
      <c r="G30" s="78"/>
      <c r="H30" s="78"/>
      <c r="I30" s="78"/>
      <c r="J30" s="78"/>
      <c r="K30" s="88"/>
      <c r="L30" s="78"/>
      <c r="M30" s="78"/>
      <c r="N30" s="78"/>
      <c r="O30" s="78"/>
      <c r="P30" s="78"/>
    </row>
    <row r="31" spans="1:16" ht="15.75" customHeight="1">
      <c r="A31" s="213">
        <f t="shared" si="0"/>
        <v>17</v>
      </c>
      <c r="B31" s="60" t="s">
        <v>481</v>
      </c>
      <c r="D31" s="256">
        <f>D21+D29</f>
        <v>162975315.4569141</v>
      </c>
      <c r="E31" s="88"/>
      <c r="F31" s="256">
        <f>F21+F29</f>
        <v>9693364.8385865018</v>
      </c>
      <c r="G31" s="78"/>
      <c r="H31" s="256">
        <f>H21+H29</f>
        <v>798242.65416887216</v>
      </c>
      <c r="I31" s="78"/>
      <c r="J31" s="256">
        <f>J21+J29</f>
        <v>0</v>
      </c>
      <c r="K31" s="88"/>
      <c r="L31" s="256">
        <f>L21+L29</f>
        <v>0</v>
      </c>
      <c r="M31" s="78"/>
      <c r="N31" s="256">
        <f>N21+N29</f>
        <v>0</v>
      </c>
      <c r="O31" s="78"/>
      <c r="P31" s="256">
        <f>SUM(F31:O31)</f>
        <v>10491607.492755374</v>
      </c>
    </row>
    <row r="32" spans="1:16" ht="15.75" customHeight="1">
      <c r="A32" s="213">
        <f t="shared" si="0"/>
        <v>18</v>
      </c>
      <c r="D32" s="78"/>
      <c r="E32" s="8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1:20" ht="15.75" customHeight="1">
      <c r="A33" s="213">
        <f t="shared" si="0"/>
        <v>19</v>
      </c>
      <c r="B33" s="60" t="s">
        <v>830</v>
      </c>
      <c r="D33" s="78"/>
      <c r="E33" s="8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1:20" ht="15.75" customHeight="1">
      <c r="A34" s="213">
        <f t="shared" si="0"/>
        <v>20</v>
      </c>
      <c r="B34" s="60" t="s">
        <v>222</v>
      </c>
      <c r="D34" s="116">
        <f>'C.2.1 B'!D105</f>
        <v>70283865.695086718</v>
      </c>
      <c r="E34" s="88"/>
      <c r="F34" s="116"/>
      <c r="G34" s="78"/>
      <c r="H34" s="116"/>
      <c r="I34" s="78"/>
      <c r="J34" s="116">
        <f>'D.2.1'!D60</f>
        <v>7589790.6413868517</v>
      </c>
      <c r="K34" s="78"/>
      <c r="L34" s="116"/>
      <c r="M34" s="78"/>
      <c r="N34" s="116"/>
      <c r="O34" s="78"/>
      <c r="P34" s="116">
        <f>SUM(F34:O34)</f>
        <v>7589790.6413868517</v>
      </c>
    </row>
    <row r="35" spans="1:20" ht="15.75" customHeight="1">
      <c r="A35" s="213">
        <f t="shared" si="0"/>
        <v>21</v>
      </c>
      <c r="D35" s="78"/>
      <c r="E35" s="8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1:20" ht="15.75" customHeight="1">
      <c r="A36" s="213">
        <f t="shared" si="0"/>
        <v>22</v>
      </c>
      <c r="B36" s="60" t="s">
        <v>831</v>
      </c>
      <c r="D36" s="116">
        <f>SUM(D34:D34)</f>
        <v>70283865.695086718</v>
      </c>
      <c r="E36" s="88"/>
      <c r="F36" s="116">
        <f>SUM(F34:F34)</f>
        <v>0</v>
      </c>
      <c r="G36" s="78"/>
      <c r="H36" s="116">
        <f>SUM(H34:H34)</f>
        <v>0</v>
      </c>
      <c r="I36" s="78"/>
      <c r="J36" s="116">
        <f>SUM(J34:J34)</f>
        <v>7589790.6413868517</v>
      </c>
      <c r="K36" s="78"/>
      <c r="L36" s="116">
        <f>SUM(L34:L34)</f>
        <v>0</v>
      </c>
      <c r="M36" s="88"/>
      <c r="N36" s="116">
        <f>SUM(N34:N34)</f>
        <v>0</v>
      </c>
      <c r="O36" s="78"/>
      <c r="P36" s="116">
        <f>SUM(F36:O36)</f>
        <v>7589790.6413868517</v>
      </c>
    </row>
    <row r="37" spans="1:20" ht="15.75" customHeight="1">
      <c r="A37" s="213">
        <f t="shared" si="0"/>
        <v>23</v>
      </c>
      <c r="D37" s="78"/>
      <c r="E37" s="8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1:20" ht="15.75" customHeight="1">
      <c r="A38" s="213">
        <f t="shared" si="0"/>
        <v>24</v>
      </c>
      <c r="B38" s="60" t="s">
        <v>482</v>
      </c>
      <c r="D38" s="256">
        <f>D31-D36</f>
        <v>92691449.761827379</v>
      </c>
      <c r="E38" s="88"/>
      <c r="F38" s="256">
        <f>F31-F36</f>
        <v>9693364.8385865018</v>
      </c>
      <c r="G38" s="78"/>
      <c r="H38" s="256">
        <f>H31-H36</f>
        <v>798242.65416887216</v>
      </c>
      <c r="I38" s="78"/>
      <c r="J38" s="256">
        <f>J31-J36</f>
        <v>-7589790.6413868517</v>
      </c>
      <c r="K38" s="78"/>
      <c r="L38" s="256">
        <f>L31-L36</f>
        <v>0</v>
      </c>
      <c r="M38" s="88"/>
      <c r="N38" s="256">
        <f>N31-N36</f>
        <v>0</v>
      </c>
      <c r="O38" s="78"/>
      <c r="P38" s="256">
        <f>SUM(F38:O38)</f>
        <v>2901816.8513685223</v>
      </c>
    </row>
    <row r="39" spans="1:20" ht="15.75" customHeight="1">
      <c r="A39" s="213">
        <f t="shared" si="0"/>
        <v>25</v>
      </c>
      <c r="D39" s="78"/>
      <c r="E39" s="8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1:20" ht="15.75" customHeight="1">
      <c r="A40" s="213">
        <f t="shared" si="0"/>
        <v>26</v>
      </c>
      <c r="B40" s="60" t="s">
        <v>223</v>
      </c>
      <c r="D40" s="816">
        <f>Allocation!E25</f>
        <v>0.2495</v>
      </c>
      <c r="E40" s="88"/>
      <c r="F40" s="256">
        <f>F38*$D$40</f>
        <v>2418494.5272273323</v>
      </c>
      <c r="G40" s="78"/>
      <c r="H40" s="256">
        <f>H38*$D$40</f>
        <v>199161.54221513361</v>
      </c>
      <c r="I40" s="78"/>
      <c r="J40" s="256">
        <f>J38*$D$40</f>
        <v>-1893652.7650260194</v>
      </c>
      <c r="K40" s="78"/>
      <c r="L40" s="256">
        <f>L38*$D$40</f>
        <v>0</v>
      </c>
      <c r="M40" s="78"/>
      <c r="N40" s="256">
        <f>N38*$D$40</f>
        <v>0</v>
      </c>
      <c r="O40" s="78"/>
      <c r="P40" s="256">
        <f>P38*$D$40</f>
        <v>724003.30441644625</v>
      </c>
    </row>
    <row r="41" spans="1:20" ht="15.75" customHeight="1">
      <c r="A41" s="213">
        <f t="shared" si="0"/>
        <v>27</v>
      </c>
      <c r="D41" s="816"/>
      <c r="E41" s="8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1:20" ht="15.75" customHeight="1">
      <c r="A42" s="213">
        <f t="shared" si="0"/>
        <v>28</v>
      </c>
      <c r="B42" s="60" t="s">
        <v>832</v>
      </c>
      <c r="D42" s="78"/>
      <c r="E42" s="88"/>
      <c r="F42" s="256">
        <f>F38-F40</f>
        <v>7274870.311359169</v>
      </c>
      <c r="G42" s="78"/>
      <c r="H42" s="256">
        <f>H38-H40</f>
        <v>599081.11195373861</v>
      </c>
      <c r="I42" s="78"/>
      <c r="J42" s="256">
        <f>J38-J40</f>
        <v>-5696137.8763608318</v>
      </c>
      <c r="K42" s="78"/>
      <c r="L42" s="256">
        <f>L38-L40</f>
        <v>0</v>
      </c>
      <c r="M42" s="78"/>
      <c r="N42" s="256">
        <f>N38-N40</f>
        <v>0</v>
      </c>
      <c r="O42" s="78"/>
      <c r="P42" s="256">
        <f>P38-P40</f>
        <v>2177813.5469520763</v>
      </c>
    </row>
    <row r="43" spans="1:20" ht="15.75" customHeight="1">
      <c r="A43" s="213"/>
      <c r="B43" s="60"/>
      <c r="D43" s="78"/>
      <c r="E43" s="88"/>
      <c r="F43" s="256"/>
      <c r="G43" s="78"/>
      <c r="H43" s="256"/>
      <c r="I43" s="78"/>
      <c r="J43" s="256"/>
      <c r="K43" s="78"/>
      <c r="L43" s="256"/>
      <c r="M43" s="78"/>
      <c r="N43" s="256"/>
      <c r="O43" s="78"/>
      <c r="P43" s="256"/>
    </row>
    <row r="44" spans="1:20" ht="15.75" customHeight="1">
      <c r="D44" s="88"/>
      <c r="E44" s="88"/>
      <c r="F44" s="88"/>
      <c r="G44" s="88"/>
      <c r="H44" s="688" t="s">
        <v>217</v>
      </c>
      <c r="I44" s="88"/>
      <c r="J44" s="88"/>
      <c r="K44" s="88"/>
      <c r="L44" s="88"/>
      <c r="M44" s="88"/>
      <c r="N44" s="88"/>
      <c r="O44" s="88"/>
      <c r="P44" s="688" t="s">
        <v>1074</v>
      </c>
    </row>
    <row r="45" spans="1:20" ht="15.75" customHeight="1">
      <c r="A45" s="213" t="s">
        <v>92</v>
      </c>
      <c r="B45" s="247" t="s">
        <v>1108</v>
      </c>
      <c r="D45" s="688" t="s">
        <v>43</v>
      </c>
      <c r="E45" s="88"/>
      <c r="F45" s="873" t="s">
        <v>1073</v>
      </c>
      <c r="G45" s="876"/>
      <c r="H45" s="873" t="s">
        <v>1073</v>
      </c>
      <c r="I45" s="874"/>
      <c r="J45" s="873" t="s">
        <v>1073</v>
      </c>
      <c r="K45" s="874"/>
      <c r="L45" s="873" t="s">
        <v>1073</v>
      </c>
      <c r="M45" s="874"/>
      <c r="N45" s="873" t="s">
        <v>1073</v>
      </c>
      <c r="O45" s="874"/>
      <c r="P45" s="688" t="s">
        <v>95</v>
      </c>
    </row>
    <row r="46" spans="1:20" ht="15.75" customHeight="1">
      <c r="A46" s="875" t="s">
        <v>98</v>
      </c>
      <c r="B46" s="248" t="s">
        <v>218</v>
      </c>
      <c r="C46" s="212"/>
      <c r="D46" s="794" t="s">
        <v>533</v>
      </c>
      <c r="E46" s="519"/>
      <c r="F46" s="794" t="s">
        <v>601</v>
      </c>
      <c r="G46" s="790" t="s">
        <v>321</v>
      </c>
      <c r="H46" s="794" t="s">
        <v>460</v>
      </c>
      <c r="I46" s="790" t="s">
        <v>321</v>
      </c>
      <c r="J46" s="794" t="s">
        <v>461</v>
      </c>
      <c r="K46" s="790" t="s">
        <v>321</v>
      </c>
      <c r="L46" s="794" t="s">
        <v>462</v>
      </c>
      <c r="M46" s="790" t="s">
        <v>321</v>
      </c>
      <c r="N46" s="794" t="s">
        <v>463</v>
      </c>
      <c r="O46" s="790" t="s">
        <v>321</v>
      </c>
      <c r="P46" s="794" t="s">
        <v>467</v>
      </c>
    </row>
    <row r="47" spans="1:20" ht="15.75" customHeight="1"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1:20" ht="15.75" customHeight="1">
      <c r="A48" s="213">
        <f>A42+1</f>
        <v>29</v>
      </c>
      <c r="B48" s="877">
        <v>7590</v>
      </c>
      <c r="C48" s="56" t="s">
        <v>109</v>
      </c>
      <c r="D48" s="305">
        <f>'C.2.1 B'!D38</f>
        <v>0</v>
      </c>
      <c r="E48" s="305"/>
      <c r="F48" s="305">
        <f>SUMIF('[13]Div 9 forecast'!$C$10:$C$534,$B48, '[13]Div 9 forecast'!$AL$10:$AL$534)</f>
        <v>0</v>
      </c>
      <c r="G48" s="339"/>
      <c r="H48" s="305">
        <f>SUMIF('[13]Div 9 forecast'!$C$10:$C$534,$B48, '[13]Div 9 forecast'!$AM$10:$AM$534)</f>
        <v>0</v>
      </c>
      <c r="I48" s="305"/>
      <c r="J48" s="305">
        <f>SUMIF('[13]Div 9 forecast'!$C$10:$C$534,$B48, '[13]Div 9 forecast'!$AN$10:$AN$534)</f>
        <v>0</v>
      </c>
      <c r="K48" s="305"/>
      <c r="L48" s="305">
        <v>0</v>
      </c>
      <c r="M48" s="305"/>
      <c r="N48" s="305">
        <v>0</v>
      </c>
      <c r="O48" s="385"/>
      <c r="P48" s="305">
        <f t="shared" ref="P48:P93" si="1">SUM(F48:O48)</f>
        <v>0</v>
      </c>
      <c r="T48" s="877"/>
    </row>
    <row r="49" spans="1:21" ht="15.75" customHeight="1">
      <c r="A49" s="213">
        <f t="shared" ref="A49:A93" si="2">A48+1</f>
        <v>30</v>
      </c>
      <c r="B49" s="877">
        <v>8140</v>
      </c>
      <c r="C49" s="56" t="s">
        <v>109</v>
      </c>
      <c r="D49" s="305">
        <f>'C.2.1 B'!D45</f>
        <v>652.79921909830921</v>
      </c>
      <c r="E49" s="305"/>
      <c r="F49" s="305">
        <f>SUMIF('[13]Div 9 forecast'!$C$10:$C$534,$B49, '[13]Div 9 forecast'!$AL$10:$AL$534)</f>
        <v>0</v>
      </c>
      <c r="G49" s="339"/>
      <c r="H49" s="305">
        <f>SUMIF('[13]Div 9 forecast'!$C$10:$C$534,$B49, '[13]Div 9 forecast'!$AM$10:$AM$534)</f>
        <v>0</v>
      </c>
      <c r="I49" s="305"/>
      <c r="J49" s="305">
        <f>SUMIF('[13]Div 9 forecast'!$C$10:$C$534,$B49, '[13]Div 9 forecast'!$AN$10:$AN$534)</f>
        <v>0</v>
      </c>
      <c r="K49" s="305"/>
      <c r="L49" s="305">
        <v>0</v>
      </c>
      <c r="M49" s="305"/>
      <c r="N49" s="305"/>
      <c r="O49" s="385"/>
      <c r="P49" s="305">
        <f t="shared" si="1"/>
        <v>0</v>
      </c>
      <c r="T49" s="877"/>
    </row>
    <row r="50" spans="1:21" ht="15.75" customHeight="1">
      <c r="A50" s="213">
        <f t="shared" si="2"/>
        <v>31</v>
      </c>
      <c r="B50" s="877">
        <v>8150</v>
      </c>
      <c r="C50" s="56" t="s">
        <v>230</v>
      </c>
      <c r="D50" s="305">
        <f>'C.2.1 B'!D46</f>
        <v>0</v>
      </c>
      <c r="E50" s="305"/>
      <c r="F50" s="305">
        <f>SUMIF('[13]Div 9 forecast'!$C$10:$C$534,$B50, '[13]Div 9 forecast'!$AL$10:$AL$534)</f>
        <v>0</v>
      </c>
      <c r="G50" s="339"/>
      <c r="H50" s="305">
        <f>SUMIF('[13]Div 9 forecast'!$C$10:$C$534,$B50, '[13]Div 9 forecast'!$AM$10:$AM$534)</f>
        <v>0</v>
      </c>
      <c r="I50" s="305"/>
      <c r="J50" s="305">
        <f>SUMIF('[13]Div 9 forecast'!$C$10:$C$534,$B50, '[13]Div 9 forecast'!$AN$10:$AN$534)</f>
        <v>0</v>
      </c>
      <c r="K50" s="305"/>
      <c r="L50" s="305">
        <v>0</v>
      </c>
      <c r="M50" s="305"/>
      <c r="N50" s="305">
        <v>0</v>
      </c>
      <c r="O50" s="385"/>
      <c r="P50" s="305">
        <f t="shared" si="1"/>
        <v>0</v>
      </c>
      <c r="T50" s="877"/>
    </row>
    <row r="51" spans="1:21" ht="15.75" customHeight="1">
      <c r="A51" s="213">
        <f t="shared" si="2"/>
        <v>32</v>
      </c>
      <c r="B51" s="877">
        <v>8160</v>
      </c>
      <c r="C51" s="56" t="s">
        <v>110</v>
      </c>
      <c r="D51" s="305">
        <f>'C.2.1 B'!D47</f>
        <v>369389.02369628148</v>
      </c>
      <c r="E51" s="305"/>
      <c r="F51" s="305">
        <f>SUMIF('[13]Div 9 forecast'!$C$10:$C$534,$B51, '[13]Div 9 forecast'!$AL$10:$AL$534)</f>
        <v>926.16316555541971</v>
      </c>
      <c r="G51" s="339"/>
      <c r="H51" s="305">
        <f>SUMIF('[13]Div 9 forecast'!$C$10:$C$534,$B51, '[13]Div 9 forecast'!$AM$10:$AM$534)</f>
        <v>0</v>
      </c>
      <c r="I51" s="305"/>
      <c r="J51" s="305">
        <f>SUMIF('[13]Div 9 forecast'!$C$10:$C$534,$B51, '[13]Div 9 forecast'!$AN$10:$AN$534)</f>
        <v>0</v>
      </c>
      <c r="K51" s="305"/>
      <c r="L51" s="305">
        <v>0</v>
      </c>
      <c r="M51" s="305"/>
      <c r="N51" s="305">
        <v>0</v>
      </c>
      <c r="O51" s="305"/>
      <c r="P51" s="305">
        <f t="shared" si="1"/>
        <v>926.16316555541971</v>
      </c>
      <c r="T51" s="877"/>
      <c r="U51" s="877"/>
    </row>
    <row r="52" spans="1:21" ht="15.75" customHeight="1">
      <c r="A52" s="213">
        <f t="shared" si="2"/>
        <v>33</v>
      </c>
      <c r="B52" s="877">
        <v>8170</v>
      </c>
      <c r="C52" s="56" t="s">
        <v>1173</v>
      </c>
      <c r="D52" s="305">
        <f>'C.2.1 B'!D48</f>
        <v>40264.413116811884</v>
      </c>
      <c r="E52" s="305"/>
      <c r="F52" s="305">
        <f>SUMIF('[13]Div 9 forecast'!$C$10:$C$534,$B52, '[13]Div 9 forecast'!$AL$10:$AL$534)</f>
        <v>1000.1732510172212</v>
      </c>
      <c r="G52" s="339"/>
      <c r="H52" s="305">
        <f>SUMIF('[13]Div 9 forecast'!$C$10:$C$534,$B52, '[13]Div 9 forecast'!$AM$10:$AM$534)</f>
        <v>0</v>
      </c>
      <c r="I52" s="305"/>
      <c r="J52" s="305">
        <f>SUMIF('[13]Div 9 forecast'!$C$10:$C$534,$B52, '[13]Div 9 forecast'!$AN$10:$AN$534)</f>
        <v>0</v>
      </c>
      <c r="K52" s="305"/>
      <c r="L52" s="305">
        <v>0</v>
      </c>
      <c r="M52" s="305"/>
      <c r="N52" s="305">
        <v>0</v>
      </c>
      <c r="O52" s="305"/>
      <c r="P52" s="305">
        <f t="shared" si="1"/>
        <v>1000.1732510172212</v>
      </c>
      <c r="T52" s="877"/>
      <c r="U52" s="877"/>
    </row>
    <row r="53" spans="1:21" ht="15.75" customHeight="1">
      <c r="A53" s="213">
        <f t="shared" si="2"/>
        <v>34</v>
      </c>
      <c r="B53" s="877">
        <v>8180</v>
      </c>
      <c r="C53" s="56" t="s">
        <v>1174</v>
      </c>
      <c r="D53" s="305">
        <f>'C.2.1 B'!D49</f>
        <v>50808.891728857488</v>
      </c>
      <c r="E53" s="305"/>
      <c r="F53" s="305">
        <f>SUMIF('[13]Div 9 forecast'!$C$10:$C$534,$B53, '[13]Div 9 forecast'!$AL$10:$AL$534)</f>
        <v>1370.9535766460187</v>
      </c>
      <c r="G53" s="339"/>
      <c r="H53" s="305">
        <f>SUMIF('[13]Div 9 forecast'!$C$10:$C$534,$B53, '[13]Div 9 forecast'!$AM$10:$AM$534)</f>
        <v>0</v>
      </c>
      <c r="I53" s="305"/>
      <c r="J53" s="305">
        <f>SUMIF('[13]Div 9 forecast'!$C$10:$C$534,$B53, '[13]Div 9 forecast'!$AN$10:$AN$534)</f>
        <v>0</v>
      </c>
      <c r="K53" s="305"/>
      <c r="L53" s="305">
        <v>0</v>
      </c>
      <c r="M53" s="305"/>
      <c r="N53" s="305">
        <v>0</v>
      </c>
      <c r="O53" s="305"/>
      <c r="P53" s="305">
        <f t="shared" si="1"/>
        <v>1370.9535766460187</v>
      </c>
      <c r="T53" s="877"/>
      <c r="U53" s="877"/>
    </row>
    <row r="54" spans="1:21" ht="15.75" customHeight="1">
      <c r="A54" s="213">
        <f t="shared" si="2"/>
        <v>35</v>
      </c>
      <c r="B54" s="877">
        <v>8190</v>
      </c>
      <c r="C54" s="56" t="s">
        <v>1025</v>
      </c>
      <c r="D54" s="305">
        <f>'C.2.1 B'!D50</f>
        <v>990.76244810870321</v>
      </c>
      <c r="E54" s="305"/>
      <c r="F54" s="305">
        <f>SUMIF('[13]Div 9 forecast'!$C$10:$C$534,$B54, '[13]Div 9 forecast'!$AL$10:$AL$534)</f>
        <v>0</v>
      </c>
      <c r="G54" s="339"/>
      <c r="H54" s="305">
        <f>SUMIF('[13]Div 9 forecast'!$C$10:$C$534,$B54, '[13]Div 9 forecast'!$AM$10:$AM$534)</f>
        <v>0</v>
      </c>
      <c r="I54" s="305"/>
      <c r="J54" s="305">
        <f>SUMIF('[13]Div 9 forecast'!$C$10:$C$534,$B54, '[13]Div 9 forecast'!$AN$10:$AN$534)</f>
        <v>0</v>
      </c>
      <c r="K54" s="305"/>
      <c r="L54" s="305">
        <v>0</v>
      </c>
      <c r="M54" s="305"/>
      <c r="N54" s="305">
        <v>0</v>
      </c>
      <c r="O54" s="305"/>
      <c r="P54" s="305">
        <f t="shared" si="1"/>
        <v>0</v>
      </c>
      <c r="T54" s="877"/>
      <c r="U54" s="877"/>
    </row>
    <row r="55" spans="1:21" ht="15.75" customHeight="1">
      <c r="A55" s="213">
        <f t="shared" si="2"/>
        <v>36</v>
      </c>
      <c r="B55" s="877">
        <v>8200</v>
      </c>
      <c r="C55" s="56" t="s">
        <v>1026</v>
      </c>
      <c r="D55" s="305">
        <f>'C.2.1 B'!D51</f>
        <v>7882.6273086040865</v>
      </c>
      <c r="E55" s="305"/>
      <c r="F55" s="305">
        <f>SUMIF('[13]Div 9 forecast'!$C$10:$C$534,$B55, '[13]Div 9 forecast'!$AL$10:$AL$534)</f>
        <v>94.73919774584644</v>
      </c>
      <c r="G55" s="339"/>
      <c r="H55" s="305">
        <f>SUMIF('[13]Div 9 forecast'!$C$10:$C$534,$B55, '[13]Div 9 forecast'!$AM$10:$AM$534)</f>
        <v>0</v>
      </c>
      <c r="I55" s="305"/>
      <c r="J55" s="305">
        <f>SUMIF('[13]Div 9 forecast'!$C$10:$C$534,$B55, '[13]Div 9 forecast'!$AN$10:$AN$534)</f>
        <v>0</v>
      </c>
      <c r="K55" s="305"/>
      <c r="L55" s="305">
        <v>0</v>
      </c>
      <c r="M55" s="305"/>
      <c r="N55" s="305">
        <v>0</v>
      </c>
      <c r="O55" s="305"/>
      <c r="P55" s="305">
        <f t="shared" si="1"/>
        <v>94.73919774584644</v>
      </c>
      <c r="T55" s="877"/>
      <c r="U55" s="877"/>
    </row>
    <row r="56" spans="1:21" ht="15.75" customHeight="1">
      <c r="A56" s="213">
        <f t="shared" si="2"/>
        <v>37</v>
      </c>
      <c r="B56" s="877">
        <v>8210</v>
      </c>
      <c r="C56" s="56" t="s">
        <v>1027</v>
      </c>
      <c r="D56" s="305">
        <f>'C.2.1 B'!D52</f>
        <v>38457.93470080541</v>
      </c>
      <c r="E56" s="305"/>
      <c r="F56" s="305">
        <f>SUMIF('[13]Div 9 forecast'!$C$10:$C$534,$B56, '[13]Div 9 forecast'!$AL$10:$AL$534)</f>
        <v>1335.7315712393511</v>
      </c>
      <c r="G56" s="339"/>
      <c r="H56" s="305">
        <f>SUMIF('[13]Div 9 forecast'!$C$10:$C$534,$B56, '[13]Div 9 forecast'!$AM$10:$AM$534)</f>
        <v>0</v>
      </c>
      <c r="I56" s="385"/>
      <c r="J56" s="305">
        <f>SUMIF('[13]Div 9 forecast'!$C$10:$C$534,$B56, '[13]Div 9 forecast'!$AN$10:$AN$534)</f>
        <v>0</v>
      </c>
      <c r="K56" s="305"/>
      <c r="L56" s="305">
        <v>0</v>
      </c>
      <c r="M56" s="305"/>
      <c r="N56" s="305">
        <v>0</v>
      </c>
      <c r="O56" s="305"/>
      <c r="P56" s="305">
        <f t="shared" si="1"/>
        <v>1335.7315712393511</v>
      </c>
      <c r="T56" s="877"/>
      <c r="U56" s="877"/>
    </row>
    <row r="57" spans="1:21" ht="15.75" customHeight="1">
      <c r="A57" s="213">
        <f t="shared" si="2"/>
        <v>38</v>
      </c>
      <c r="B57" s="877">
        <v>8240</v>
      </c>
      <c r="C57" s="56" t="s">
        <v>1028</v>
      </c>
      <c r="D57" s="305">
        <f>'C.2.1 B'!D53</f>
        <v>0</v>
      </c>
      <c r="E57" s="305"/>
      <c r="F57" s="305">
        <f>SUMIF('[13]Div 9 forecast'!$C$10:$C$534,$B57, '[13]Div 9 forecast'!$AL$10:$AL$534)</f>
        <v>0</v>
      </c>
      <c r="G57" s="339"/>
      <c r="H57" s="305">
        <f>SUMIF('[13]Div 9 forecast'!$C$10:$C$534,$B57, '[13]Div 9 forecast'!$AM$10:$AM$534)</f>
        <v>0</v>
      </c>
      <c r="I57" s="385"/>
      <c r="J57" s="305">
        <f>SUMIF('[13]Div 9 forecast'!$C$10:$C$534,$B57, '[13]Div 9 forecast'!$AN$10:$AN$534)</f>
        <v>0</v>
      </c>
      <c r="K57" s="385"/>
      <c r="L57" s="305">
        <v>0</v>
      </c>
      <c r="M57" s="385"/>
      <c r="N57" s="305">
        <v>0</v>
      </c>
      <c r="O57" s="305"/>
      <c r="P57" s="305">
        <f t="shared" si="1"/>
        <v>0</v>
      </c>
      <c r="T57" s="877"/>
      <c r="U57" s="877"/>
    </row>
    <row r="58" spans="1:21" ht="15.75" customHeight="1">
      <c r="A58" s="213">
        <f t="shared" si="2"/>
        <v>39</v>
      </c>
      <c r="B58" s="877">
        <v>8250</v>
      </c>
      <c r="C58" s="56" t="s">
        <v>1029</v>
      </c>
      <c r="D58" s="305">
        <f>'C.2.1 B'!D54</f>
        <v>9209.3257488211129</v>
      </c>
      <c r="E58" s="305"/>
      <c r="F58" s="305">
        <f>SUMIF('[13]Div 9 forecast'!$C$10:$C$534,$B58, '[13]Div 9 forecast'!$AL$10:$AL$534)</f>
        <v>0</v>
      </c>
      <c r="G58" s="339"/>
      <c r="H58" s="305">
        <f>SUMIF('[13]Div 9 forecast'!$C$10:$C$534,$B58, '[13]Div 9 forecast'!$AM$10:$AM$534)</f>
        <v>0</v>
      </c>
      <c r="I58" s="385"/>
      <c r="J58" s="305">
        <f>SUMIF('[13]Div 9 forecast'!$C$10:$C$534,$B58, '[13]Div 9 forecast'!$AN$10:$AN$534)</f>
        <v>0</v>
      </c>
      <c r="K58" s="385"/>
      <c r="L58" s="305">
        <v>0</v>
      </c>
      <c r="M58" s="385"/>
      <c r="N58" s="305">
        <v>0</v>
      </c>
      <c r="O58" s="385"/>
      <c r="P58" s="305">
        <f t="shared" si="1"/>
        <v>0</v>
      </c>
      <c r="T58" s="877"/>
      <c r="U58" s="877"/>
    </row>
    <row r="59" spans="1:21" ht="15.75" customHeight="1">
      <c r="A59" s="213">
        <f t="shared" si="2"/>
        <v>40</v>
      </c>
      <c r="B59" s="877">
        <v>8310</v>
      </c>
      <c r="C59" s="56" t="s">
        <v>1030</v>
      </c>
      <c r="D59" s="305">
        <f>'C.2.1 B'!D58</f>
        <v>554.20453105239903</v>
      </c>
      <c r="E59" s="305"/>
      <c r="F59" s="305">
        <f>SUMIF('[13]Div 9 forecast'!$C$10:$C$534,$B59, '[13]Div 9 forecast'!$AL$10:$AL$534)</f>
        <v>0</v>
      </c>
      <c r="G59" s="339"/>
      <c r="H59" s="305">
        <f>SUMIF('[13]Div 9 forecast'!$C$10:$C$534,$B59, '[13]Div 9 forecast'!$AM$10:$AM$534)</f>
        <v>0</v>
      </c>
      <c r="I59" s="385"/>
      <c r="J59" s="305">
        <f>SUMIF('[13]Div 9 forecast'!$C$10:$C$534,$B59, '[13]Div 9 forecast'!$AN$10:$AN$534)</f>
        <v>0</v>
      </c>
      <c r="K59" s="385"/>
      <c r="L59" s="305">
        <v>0</v>
      </c>
      <c r="M59" s="385"/>
      <c r="N59" s="305">
        <v>0</v>
      </c>
      <c r="O59" s="305"/>
      <c r="P59" s="305">
        <f t="shared" si="1"/>
        <v>0</v>
      </c>
      <c r="T59" s="877"/>
      <c r="U59" s="877"/>
    </row>
    <row r="60" spans="1:21" ht="15.75" customHeight="1">
      <c r="A60" s="213">
        <f t="shared" si="2"/>
        <v>41</v>
      </c>
      <c r="B60" s="877">
        <v>8320</v>
      </c>
      <c r="C60" s="56" t="s">
        <v>1031</v>
      </c>
      <c r="D60" s="305">
        <f>'C.2.1 B'!D59</f>
        <v>0</v>
      </c>
      <c r="E60" s="305"/>
      <c r="F60" s="305">
        <f>SUMIF('[13]Div 9 forecast'!$C$10:$C$534,$B60, '[13]Div 9 forecast'!$AL$10:$AL$534)</f>
        <v>0</v>
      </c>
      <c r="G60" s="339"/>
      <c r="H60" s="305">
        <f>SUMIF('[13]Div 9 forecast'!$C$10:$C$534,$B60, '[13]Div 9 forecast'!$AM$10:$AM$534)</f>
        <v>0</v>
      </c>
      <c r="I60" s="385"/>
      <c r="J60" s="305">
        <f>SUMIF('[13]Div 9 forecast'!$C$10:$C$534,$B60, '[13]Div 9 forecast'!$AN$10:$AN$534)</f>
        <v>0</v>
      </c>
      <c r="K60" s="385"/>
      <c r="L60" s="305">
        <v>0</v>
      </c>
      <c r="M60" s="385"/>
      <c r="N60" s="305">
        <v>0</v>
      </c>
      <c r="O60" s="385"/>
      <c r="P60" s="305">
        <f t="shared" si="1"/>
        <v>0</v>
      </c>
      <c r="T60" s="877"/>
      <c r="U60" s="877"/>
    </row>
    <row r="61" spans="1:21" ht="15.75" customHeight="1">
      <c r="A61" s="213">
        <f t="shared" si="2"/>
        <v>42</v>
      </c>
      <c r="B61" s="877">
        <v>8340</v>
      </c>
      <c r="C61" s="56" t="s">
        <v>385</v>
      </c>
      <c r="D61" s="305">
        <f>'C.2.1 B'!D60</f>
        <v>0</v>
      </c>
      <c r="E61" s="305"/>
      <c r="F61" s="305">
        <f>SUMIF('[13]Div 9 forecast'!$C$10:$C$534,$B61, '[13]Div 9 forecast'!$AL$10:$AL$534)</f>
        <v>0</v>
      </c>
      <c r="G61" s="339"/>
      <c r="H61" s="305">
        <f>SUMIF('[13]Div 9 forecast'!$C$10:$C$534,$B61, '[13]Div 9 forecast'!$AM$10:$AM$534)</f>
        <v>0</v>
      </c>
      <c r="I61" s="385"/>
      <c r="J61" s="305">
        <f>SUMIF('[13]Div 9 forecast'!$C$10:$C$534,$B61, '[13]Div 9 forecast'!$AN$10:$AN$534)</f>
        <v>0</v>
      </c>
      <c r="K61" s="385"/>
      <c r="L61" s="305">
        <v>0</v>
      </c>
      <c r="M61" s="385"/>
      <c r="N61" s="305">
        <v>0</v>
      </c>
      <c r="O61" s="305"/>
      <c r="P61" s="305">
        <f t="shared" si="1"/>
        <v>0</v>
      </c>
      <c r="T61" s="877"/>
      <c r="U61" s="877"/>
    </row>
    <row r="62" spans="1:21" ht="15.75" customHeight="1">
      <c r="A62" s="213">
        <f t="shared" si="2"/>
        <v>43</v>
      </c>
      <c r="B62" s="877">
        <v>8350</v>
      </c>
      <c r="C62" s="56" t="s">
        <v>234</v>
      </c>
      <c r="D62" s="305">
        <f>'C.2.1 B'!D61</f>
        <v>0</v>
      </c>
      <c r="E62" s="305"/>
      <c r="F62" s="305">
        <f>SUMIF('[13]Div 9 forecast'!$C$10:$C$534,$B62, '[13]Div 9 forecast'!$AL$10:$AL$534)</f>
        <v>0</v>
      </c>
      <c r="G62" s="339"/>
      <c r="H62" s="305">
        <f>SUMIF('[13]Div 9 forecast'!$C$10:$C$534,$B62, '[13]Div 9 forecast'!$AM$10:$AM$534)</f>
        <v>0</v>
      </c>
      <c r="I62" s="385"/>
      <c r="J62" s="305">
        <f>SUMIF('[13]Div 9 forecast'!$C$10:$C$534,$B62, '[13]Div 9 forecast'!$AN$10:$AN$534)</f>
        <v>0</v>
      </c>
      <c r="K62" s="305"/>
      <c r="L62" s="305">
        <v>0</v>
      </c>
      <c r="M62" s="385"/>
      <c r="N62" s="305">
        <v>0</v>
      </c>
      <c r="O62" s="385"/>
      <c r="P62" s="305">
        <f t="shared" si="1"/>
        <v>0</v>
      </c>
      <c r="T62" s="877"/>
      <c r="U62" s="877"/>
    </row>
    <row r="63" spans="1:21" ht="15.75" customHeight="1">
      <c r="A63" s="213">
        <f t="shared" si="2"/>
        <v>44</v>
      </c>
      <c r="B63" s="877">
        <v>8360</v>
      </c>
      <c r="C63" s="56" t="s">
        <v>235</v>
      </c>
      <c r="D63" s="305">
        <f>'C.2.1 B'!D62</f>
        <v>0</v>
      </c>
      <c r="E63" s="305"/>
      <c r="F63" s="305">
        <f>SUMIF('[13]Div 9 forecast'!$C$10:$C$534,$B63, '[13]Div 9 forecast'!$AL$10:$AL$534)</f>
        <v>0</v>
      </c>
      <c r="G63" s="339"/>
      <c r="H63" s="305">
        <f>SUMIF('[13]Div 9 forecast'!$C$10:$C$534,$B63, '[13]Div 9 forecast'!$AM$10:$AM$534)</f>
        <v>0</v>
      </c>
      <c r="I63" s="385"/>
      <c r="J63" s="305">
        <f>SUMIF('[13]Div 9 forecast'!$C$10:$C$534,$B63, '[13]Div 9 forecast'!$AN$10:$AN$534)</f>
        <v>0</v>
      </c>
      <c r="K63" s="305"/>
      <c r="L63" s="305">
        <v>0</v>
      </c>
      <c r="M63" s="385"/>
      <c r="N63" s="305">
        <v>0</v>
      </c>
      <c r="O63" s="385"/>
      <c r="P63" s="305">
        <f t="shared" si="1"/>
        <v>0</v>
      </c>
      <c r="T63" s="877"/>
      <c r="U63" s="877"/>
    </row>
    <row r="64" spans="1:21" ht="15.75" customHeight="1">
      <c r="A64" s="213">
        <f t="shared" si="2"/>
        <v>45</v>
      </c>
      <c r="B64" s="877">
        <v>8370</v>
      </c>
      <c r="C64" s="60" t="s">
        <v>1328</v>
      </c>
      <c r="D64" s="305">
        <f>'C.2.1 B'!D63</f>
        <v>0</v>
      </c>
      <c r="E64" s="305"/>
      <c r="F64" s="305">
        <f>SUMIF('[13]Div 9 forecast'!$C$10:$C$534,$B64, '[13]Div 9 forecast'!$AL$10:$AL$534)</f>
        <v>0</v>
      </c>
      <c r="G64" s="339"/>
      <c r="H64" s="305">
        <f>SUMIF('[13]Div 9 forecast'!$C$10:$C$534,$B64, '[13]Div 9 forecast'!$AM$10:$AM$534)</f>
        <v>0</v>
      </c>
      <c r="I64" s="385"/>
      <c r="J64" s="305">
        <f>SUMIF('[13]Div 9 forecast'!$C$10:$C$534,$B64, '[13]Div 9 forecast'!$AN$10:$AN$534)</f>
        <v>0</v>
      </c>
      <c r="K64" s="305"/>
      <c r="L64" s="305">
        <v>0</v>
      </c>
      <c r="M64" s="385"/>
      <c r="N64" s="305"/>
      <c r="O64" s="385"/>
      <c r="P64" s="305">
        <f t="shared" si="1"/>
        <v>0</v>
      </c>
      <c r="T64" s="877"/>
      <c r="U64" s="877"/>
    </row>
    <row r="65" spans="1:21" ht="15.75" customHeight="1">
      <c r="A65" s="213">
        <f t="shared" si="2"/>
        <v>46</v>
      </c>
      <c r="B65" s="877">
        <v>8400</v>
      </c>
      <c r="C65" s="56" t="s">
        <v>469</v>
      </c>
      <c r="D65" s="305">
        <v>0</v>
      </c>
      <c r="E65" s="305"/>
      <c r="F65" s="305">
        <f>SUMIF('[13]Div 9 forecast'!$C$10:$C$534,$B65, '[13]Div 9 forecast'!$AL$10:$AL$534)</f>
        <v>0</v>
      </c>
      <c r="G65" s="339"/>
      <c r="H65" s="305">
        <f>SUMIF('[13]Div 9 forecast'!$C$10:$C$534,$B65, '[13]Div 9 forecast'!$AM$10:$AM$534)</f>
        <v>0</v>
      </c>
      <c r="I65" s="385"/>
      <c r="J65" s="305">
        <f>SUMIF('[13]Div 9 forecast'!$C$10:$C$534,$B65, '[13]Div 9 forecast'!$AN$10:$AN$534)</f>
        <v>0</v>
      </c>
      <c r="K65" s="305"/>
      <c r="L65" s="305">
        <v>0</v>
      </c>
      <c r="M65" s="385"/>
      <c r="N65" s="305">
        <v>0</v>
      </c>
      <c r="O65" s="385"/>
      <c r="P65" s="305">
        <f t="shared" si="1"/>
        <v>0</v>
      </c>
      <c r="T65" s="877"/>
      <c r="U65" s="877"/>
    </row>
    <row r="66" spans="1:21" ht="15.75" customHeight="1">
      <c r="A66" s="213">
        <f t="shared" si="2"/>
        <v>47</v>
      </c>
      <c r="B66" s="877">
        <v>8410</v>
      </c>
      <c r="C66" s="56" t="s">
        <v>236</v>
      </c>
      <c r="D66" s="305">
        <f>'C.2.1 B'!D64</f>
        <v>224674.56047740806</v>
      </c>
      <c r="E66" s="305"/>
      <c r="F66" s="305">
        <f>SUMIF('[13]Div 9 forecast'!$C$10:$C$534,$B66, '[13]Div 9 forecast'!$AL$10:$AL$534)</f>
        <v>8045.2448763006478</v>
      </c>
      <c r="G66" s="339"/>
      <c r="H66" s="305">
        <f>SUMIF('[13]Div 9 forecast'!$C$10:$C$534,$B66, '[13]Div 9 forecast'!$AM$10:$AM$534)</f>
        <v>0</v>
      </c>
      <c r="I66" s="385"/>
      <c r="J66" s="305">
        <f>SUMIF('[13]Div 9 forecast'!$C$10:$C$534,$B66, '[13]Div 9 forecast'!$AN$10:$AN$534)</f>
        <v>0</v>
      </c>
      <c r="K66" s="305"/>
      <c r="L66" s="305">
        <v>0</v>
      </c>
      <c r="M66" s="385"/>
      <c r="N66" s="305">
        <v>0</v>
      </c>
      <c r="O66" s="385"/>
      <c r="P66" s="305">
        <f t="shared" si="1"/>
        <v>8045.2448763006478</v>
      </c>
      <c r="T66" s="877"/>
      <c r="U66" s="877"/>
    </row>
    <row r="67" spans="1:21" ht="15.75" customHeight="1">
      <c r="A67" s="213">
        <f t="shared" si="2"/>
        <v>48</v>
      </c>
      <c r="B67" s="877">
        <v>8470</v>
      </c>
      <c r="C67" s="56" t="s">
        <v>237</v>
      </c>
      <c r="D67" s="305">
        <v>0</v>
      </c>
      <c r="E67" s="305"/>
      <c r="F67" s="305">
        <f>SUMIF('[13]Div 9 forecast'!$C$10:$C$534,$B67, '[13]Div 9 forecast'!$AL$10:$AL$534)</f>
        <v>0</v>
      </c>
      <c r="G67" s="339"/>
      <c r="H67" s="305">
        <f>SUMIF('[13]Div 9 forecast'!$C$10:$C$534,$B67, '[13]Div 9 forecast'!$AM$10:$AM$534)</f>
        <v>0</v>
      </c>
      <c r="I67" s="385"/>
      <c r="J67" s="305">
        <f>SUMIF('[13]Div 9 forecast'!$C$10:$C$534,$B67, '[13]Div 9 forecast'!$AN$10:$AN$534)</f>
        <v>0</v>
      </c>
      <c r="K67" s="305"/>
      <c r="L67" s="305">
        <v>0</v>
      </c>
      <c r="M67" s="385"/>
      <c r="N67" s="305">
        <v>0</v>
      </c>
      <c r="O67" s="385"/>
      <c r="P67" s="305">
        <f t="shared" si="1"/>
        <v>0</v>
      </c>
      <c r="T67" s="877"/>
      <c r="U67" s="877"/>
    </row>
    <row r="68" spans="1:21" ht="15.75" customHeight="1">
      <c r="A68" s="213">
        <f t="shared" si="2"/>
        <v>49</v>
      </c>
      <c r="B68" s="877">
        <v>8500</v>
      </c>
      <c r="C68" s="56" t="s">
        <v>238</v>
      </c>
      <c r="D68" s="305">
        <f>'C.2.1 B'!D68</f>
        <v>14402.042351015742</v>
      </c>
      <c r="E68" s="305"/>
      <c r="F68" s="305">
        <f>SUMIF('[13]Div 9 forecast'!$C$10:$C$534,$B68, '[13]Div 9 forecast'!$AL$10:$AL$534)</f>
        <v>0</v>
      </c>
      <c r="G68" s="339"/>
      <c r="H68" s="305">
        <f>SUMIF('[13]Div 9 forecast'!$C$10:$C$534,$B68, '[13]Div 9 forecast'!$AM$10:$AM$534)</f>
        <v>0</v>
      </c>
      <c r="I68" s="385"/>
      <c r="J68" s="305">
        <f>SUMIF('[13]Div 9 forecast'!$C$10:$C$534,$B68, '[13]Div 9 forecast'!$AN$10:$AN$534)</f>
        <v>0</v>
      </c>
      <c r="K68" s="305"/>
      <c r="L68" s="305">
        <v>0</v>
      </c>
      <c r="M68" s="385"/>
      <c r="N68" s="305">
        <v>0</v>
      </c>
      <c r="O68" s="385"/>
      <c r="P68" s="305">
        <f t="shared" si="1"/>
        <v>0</v>
      </c>
      <c r="T68" s="877"/>
      <c r="U68" s="877"/>
    </row>
    <row r="69" spans="1:21" ht="15.75" customHeight="1">
      <c r="A69" s="213">
        <f t="shared" si="2"/>
        <v>50</v>
      </c>
      <c r="B69" s="877">
        <v>8520</v>
      </c>
      <c r="C69" s="56" t="s">
        <v>1329</v>
      </c>
      <c r="D69" s="305">
        <f>'C.2.1 B'!D69</f>
        <v>0</v>
      </c>
      <c r="E69" s="305"/>
      <c r="F69" s="305">
        <f>SUMIF('[13]Div 9 forecast'!$C$10:$C$534,$B69, '[13]Div 9 forecast'!$AL$10:$AL$534)</f>
        <v>0</v>
      </c>
      <c r="G69" s="339"/>
      <c r="H69" s="305">
        <f>SUMIF('[13]Div 9 forecast'!$C$10:$C$534,$B69, '[13]Div 9 forecast'!$AM$10:$AM$534)</f>
        <v>0</v>
      </c>
      <c r="I69" s="385"/>
      <c r="J69" s="305">
        <f>SUMIF('[13]Div 9 forecast'!$C$10:$C$534,$B69, '[13]Div 9 forecast'!$AN$10:$AN$534)</f>
        <v>0</v>
      </c>
      <c r="K69" s="305"/>
      <c r="L69" s="305">
        <v>0</v>
      </c>
      <c r="M69" s="385"/>
      <c r="N69" s="305"/>
      <c r="O69" s="385"/>
      <c r="P69" s="305">
        <f t="shared" si="1"/>
        <v>0</v>
      </c>
      <c r="T69" s="877"/>
      <c r="U69" s="877"/>
    </row>
    <row r="70" spans="1:21" ht="15.75" customHeight="1">
      <c r="A70" s="213">
        <f t="shared" si="2"/>
        <v>51</v>
      </c>
      <c r="B70" s="877">
        <v>8550</v>
      </c>
      <c r="C70" s="56" t="s">
        <v>1342</v>
      </c>
      <c r="D70" s="305">
        <f>'C.2.1 B'!D70</f>
        <v>206.00858813511107</v>
      </c>
      <c r="E70" s="305"/>
      <c r="F70" s="305">
        <f>SUMIF('[13]Div 9 forecast'!$C$10:$C$534,$B70, '[13]Div 9 forecast'!$AL$10:$AL$534)</f>
        <v>0</v>
      </c>
      <c r="G70" s="339"/>
      <c r="H70" s="305">
        <f>SUMIF('[13]Div 9 forecast'!$C$10:$C$534,$B70, '[13]Div 9 forecast'!$AM$10:$AM$534)</f>
        <v>0</v>
      </c>
      <c r="I70" s="385"/>
      <c r="J70" s="305">
        <f>SUMIF('[13]Div 9 forecast'!$C$10:$C$534,$B70, '[13]Div 9 forecast'!$AN$10:$AN$534)</f>
        <v>0</v>
      </c>
      <c r="K70" s="305"/>
      <c r="L70" s="305"/>
      <c r="M70" s="385"/>
      <c r="N70" s="305"/>
      <c r="O70" s="385"/>
      <c r="P70" s="305"/>
      <c r="T70" s="877"/>
      <c r="U70" s="877"/>
    </row>
    <row r="71" spans="1:21" ht="15.75" customHeight="1">
      <c r="A71" s="213">
        <f t="shared" si="2"/>
        <v>52</v>
      </c>
      <c r="B71" s="877">
        <v>8560</v>
      </c>
      <c r="C71" s="56" t="s">
        <v>239</v>
      </c>
      <c r="D71" s="305">
        <f>'C.2.1 B'!D71</f>
        <v>170757.24883325773</v>
      </c>
      <c r="E71" s="305"/>
      <c r="F71" s="305">
        <f>SUMIF('[13]Div 9 forecast'!$C$10:$C$534,$B71, '[13]Div 9 forecast'!$AL$10:$AL$534)</f>
        <v>4902.1888147572208</v>
      </c>
      <c r="G71" s="339"/>
      <c r="H71" s="305">
        <f>SUMIF('[13]Div 9 forecast'!$C$10:$C$534,$B71, '[13]Div 9 forecast'!$AM$10:$AM$534)</f>
        <v>0</v>
      </c>
      <c r="I71" s="385"/>
      <c r="J71" s="305">
        <f>SUMIF('[13]Div 9 forecast'!$C$10:$C$534,$B71, '[13]Div 9 forecast'!$AN$10:$AN$534)</f>
        <v>0</v>
      </c>
      <c r="K71" s="305"/>
      <c r="L71" s="305">
        <v>0</v>
      </c>
      <c r="M71" s="385"/>
      <c r="N71" s="305">
        <v>0</v>
      </c>
      <c r="O71" s="385"/>
      <c r="P71" s="305">
        <f t="shared" si="1"/>
        <v>4902.1888147572208</v>
      </c>
      <c r="T71" s="877"/>
      <c r="U71" s="877"/>
    </row>
    <row r="72" spans="1:21" ht="15.75" customHeight="1">
      <c r="A72" s="213">
        <f t="shared" si="2"/>
        <v>53</v>
      </c>
      <c r="B72" s="877">
        <v>8570</v>
      </c>
      <c r="C72" s="56" t="s">
        <v>240</v>
      </c>
      <c r="D72" s="305">
        <f>'C.2.1 B'!D72</f>
        <v>11888.465981015079</v>
      </c>
      <c r="E72" s="305"/>
      <c r="F72" s="305">
        <f>SUMIF('[13]Div 9 forecast'!$C$10:$C$534,$B72, '[13]Div 9 forecast'!$AL$10:$AL$534)</f>
        <v>53.806339550819757</v>
      </c>
      <c r="G72" s="339"/>
      <c r="H72" s="305">
        <f>SUMIF('[13]Div 9 forecast'!$C$10:$C$534,$B72, '[13]Div 9 forecast'!$AM$10:$AM$534)</f>
        <v>0</v>
      </c>
      <c r="I72" s="305"/>
      <c r="J72" s="305">
        <f>SUMIF('[13]Div 9 forecast'!$C$10:$C$534,$B72, '[13]Div 9 forecast'!$AN$10:$AN$534)</f>
        <v>0</v>
      </c>
      <c r="K72" s="305"/>
      <c r="L72" s="305">
        <v>0</v>
      </c>
      <c r="M72" s="305"/>
      <c r="N72" s="305">
        <v>0</v>
      </c>
      <c r="O72" s="385"/>
      <c r="P72" s="305">
        <f t="shared" si="1"/>
        <v>53.806339550819757</v>
      </c>
      <c r="T72" s="877"/>
      <c r="U72" s="877"/>
    </row>
    <row r="73" spans="1:21" ht="15.75" customHeight="1">
      <c r="A73" s="213">
        <f t="shared" si="2"/>
        <v>54</v>
      </c>
      <c r="B73" s="877">
        <v>8590</v>
      </c>
      <c r="C73" s="56" t="s">
        <v>241</v>
      </c>
      <c r="D73" s="305">
        <f>'C.2.1 B'!D73</f>
        <v>0</v>
      </c>
      <c r="E73" s="305"/>
      <c r="F73" s="305">
        <f>SUMIF('[13]Div 9 forecast'!$C$10:$C$534,$B73, '[13]Div 9 forecast'!$AL$10:$AL$534)</f>
        <v>0</v>
      </c>
      <c r="G73" s="339"/>
      <c r="H73" s="305">
        <f>SUMIF('[13]Div 9 forecast'!$C$10:$C$534,$B73, '[13]Div 9 forecast'!$AM$10:$AM$534)</f>
        <v>0</v>
      </c>
      <c r="I73" s="305"/>
      <c r="J73" s="305">
        <f>SUMIF('[13]Div 9 forecast'!$C$10:$C$534,$B73, '[13]Div 9 forecast'!$AN$10:$AN$534)</f>
        <v>0</v>
      </c>
      <c r="K73" s="305"/>
      <c r="L73" s="305">
        <v>0</v>
      </c>
      <c r="M73" s="305"/>
      <c r="N73" s="305">
        <v>0</v>
      </c>
      <c r="O73" s="305"/>
      <c r="P73" s="305">
        <f t="shared" si="1"/>
        <v>0</v>
      </c>
      <c r="T73" s="877"/>
      <c r="U73" s="877"/>
    </row>
    <row r="74" spans="1:21" ht="15.75" customHeight="1">
      <c r="A74" s="213">
        <f t="shared" si="2"/>
        <v>55</v>
      </c>
      <c r="B74" s="877">
        <v>8600</v>
      </c>
      <c r="C74" s="56" t="s">
        <v>231</v>
      </c>
      <c r="D74" s="305">
        <f>'C.2.1 B'!D74</f>
        <v>0</v>
      </c>
      <c r="E74" s="305"/>
      <c r="F74" s="305">
        <f>SUMIF('[13]Div 9 forecast'!$C$10:$C$534,$B74, '[13]Div 9 forecast'!$AL$10:$AL$534)</f>
        <v>0</v>
      </c>
      <c r="G74" s="339"/>
      <c r="H74" s="305">
        <f>SUMIF('[13]Div 9 forecast'!$C$10:$C$534,$B74, '[13]Div 9 forecast'!$AM$10:$AM$534)</f>
        <v>0</v>
      </c>
      <c r="I74" s="305"/>
      <c r="J74" s="305">
        <f>SUMIF('[13]Div 9 forecast'!$C$10:$C$534,$B74, '[13]Div 9 forecast'!$AN$10:$AN$534)</f>
        <v>0</v>
      </c>
      <c r="K74" s="305"/>
      <c r="L74" s="305">
        <v>0</v>
      </c>
      <c r="M74" s="305"/>
      <c r="N74" s="305">
        <v>0</v>
      </c>
      <c r="O74" s="305"/>
      <c r="P74" s="305">
        <f t="shared" si="1"/>
        <v>0</v>
      </c>
      <c r="T74" s="877"/>
      <c r="U74" s="877"/>
    </row>
    <row r="75" spans="1:21" ht="15.75" customHeight="1">
      <c r="A75" s="213">
        <f t="shared" si="2"/>
        <v>56</v>
      </c>
      <c r="B75" s="877">
        <v>8620</v>
      </c>
      <c r="C75" s="56" t="s">
        <v>242</v>
      </c>
      <c r="D75" s="305">
        <f>'C.2.1 B'!D78</f>
        <v>0</v>
      </c>
      <c r="E75" s="305"/>
      <c r="F75" s="305">
        <f>SUMIF('[13]Div 9 forecast'!$C$10:$C$534,$B75, '[13]Div 9 forecast'!$AL$10:$AL$534)</f>
        <v>0</v>
      </c>
      <c r="G75" s="339"/>
      <c r="H75" s="305">
        <f>SUMIF('[13]Div 9 forecast'!$C$10:$C$534,$B75, '[13]Div 9 forecast'!$AM$10:$AM$534)</f>
        <v>0</v>
      </c>
      <c r="I75" s="305"/>
      <c r="J75" s="305">
        <f>SUMIF('[13]Div 9 forecast'!$C$10:$C$534,$B75, '[13]Div 9 forecast'!$AN$10:$AN$534)</f>
        <v>0</v>
      </c>
      <c r="K75" s="305"/>
      <c r="L75" s="305">
        <v>0</v>
      </c>
      <c r="M75" s="305"/>
      <c r="N75" s="305">
        <v>0</v>
      </c>
      <c r="O75" s="305"/>
      <c r="P75" s="305">
        <f t="shared" si="1"/>
        <v>0</v>
      </c>
      <c r="T75" s="877"/>
      <c r="U75" s="877"/>
    </row>
    <row r="76" spans="1:21" ht="15.75" customHeight="1">
      <c r="A76" s="213">
        <f t="shared" si="2"/>
        <v>57</v>
      </c>
      <c r="B76" s="877">
        <v>8630</v>
      </c>
      <c r="C76" s="56" t="s">
        <v>243</v>
      </c>
      <c r="D76" s="305">
        <f>'C.2.1 B'!D79</f>
        <v>3991.6709581398791</v>
      </c>
      <c r="E76" s="305"/>
      <c r="F76" s="305">
        <f>SUMIF('[13]Div 9 forecast'!$C$10:$C$534,$B76, '[13]Div 9 forecast'!$AL$10:$AL$534)</f>
        <v>148.91690314512198</v>
      </c>
      <c r="G76" s="339"/>
      <c r="H76" s="305">
        <f>SUMIF('[13]Div 9 forecast'!$C$10:$C$534,$B76, '[13]Div 9 forecast'!$AM$10:$AM$534)</f>
        <v>0</v>
      </c>
      <c r="I76" s="385"/>
      <c r="J76" s="305">
        <f>SUMIF('[13]Div 9 forecast'!$C$10:$C$534,$B76, '[13]Div 9 forecast'!$AN$10:$AN$534)</f>
        <v>0</v>
      </c>
      <c r="K76" s="305"/>
      <c r="L76" s="305">
        <v>0</v>
      </c>
      <c r="M76" s="385"/>
      <c r="N76" s="305">
        <v>0</v>
      </c>
      <c r="O76" s="385"/>
      <c r="P76" s="305">
        <f t="shared" si="1"/>
        <v>148.91690314512198</v>
      </c>
      <c r="T76" s="877"/>
      <c r="U76" s="877"/>
    </row>
    <row r="77" spans="1:21" ht="15.75" customHeight="1">
      <c r="A77" s="213">
        <f t="shared" si="2"/>
        <v>58</v>
      </c>
      <c r="B77" s="877">
        <v>8640</v>
      </c>
      <c r="C77" s="56" t="s">
        <v>244</v>
      </c>
      <c r="D77" s="305">
        <f>'C.2.1 B'!D80</f>
        <v>0</v>
      </c>
      <c r="E77" s="305"/>
      <c r="F77" s="305">
        <f>SUMIF('[13]Div 9 forecast'!$C$10:$C$534,$B77, '[13]Div 9 forecast'!$AL$10:$AL$534)</f>
        <v>0</v>
      </c>
      <c r="G77" s="339"/>
      <c r="H77" s="305">
        <f>SUMIF('[13]Div 9 forecast'!$C$10:$C$534,$B77, '[13]Div 9 forecast'!$AM$10:$AM$534)</f>
        <v>0</v>
      </c>
      <c r="I77" s="385"/>
      <c r="J77" s="305">
        <f>SUMIF('[13]Div 9 forecast'!$C$10:$C$534,$B77, '[13]Div 9 forecast'!$AN$10:$AN$534)</f>
        <v>0</v>
      </c>
      <c r="K77" s="305"/>
      <c r="L77" s="305">
        <v>0</v>
      </c>
      <c r="M77" s="385"/>
      <c r="N77" s="305">
        <v>0</v>
      </c>
      <c r="O77" s="385"/>
      <c r="P77" s="305">
        <f t="shared" si="1"/>
        <v>0</v>
      </c>
      <c r="T77" s="877"/>
      <c r="U77" s="877"/>
    </row>
    <row r="78" spans="1:21" ht="15.75" customHeight="1">
      <c r="A78" s="213">
        <f t="shared" si="2"/>
        <v>59</v>
      </c>
      <c r="B78" s="877">
        <v>8650</v>
      </c>
      <c r="C78" s="56" t="s">
        <v>245</v>
      </c>
      <c r="D78" s="305">
        <f>'C.2.1 B'!D81</f>
        <v>0</v>
      </c>
      <c r="E78" s="305"/>
      <c r="F78" s="305">
        <f>SUMIF('[13]Div 9 forecast'!$C$10:$C$534,$B78, '[13]Div 9 forecast'!$AL$10:$AL$534)</f>
        <v>0</v>
      </c>
      <c r="G78" s="339"/>
      <c r="H78" s="305">
        <f>SUMIF('[13]Div 9 forecast'!$C$10:$C$534,$B78, '[13]Div 9 forecast'!$AM$10:$AM$534)</f>
        <v>0</v>
      </c>
      <c r="I78" s="385"/>
      <c r="J78" s="305">
        <f>SUMIF('[13]Div 9 forecast'!$C$10:$C$534,$B78, '[13]Div 9 forecast'!$AN$10:$AN$534)</f>
        <v>0</v>
      </c>
      <c r="K78" s="305"/>
      <c r="L78" s="305">
        <v>0</v>
      </c>
      <c r="M78" s="385"/>
      <c r="N78" s="305">
        <v>0</v>
      </c>
      <c r="O78" s="385"/>
      <c r="P78" s="305">
        <f t="shared" si="1"/>
        <v>0</v>
      </c>
      <c r="T78" s="877"/>
      <c r="U78" s="877"/>
    </row>
    <row r="79" spans="1:21" ht="15.75" customHeight="1">
      <c r="A79" s="213">
        <f t="shared" si="2"/>
        <v>60</v>
      </c>
      <c r="B79" s="877">
        <v>8670</v>
      </c>
      <c r="C79" s="56" t="s">
        <v>246</v>
      </c>
      <c r="D79" s="305">
        <f>'C.2.1 B'!D82</f>
        <v>0</v>
      </c>
      <c r="E79" s="305"/>
      <c r="F79" s="305">
        <f>SUMIF('[13]Div 9 forecast'!$C$10:$C$534,$B79, '[13]Div 9 forecast'!$AL$10:$AL$534)</f>
        <v>0</v>
      </c>
      <c r="G79" s="339"/>
      <c r="H79" s="305">
        <f>SUMIF('[13]Div 9 forecast'!$C$10:$C$534,$B79, '[13]Div 9 forecast'!$AM$10:$AM$534)</f>
        <v>0</v>
      </c>
      <c r="I79" s="385"/>
      <c r="J79" s="305">
        <f>SUMIF('[13]Div 9 forecast'!$C$10:$C$534,$B79, '[13]Div 9 forecast'!$AN$10:$AN$534)</f>
        <v>0</v>
      </c>
      <c r="K79" s="305"/>
      <c r="L79" s="305">
        <v>0</v>
      </c>
      <c r="M79" s="385"/>
      <c r="N79" s="305">
        <v>0</v>
      </c>
      <c r="O79" s="385"/>
      <c r="P79" s="305">
        <f t="shared" si="1"/>
        <v>0</v>
      </c>
      <c r="T79" s="877"/>
      <c r="U79" s="877"/>
    </row>
    <row r="80" spans="1:21" ht="15.75" customHeight="1">
      <c r="A80" s="213">
        <f t="shared" si="2"/>
        <v>61</v>
      </c>
      <c r="B80" s="877">
        <v>8700</v>
      </c>
      <c r="C80" s="56" t="s">
        <v>247</v>
      </c>
      <c r="D80" s="305">
        <f>'C.2.1 B'!D108</f>
        <v>1047733.6321712979</v>
      </c>
      <c r="E80" s="305"/>
      <c r="F80" s="305">
        <f>SUMIF('[13]Div 9 forecast'!$C$10:$C$534,$B80, '[13]Div 9 forecast'!$AL$10:$AL$534)</f>
        <v>18445.80265138793</v>
      </c>
      <c r="G80" s="339"/>
      <c r="H80" s="305">
        <f>SUMIF('[13]Div 9 forecast'!$C$10:$C$534,$B80, '[13]Div 9 forecast'!$AM$10:$AM$534)</f>
        <v>0</v>
      </c>
      <c r="I80" s="385"/>
      <c r="J80" s="305">
        <f>SUMIF('[13]Div 9 forecast'!$C$10:$C$534,$B80, '[13]Div 9 forecast'!$AN$10:$AN$534)</f>
        <v>0</v>
      </c>
      <c r="K80" s="305"/>
      <c r="L80" s="305">
        <v>0</v>
      </c>
      <c r="M80" s="385"/>
      <c r="N80" s="305">
        <v>0</v>
      </c>
      <c r="O80" s="385"/>
      <c r="P80" s="305">
        <f t="shared" si="1"/>
        <v>18445.80265138793</v>
      </c>
      <c r="T80" s="877"/>
      <c r="U80" s="877"/>
    </row>
    <row r="81" spans="1:21" ht="15.75" customHeight="1">
      <c r="A81" s="213">
        <f t="shared" si="2"/>
        <v>62</v>
      </c>
      <c r="B81" s="877">
        <v>8710</v>
      </c>
      <c r="C81" s="56" t="s">
        <v>248</v>
      </c>
      <c r="D81" s="305">
        <f>'C.2.1 B'!D109</f>
        <v>398.30229242484654</v>
      </c>
      <c r="E81" s="305"/>
      <c r="F81" s="305">
        <f>SUMIF('[13]Div 9 forecast'!$C$10:$C$534,$B81, '[13]Div 9 forecast'!$AL$10:$AL$534)</f>
        <v>0</v>
      </c>
      <c r="G81" s="339"/>
      <c r="H81" s="305">
        <f>SUMIF('[13]Div 9 forecast'!$C$10:$C$534,$B81, '[13]Div 9 forecast'!$AM$10:$AM$534)</f>
        <v>0</v>
      </c>
      <c r="I81" s="385"/>
      <c r="J81" s="305">
        <f>SUMIF('[13]Div 9 forecast'!$C$10:$C$534,$B81, '[13]Div 9 forecast'!$AN$10:$AN$534)</f>
        <v>0</v>
      </c>
      <c r="K81" s="305"/>
      <c r="L81" s="305">
        <v>0</v>
      </c>
      <c r="M81" s="385"/>
      <c r="N81" s="305">
        <v>0</v>
      </c>
      <c r="O81" s="385"/>
      <c r="P81" s="305">
        <f t="shared" si="1"/>
        <v>0</v>
      </c>
      <c r="T81" s="877"/>
      <c r="U81" s="877"/>
    </row>
    <row r="82" spans="1:21" ht="15.75" customHeight="1">
      <c r="A82" s="213">
        <f t="shared" si="2"/>
        <v>63</v>
      </c>
      <c r="B82" s="877">
        <v>8711</v>
      </c>
      <c r="C82" s="56" t="s">
        <v>232</v>
      </c>
      <c r="D82" s="305">
        <f>'C.2.1 B'!D110</f>
        <v>108130.06033341784</v>
      </c>
      <c r="E82" s="305"/>
      <c r="F82" s="305">
        <f>SUMIF('[13]Div 9 forecast'!$C$10:$C$534,$B82, '[13]Div 9 forecast'!$AL$10:$AL$534)</f>
        <v>0</v>
      </c>
      <c r="G82" s="339"/>
      <c r="H82" s="305">
        <f>SUMIF('[13]Div 9 forecast'!$C$10:$C$534,$B82, '[13]Div 9 forecast'!$AM$10:$AM$534)</f>
        <v>0</v>
      </c>
      <c r="I82" s="385"/>
      <c r="J82" s="305">
        <f>SUMIF('[13]Div 9 forecast'!$C$10:$C$534,$B82, '[13]Div 9 forecast'!$AN$10:$AN$534)</f>
        <v>0</v>
      </c>
      <c r="K82" s="305"/>
      <c r="L82" s="305">
        <v>0</v>
      </c>
      <c r="M82" s="385"/>
      <c r="N82" s="305">
        <v>0</v>
      </c>
      <c r="O82" s="385"/>
      <c r="P82" s="305">
        <f t="shared" si="1"/>
        <v>0</v>
      </c>
      <c r="T82" s="877"/>
      <c r="U82" s="877"/>
    </row>
    <row r="83" spans="1:21" ht="15.75" customHeight="1">
      <c r="A83" s="213">
        <f t="shared" si="2"/>
        <v>64</v>
      </c>
      <c r="B83" s="877">
        <v>8720</v>
      </c>
      <c r="C83" s="56" t="s">
        <v>249</v>
      </c>
      <c r="D83" s="305">
        <f>'C.2.1 B'!D111</f>
        <v>0</v>
      </c>
      <c r="E83" s="305"/>
      <c r="F83" s="305">
        <f>SUMIF('[13]Div 9 forecast'!$C$10:$C$534,$B83, '[13]Div 9 forecast'!$AL$10:$AL$534)</f>
        <v>0</v>
      </c>
      <c r="G83" s="339"/>
      <c r="H83" s="305">
        <f>SUMIF('[13]Div 9 forecast'!$C$10:$C$534,$B83, '[13]Div 9 forecast'!$AM$10:$AM$534)</f>
        <v>0</v>
      </c>
      <c r="I83" s="385"/>
      <c r="J83" s="305">
        <f>SUMIF('[13]Div 9 forecast'!$C$10:$C$534,$B83, '[13]Div 9 forecast'!$AN$10:$AN$534)</f>
        <v>0</v>
      </c>
      <c r="K83" s="305"/>
      <c r="L83" s="305">
        <v>0</v>
      </c>
      <c r="M83" s="385"/>
      <c r="N83" s="305">
        <v>0</v>
      </c>
      <c r="O83" s="385"/>
      <c r="P83" s="305">
        <f t="shared" si="1"/>
        <v>0</v>
      </c>
      <c r="T83" s="877"/>
      <c r="U83" s="877"/>
    </row>
    <row r="84" spans="1:21" ht="15.75" customHeight="1">
      <c r="A84" s="213">
        <f t="shared" si="2"/>
        <v>65</v>
      </c>
      <c r="B84" s="877">
        <v>8740</v>
      </c>
      <c r="C84" s="56" t="s">
        <v>250</v>
      </c>
      <c r="D84" s="305">
        <f>'C.2.1 B'!D112</f>
        <v>5883580.8375892984</v>
      </c>
      <c r="E84" s="305"/>
      <c r="F84" s="305">
        <f>SUMIF('[13]Div 9 forecast'!$C$10:$C$534,$B84, '[13]Div 9 forecast'!$AL$10:$AL$534)</f>
        <v>70772.124972770223</v>
      </c>
      <c r="G84" s="339"/>
      <c r="H84" s="305">
        <f>SUMIF('[13]Div 9 forecast'!$C$10:$C$534,$B84, '[13]Div 9 forecast'!$AM$10:$AM$534)</f>
        <v>0</v>
      </c>
      <c r="I84" s="385"/>
      <c r="J84" s="305">
        <f>SUMIF('[13]Div 9 forecast'!$C$10:$C$534,$B84, '[13]Div 9 forecast'!$AN$10:$AN$534)</f>
        <v>0</v>
      </c>
      <c r="K84" s="305"/>
      <c r="L84" s="305">
        <v>0</v>
      </c>
      <c r="M84" s="385"/>
      <c r="N84" s="305">
        <v>0</v>
      </c>
      <c r="O84" s="385"/>
      <c r="P84" s="305">
        <f t="shared" si="1"/>
        <v>70772.124972770223</v>
      </c>
      <c r="T84" s="877"/>
      <c r="U84" s="877"/>
    </row>
    <row r="85" spans="1:21" ht="15.75" customHeight="1">
      <c r="A85" s="213">
        <f t="shared" si="2"/>
        <v>66</v>
      </c>
      <c r="B85" s="877">
        <v>8750</v>
      </c>
      <c r="C85" s="56" t="s">
        <v>251</v>
      </c>
      <c r="D85" s="305">
        <f>'C.2.1 B'!D113</f>
        <v>489307.97897301236</v>
      </c>
      <c r="E85" s="305"/>
      <c r="F85" s="305">
        <f>SUMIF('[13]Div 9 forecast'!$C$10:$C$534,$B85, '[13]Div 9 forecast'!$AL$10:$AL$534)</f>
        <v>11812.359188809103</v>
      </c>
      <c r="G85" s="339"/>
      <c r="H85" s="305">
        <f>SUMIF('[13]Div 9 forecast'!$C$10:$C$534,$B85, '[13]Div 9 forecast'!$AM$10:$AM$534)</f>
        <v>0</v>
      </c>
      <c r="I85" s="385"/>
      <c r="J85" s="305">
        <f>SUMIF('[13]Div 9 forecast'!$C$10:$C$534,$B85, '[13]Div 9 forecast'!$AN$10:$AN$534)</f>
        <v>0</v>
      </c>
      <c r="K85" s="305"/>
      <c r="L85" s="305">
        <v>0</v>
      </c>
      <c r="M85" s="385"/>
      <c r="N85" s="305">
        <v>0</v>
      </c>
      <c r="O85" s="385"/>
      <c r="P85" s="305">
        <f t="shared" si="1"/>
        <v>11812.359188809103</v>
      </c>
      <c r="T85" s="877"/>
      <c r="U85" s="877"/>
    </row>
    <row r="86" spans="1:21" ht="15.75" customHeight="1">
      <c r="A86" s="213">
        <f t="shared" si="2"/>
        <v>67</v>
      </c>
      <c r="B86" s="877">
        <v>8760</v>
      </c>
      <c r="C86" s="56" t="s">
        <v>648</v>
      </c>
      <c r="D86" s="305">
        <f>'C.2.1 B'!D114</f>
        <v>26329.750437463888</v>
      </c>
      <c r="E86" s="305"/>
      <c r="F86" s="305">
        <f>SUMIF('[13]Div 9 forecast'!$C$10:$C$534,$B86, '[13]Div 9 forecast'!$AL$10:$AL$534)</f>
        <v>914.68370978195617</v>
      </c>
      <c r="G86" s="339"/>
      <c r="H86" s="305">
        <f>SUMIF('[13]Div 9 forecast'!$C$10:$C$534,$B86, '[13]Div 9 forecast'!$AM$10:$AM$534)</f>
        <v>0</v>
      </c>
      <c r="I86" s="305"/>
      <c r="J86" s="305">
        <f>SUMIF('[13]Div 9 forecast'!$C$10:$C$534,$B86, '[13]Div 9 forecast'!$AN$10:$AN$534)</f>
        <v>0</v>
      </c>
      <c r="K86" s="305"/>
      <c r="L86" s="305">
        <v>0</v>
      </c>
      <c r="M86" s="305"/>
      <c r="N86" s="305">
        <v>0</v>
      </c>
      <c r="O86" s="385"/>
      <c r="P86" s="305">
        <f t="shared" si="1"/>
        <v>914.68370978195617</v>
      </c>
      <c r="T86" s="877"/>
      <c r="U86" s="877"/>
    </row>
    <row r="87" spans="1:21" ht="15.75" customHeight="1">
      <c r="A87" s="213">
        <f t="shared" si="2"/>
        <v>68</v>
      </c>
      <c r="B87" s="877">
        <v>8770</v>
      </c>
      <c r="C87" s="56" t="s">
        <v>649</v>
      </c>
      <c r="D87" s="305">
        <f>'C.2.1 B'!D115</f>
        <v>3528.6627085332993</v>
      </c>
      <c r="E87" s="305"/>
      <c r="F87" s="305">
        <f>SUMIF('[13]Div 9 forecast'!$C$10:$C$534,$B87, '[13]Div 9 forecast'!$AL$10:$AL$534)</f>
        <v>0</v>
      </c>
      <c r="G87" s="339"/>
      <c r="H87" s="305">
        <f>SUMIF('[13]Div 9 forecast'!$C$10:$C$534,$B87, '[13]Div 9 forecast'!$AM$10:$AM$534)</f>
        <v>0</v>
      </c>
      <c r="I87" s="305"/>
      <c r="J87" s="305">
        <f>SUMIF('[13]Div 9 forecast'!$C$10:$C$534,$B87, '[13]Div 9 forecast'!$AN$10:$AN$534)</f>
        <v>0</v>
      </c>
      <c r="K87" s="385"/>
      <c r="L87" s="305">
        <v>0</v>
      </c>
      <c r="M87" s="305"/>
      <c r="N87" s="305">
        <v>0</v>
      </c>
      <c r="O87" s="385"/>
      <c r="P87" s="305">
        <f t="shared" si="1"/>
        <v>0</v>
      </c>
      <c r="T87" s="877"/>
      <c r="U87" s="877"/>
    </row>
    <row r="88" spans="1:21" ht="15.75" customHeight="1">
      <c r="A88" s="213">
        <f t="shared" si="2"/>
        <v>69</v>
      </c>
      <c r="B88" s="877">
        <v>8780</v>
      </c>
      <c r="C88" s="56" t="s">
        <v>650</v>
      </c>
      <c r="D88" s="305">
        <f>'C.2.1 B'!D116</f>
        <v>1048204.1291761572</v>
      </c>
      <c r="E88" s="305"/>
      <c r="F88" s="305">
        <f>SUMIF('[13]Div 9 forecast'!$C$10:$C$534,$B88, '[13]Div 9 forecast'!$AL$10:$AL$534)</f>
        <v>37042.758421879815</v>
      </c>
      <c r="G88" s="339"/>
      <c r="H88" s="305">
        <f>SUMIF('[13]Div 9 forecast'!$C$10:$C$534,$B88, '[13]Div 9 forecast'!$AM$10:$AM$534)</f>
        <v>0</v>
      </c>
      <c r="I88" s="385"/>
      <c r="J88" s="305">
        <f>SUMIF('[13]Div 9 forecast'!$C$10:$C$534,$B88, '[13]Div 9 forecast'!$AN$10:$AN$534)</f>
        <v>0</v>
      </c>
      <c r="K88" s="385"/>
      <c r="L88" s="305">
        <v>0</v>
      </c>
      <c r="M88" s="385"/>
      <c r="N88" s="305">
        <v>0</v>
      </c>
      <c r="O88" s="385"/>
      <c r="P88" s="305">
        <f t="shared" si="1"/>
        <v>37042.758421879815</v>
      </c>
      <c r="T88" s="877"/>
    </row>
    <row r="89" spans="1:21" ht="15.75" customHeight="1">
      <c r="A89" s="213">
        <f t="shared" si="2"/>
        <v>70</v>
      </c>
      <c r="B89" s="877">
        <v>8790</v>
      </c>
      <c r="C89" s="56" t="s">
        <v>651</v>
      </c>
      <c r="D89" s="305">
        <f>'C.2.1 B'!D117</f>
        <v>0</v>
      </c>
      <c r="E89" s="305"/>
      <c r="F89" s="305">
        <f>SUMIF('[13]Div 9 forecast'!$C$10:$C$534,$B89, '[13]Div 9 forecast'!$AL$10:$AL$534)</f>
        <v>0</v>
      </c>
      <c r="G89" s="339"/>
      <c r="H89" s="305">
        <f>SUMIF('[13]Div 9 forecast'!$C$10:$C$534,$B89, '[13]Div 9 forecast'!$AM$10:$AM$534)</f>
        <v>0</v>
      </c>
      <c r="I89" s="385"/>
      <c r="J89" s="305">
        <f>SUMIF('[13]Div 9 forecast'!$C$10:$C$534,$B89, '[13]Div 9 forecast'!$AN$10:$AN$534)</f>
        <v>0</v>
      </c>
      <c r="K89" s="305"/>
      <c r="L89" s="305">
        <v>0</v>
      </c>
      <c r="M89" s="385"/>
      <c r="N89" s="305">
        <v>0</v>
      </c>
      <c r="O89" s="385"/>
      <c r="P89" s="305">
        <f t="shared" si="1"/>
        <v>0</v>
      </c>
      <c r="T89" s="877"/>
    </row>
    <row r="90" spans="1:21" ht="15.75" customHeight="1">
      <c r="A90" s="213">
        <f t="shared" si="2"/>
        <v>71</v>
      </c>
      <c r="B90" s="877">
        <v>8800</v>
      </c>
      <c r="C90" s="56" t="s">
        <v>652</v>
      </c>
      <c r="D90" s="305">
        <f>'C.2.1 B'!D118</f>
        <v>1763.1729030686154</v>
      </c>
      <c r="E90" s="305"/>
      <c r="F90" s="305">
        <f>SUMIF('[13]Div 9 forecast'!$C$10:$C$534,$B90, '[13]Div 9 forecast'!$AL$10:$AL$534)</f>
        <v>0</v>
      </c>
      <c r="G90" s="339"/>
      <c r="H90" s="305">
        <f>SUMIF('[13]Div 9 forecast'!$C$10:$C$534,$B90, '[13]Div 9 forecast'!$AM$10:$AM$534)</f>
        <v>0</v>
      </c>
      <c r="I90" s="385"/>
      <c r="J90" s="305">
        <f>SUMIF('[13]Div 9 forecast'!$C$10:$C$534,$B90, '[13]Div 9 forecast'!$AN$10:$AN$534)</f>
        <v>0</v>
      </c>
      <c r="K90" s="305"/>
      <c r="L90" s="305">
        <v>0</v>
      </c>
      <c r="M90" s="385"/>
      <c r="N90" s="305">
        <v>0</v>
      </c>
      <c r="O90" s="385"/>
      <c r="P90" s="305">
        <f t="shared" si="1"/>
        <v>0</v>
      </c>
      <c r="T90" s="877"/>
    </row>
    <row r="91" spans="1:21" ht="15.75" customHeight="1">
      <c r="A91" s="213">
        <f t="shared" si="2"/>
        <v>72</v>
      </c>
      <c r="B91" s="877">
        <v>8810</v>
      </c>
      <c r="C91" s="56" t="s">
        <v>653</v>
      </c>
      <c r="D91" s="305">
        <f>'C.2.1 B'!D119</f>
        <v>360992.15024819155</v>
      </c>
      <c r="E91" s="305"/>
      <c r="F91" s="305">
        <f>SUMIF('[13]Div 9 forecast'!$C$10:$C$534,$B91, '[13]Div 9 forecast'!$AL$10:$AL$534)</f>
        <v>0</v>
      </c>
      <c r="G91" s="339"/>
      <c r="H91" s="305">
        <f>SUMIF('[13]Div 9 forecast'!$C$10:$C$534,$B91, '[13]Div 9 forecast'!$AM$10:$AM$534)</f>
        <v>0</v>
      </c>
      <c r="I91" s="385"/>
      <c r="J91" s="305">
        <f>SUMIF('[13]Div 9 forecast'!$C$10:$C$534,$B91, '[13]Div 9 forecast'!$AN$10:$AN$534)</f>
        <v>0</v>
      </c>
      <c r="K91" s="305"/>
      <c r="L91" s="305">
        <v>0</v>
      </c>
      <c r="M91" s="385"/>
      <c r="N91" s="305">
        <v>0</v>
      </c>
      <c r="O91" s="385"/>
      <c r="P91" s="305">
        <f t="shared" si="1"/>
        <v>0</v>
      </c>
      <c r="T91" s="877"/>
    </row>
    <row r="92" spans="1:21" ht="15.75" customHeight="1">
      <c r="A92" s="213">
        <f t="shared" si="2"/>
        <v>73</v>
      </c>
      <c r="B92" s="877">
        <v>8850</v>
      </c>
      <c r="C92" s="56" t="s">
        <v>737</v>
      </c>
      <c r="D92" s="305">
        <f>'C.2.1 B'!D123</f>
        <v>179.81142107718031</v>
      </c>
      <c r="E92" s="305"/>
      <c r="F92" s="305">
        <f>SUMIF('[13]Div 9 forecast'!$C$10:$C$534,$B92, '[13]Div 9 forecast'!$AL$10:$AL$534)</f>
        <v>0</v>
      </c>
      <c r="G92" s="339"/>
      <c r="H92" s="305">
        <f>SUMIF('[13]Div 9 forecast'!$C$10:$C$534,$B92, '[13]Div 9 forecast'!$AM$10:$AM$534)</f>
        <v>0</v>
      </c>
      <c r="I92" s="385"/>
      <c r="J92" s="305">
        <f>SUMIF('[13]Div 9 forecast'!$C$10:$C$534,$B92, '[13]Div 9 forecast'!$AN$10:$AN$534)</f>
        <v>0</v>
      </c>
      <c r="K92" s="305"/>
      <c r="L92" s="305">
        <v>0</v>
      </c>
      <c r="M92" s="385"/>
      <c r="N92" s="305">
        <v>0</v>
      </c>
      <c r="O92" s="385"/>
      <c r="P92" s="305">
        <f t="shared" si="1"/>
        <v>0</v>
      </c>
      <c r="T92" s="877"/>
    </row>
    <row r="93" spans="1:21" ht="15.75" customHeight="1">
      <c r="A93" s="213">
        <f t="shared" si="2"/>
        <v>74</v>
      </c>
      <c r="B93" s="877">
        <v>8860</v>
      </c>
      <c r="C93" s="56" t="s">
        <v>767</v>
      </c>
      <c r="D93" s="305">
        <f>'C.2.1 B'!D124</f>
        <v>0</v>
      </c>
      <c r="E93" s="305"/>
      <c r="F93" s="305">
        <f>SUMIF('[13]Div 9 forecast'!$C$10:$C$534,$B93, '[13]Div 9 forecast'!$AL$10:$AL$534)</f>
        <v>0</v>
      </c>
      <c r="G93" s="339"/>
      <c r="H93" s="305">
        <f>SUMIF('[13]Div 9 forecast'!$C$10:$C$534,$B93, '[13]Div 9 forecast'!$AM$10:$AM$534)</f>
        <v>0</v>
      </c>
      <c r="I93" s="385"/>
      <c r="J93" s="305">
        <f>SUMIF('[13]Div 9 forecast'!$C$10:$C$534,$B93, '[13]Div 9 forecast'!$AN$10:$AN$534)</f>
        <v>0</v>
      </c>
      <c r="K93" s="305"/>
      <c r="L93" s="305">
        <v>0</v>
      </c>
      <c r="M93" s="385"/>
      <c r="N93" s="305">
        <v>0</v>
      </c>
      <c r="O93" s="385"/>
      <c r="P93" s="305">
        <f t="shared" si="1"/>
        <v>0</v>
      </c>
      <c r="T93" s="877"/>
    </row>
    <row r="94" spans="1:21" ht="15.75" customHeight="1">
      <c r="A94" s="213"/>
      <c r="B94" s="247"/>
      <c r="D94" s="78"/>
      <c r="E94" s="78"/>
      <c r="F94" s="78"/>
      <c r="G94" s="88"/>
      <c r="H94" s="78"/>
      <c r="I94" s="878"/>
      <c r="J94" s="78"/>
      <c r="K94" s="78"/>
      <c r="L94" s="78"/>
      <c r="M94" s="878"/>
      <c r="N94" s="78"/>
      <c r="O94" s="878"/>
      <c r="P94" s="78"/>
    </row>
    <row r="95" spans="1:21" ht="15.75" customHeight="1">
      <c r="D95" s="88"/>
      <c r="E95" s="88"/>
      <c r="F95" s="88"/>
      <c r="G95" s="88"/>
      <c r="H95" s="688" t="s">
        <v>217</v>
      </c>
      <c r="I95" s="88"/>
      <c r="J95" s="88"/>
      <c r="K95" s="88"/>
      <c r="L95" s="88"/>
      <c r="M95" s="88"/>
      <c r="N95" s="88"/>
      <c r="O95" s="88"/>
      <c r="P95" s="688" t="s">
        <v>1074</v>
      </c>
    </row>
    <row r="96" spans="1:21" ht="15.75" customHeight="1">
      <c r="A96" s="213" t="s">
        <v>92</v>
      </c>
      <c r="B96" s="247" t="s">
        <v>1259</v>
      </c>
      <c r="D96" s="688" t="s">
        <v>43</v>
      </c>
      <c r="E96" s="88"/>
      <c r="F96" s="873" t="s">
        <v>1073</v>
      </c>
      <c r="G96" s="876"/>
      <c r="H96" s="873" t="s">
        <v>1073</v>
      </c>
      <c r="I96" s="874"/>
      <c r="J96" s="873" t="s">
        <v>1073</v>
      </c>
      <c r="K96" s="874"/>
      <c r="L96" s="873" t="s">
        <v>1073</v>
      </c>
      <c r="M96" s="874"/>
      <c r="N96" s="873" t="s">
        <v>1073</v>
      </c>
      <c r="O96" s="874"/>
      <c r="P96" s="688" t="s">
        <v>95</v>
      </c>
    </row>
    <row r="97" spans="1:21" ht="15.75" customHeight="1">
      <c r="A97" s="875" t="s">
        <v>98</v>
      </c>
      <c r="B97" s="248" t="s">
        <v>218</v>
      </c>
      <c r="C97" s="212"/>
      <c r="D97" s="794" t="s">
        <v>533</v>
      </c>
      <c r="E97" s="519"/>
      <c r="F97" s="794" t="s">
        <v>601</v>
      </c>
      <c r="G97" s="790" t="s">
        <v>321</v>
      </c>
      <c r="H97" s="794" t="s">
        <v>460</v>
      </c>
      <c r="I97" s="790" t="s">
        <v>321</v>
      </c>
      <c r="J97" s="794" t="s">
        <v>461</v>
      </c>
      <c r="K97" s="790" t="s">
        <v>321</v>
      </c>
      <c r="L97" s="794" t="s">
        <v>462</v>
      </c>
      <c r="M97" s="790" t="s">
        <v>321</v>
      </c>
      <c r="N97" s="794" t="s">
        <v>463</v>
      </c>
      <c r="O97" s="790" t="s">
        <v>321</v>
      </c>
      <c r="P97" s="794" t="s">
        <v>467</v>
      </c>
    </row>
    <row r="98" spans="1:21" ht="15.75" customHeight="1"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1:21" ht="15.75" customHeight="1">
      <c r="A99" s="213">
        <f>A93+1</f>
        <v>75</v>
      </c>
      <c r="B99" s="877">
        <v>8870</v>
      </c>
      <c r="C99" s="247" t="s">
        <v>433</v>
      </c>
      <c r="D99" s="305">
        <f>'C.2.1 B'!D125</f>
        <v>17839.213183980395</v>
      </c>
      <c r="E99" s="305"/>
      <c r="F99" s="305">
        <f>SUMIF('[13]Div 9 forecast'!$C$10:$C$534,$B99, '[13]Div 9 forecast'!$AL$10:$AL$534)</f>
        <v>208.1317090375087</v>
      </c>
      <c r="G99" s="339"/>
      <c r="H99" s="305">
        <f>SUMIF('[13]Div 9 forecast'!$C$10:$C$534,$B99, '[13]Div 9 forecast'!$AM$10:$AM$534)</f>
        <v>0</v>
      </c>
      <c r="I99" s="385"/>
      <c r="J99" s="305">
        <f>SUMIF('[13]Div 9 forecast'!$C$10:$C$534,$B99, '[13]Div 9 forecast'!$AN$10:$AN$534)</f>
        <v>0</v>
      </c>
      <c r="K99" s="305"/>
      <c r="L99" s="305">
        <v>0</v>
      </c>
      <c r="M99" s="385"/>
      <c r="N99" s="305">
        <v>0</v>
      </c>
      <c r="O99" s="385"/>
      <c r="P99" s="305">
        <f t="shared" ref="P99:P132" si="3">SUM(F99:O99)</f>
        <v>208.1317090375087</v>
      </c>
      <c r="T99" s="879"/>
    </row>
    <row r="100" spans="1:21" ht="15.75" customHeight="1">
      <c r="A100" s="213">
        <f t="shared" ref="A100:A132" si="4">A99+1</f>
        <v>76</v>
      </c>
      <c r="B100" s="877">
        <v>8890</v>
      </c>
      <c r="C100" s="247" t="s">
        <v>1175</v>
      </c>
      <c r="D100" s="305">
        <f>'C.2.1 B'!D126</f>
        <v>60064.995009882761</v>
      </c>
      <c r="E100" s="305"/>
      <c r="F100" s="305">
        <f>SUMIF('[13]Div 9 forecast'!$C$10:$C$534,$B100, '[13]Div 9 forecast'!$AL$10:$AL$534)</f>
        <v>0</v>
      </c>
      <c r="G100" s="339"/>
      <c r="H100" s="305">
        <f>SUMIF('[13]Div 9 forecast'!$C$10:$C$534,$B100, '[13]Div 9 forecast'!$AM$10:$AM$534)</f>
        <v>0</v>
      </c>
      <c r="I100" s="385"/>
      <c r="J100" s="305">
        <f>SUMIF('[13]Div 9 forecast'!$C$10:$C$534,$B100, '[13]Div 9 forecast'!$AN$10:$AN$534)</f>
        <v>0</v>
      </c>
      <c r="K100" s="305"/>
      <c r="L100" s="305">
        <v>0</v>
      </c>
      <c r="M100" s="385"/>
      <c r="N100" s="305">
        <v>0</v>
      </c>
      <c r="O100" s="385"/>
      <c r="P100" s="305">
        <f t="shared" si="3"/>
        <v>0</v>
      </c>
      <c r="T100" s="877"/>
    </row>
    <row r="101" spans="1:21" ht="15.75" customHeight="1">
      <c r="A101" s="213">
        <f t="shared" si="4"/>
        <v>77</v>
      </c>
      <c r="B101" s="877">
        <v>8900</v>
      </c>
      <c r="C101" s="247" t="s">
        <v>1006</v>
      </c>
      <c r="D101" s="305">
        <f>'C.2.1 B'!D127</f>
        <v>0</v>
      </c>
      <c r="E101" s="305"/>
      <c r="F101" s="305">
        <f>SUMIF('[13]Div 9 forecast'!$C$10:$C$534,$B101, '[13]Div 9 forecast'!$AL$10:$AL$534)</f>
        <v>0</v>
      </c>
      <c r="G101" s="339"/>
      <c r="H101" s="305">
        <f>SUMIF('[13]Div 9 forecast'!$C$10:$C$534,$B101, '[13]Div 9 forecast'!$AM$10:$AM$534)</f>
        <v>0</v>
      </c>
      <c r="I101" s="385"/>
      <c r="J101" s="305">
        <f>SUMIF('[13]Div 9 forecast'!$C$10:$C$534,$B101, '[13]Div 9 forecast'!$AN$10:$AN$534)</f>
        <v>0</v>
      </c>
      <c r="K101" s="305"/>
      <c r="L101" s="305">
        <v>0</v>
      </c>
      <c r="M101" s="385"/>
      <c r="N101" s="305">
        <v>0</v>
      </c>
      <c r="O101" s="385"/>
      <c r="P101" s="305">
        <f t="shared" si="3"/>
        <v>0</v>
      </c>
      <c r="T101" s="877"/>
    </row>
    <row r="102" spans="1:21" ht="15.75" customHeight="1">
      <c r="A102" s="213">
        <f t="shared" si="4"/>
        <v>78</v>
      </c>
      <c r="B102" s="877">
        <v>8910</v>
      </c>
      <c r="C102" s="247" t="s">
        <v>1007</v>
      </c>
      <c r="D102" s="305">
        <f>'C.2.1 B'!D128</f>
        <v>2086.6285678884633</v>
      </c>
      <c r="E102" s="305"/>
      <c r="F102" s="305">
        <f>SUMIF('[13]Div 9 forecast'!$C$10:$C$534,$B102, '[13]Div 9 forecast'!$AL$10:$AL$534)</f>
        <v>77.845661028356403</v>
      </c>
      <c r="G102" s="339"/>
      <c r="H102" s="305">
        <f>SUMIF('[13]Div 9 forecast'!$C$10:$C$534,$B102, '[13]Div 9 forecast'!$AM$10:$AM$534)</f>
        <v>0</v>
      </c>
      <c r="I102" s="385"/>
      <c r="J102" s="305">
        <f>SUMIF('[13]Div 9 forecast'!$C$10:$C$534,$B102, '[13]Div 9 forecast'!$AN$10:$AN$534)</f>
        <v>0</v>
      </c>
      <c r="K102" s="305"/>
      <c r="L102" s="305">
        <v>0</v>
      </c>
      <c r="M102" s="385"/>
      <c r="N102" s="305">
        <v>0</v>
      </c>
      <c r="O102" s="385"/>
      <c r="P102" s="305">
        <f t="shared" si="3"/>
        <v>77.845661028356403</v>
      </c>
      <c r="T102" s="877"/>
    </row>
    <row r="103" spans="1:21" ht="15.75" customHeight="1">
      <c r="A103" s="213">
        <f t="shared" si="4"/>
        <v>79</v>
      </c>
      <c r="B103" s="877">
        <v>8920</v>
      </c>
      <c r="C103" s="247" t="s">
        <v>1008</v>
      </c>
      <c r="D103" s="305">
        <f>'C.2.1 B'!D129</f>
        <v>1242.4432562449874</v>
      </c>
      <c r="E103" s="305"/>
      <c r="F103" s="305">
        <f>SUMIF('[13]Div 9 forecast'!$C$10:$C$534,$B103, '[13]Div 9 forecast'!$AL$10:$AL$534)</f>
        <v>44.202963085217732</v>
      </c>
      <c r="G103" s="339"/>
      <c r="H103" s="305">
        <f>SUMIF('[13]Div 9 forecast'!$C$10:$C$534,$B103, '[13]Div 9 forecast'!$AM$10:$AM$534)</f>
        <v>0</v>
      </c>
      <c r="I103" s="385"/>
      <c r="J103" s="305">
        <f>SUMIF('[13]Div 9 forecast'!$C$10:$C$534,$B103, '[13]Div 9 forecast'!$AN$10:$AN$534)</f>
        <v>0</v>
      </c>
      <c r="K103" s="305"/>
      <c r="L103" s="305">
        <v>0</v>
      </c>
      <c r="M103" s="385"/>
      <c r="N103" s="305">
        <v>0</v>
      </c>
      <c r="O103" s="385"/>
      <c r="P103" s="305">
        <f t="shared" si="3"/>
        <v>44.202963085217732</v>
      </c>
      <c r="T103" s="877"/>
    </row>
    <row r="104" spans="1:21" ht="15.75" customHeight="1">
      <c r="A104" s="213">
        <f t="shared" si="4"/>
        <v>80</v>
      </c>
      <c r="B104" s="877">
        <v>8930</v>
      </c>
      <c r="C104" s="247" t="s">
        <v>1009</v>
      </c>
      <c r="D104" s="305">
        <f>'C.2.1 B'!D130</f>
        <v>8086.7084515030847</v>
      </c>
      <c r="E104" s="305"/>
      <c r="F104" s="305">
        <f>SUMIF('[13]Div 9 forecast'!$C$10:$C$534,$B104, '[13]Div 9 forecast'!$AL$10:$AL$534)</f>
        <v>0</v>
      </c>
      <c r="G104" s="339"/>
      <c r="H104" s="305">
        <f>SUMIF('[13]Div 9 forecast'!$C$10:$C$534,$B104, '[13]Div 9 forecast'!$AM$10:$AM$534)</f>
        <v>0</v>
      </c>
      <c r="I104" s="385"/>
      <c r="J104" s="305">
        <f>SUMIF('[13]Div 9 forecast'!$C$10:$C$534,$B104, '[13]Div 9 forecast'!$AN$10:$AN$534)</f>
        <v>0</v>
      </c>
      <c r="K104" s="305"/>
      <c r="L104" s="305">
        <v>0</v>
      </c>
      <c r="M104" s="385"/>
      <c r="N104" s="305">
        <v>0</v>
      </c>
      <c r="O104" s="385"/>
      <c r="P104" s="305">
        <f t="shared" si="3"/>
        <v>0</v>
      </c>
      <c r="T104" s="877"/>
    </row>
    <row r="105" spans="1:21" ht="15.75" customHeight="1">
      <c r="A105" s="213">
        <f t="shared" si="4"/>
        <v>81</v>
      </c>
      <c r="B105" s="877">
        <v>8940</v>
      </c>
      <c r="C105" s="247" t="s">
        <v>116</v>
      </c>
      <c r="D105" s="305">
        <f>'C.2.1 B'!D131</f>
        <v>913.01473427814244</v>
      </c>
      <c r="E105" s="305"/>
      <c r="F105" s="305">
        <f>SUMIF('[13]Div 9 forecast'!$C$10:$C$534,$B105, '[13]Div 9 forecast'!$AL$10:$AL$534)</f>
        <v>0</v>
      </c>
      <c r="G105" s="339"/>
      <c r="H105" s="305">
        <f>SUMIF('[13]Div 9 forecast'!$C$10:$C$534,$B105, '[13]Div 9 forecast'!$AM$10:$AM$534)</f>
        <v>0</v>
      </c>
      <c r="I105" s="385"/>
      <c r="J105" s="305">
        <f>SUMIF('[13]Div 9 forecast'!$C$10:$C$534,$B105, '[13]Div 9 forecast'!$AN$10:$AN$534)</f>
        <v>0</v>
      </c>
      <c r="K105" s="305"/>
      <c r="L105" s="305">
        <v>0</v>
      </c>
      <c r="M105" s="305"/>
      <c r="N105" s="305">
        <v>0</v>
      </c>
      <c r="O105" s="385"/>
      <c r="P105" s="305">
        <f t="shared" si="3"/>
        <v>0</v>
      </c>
      <c r="T105" s="877"/>
    </row>
    <row r="106" spans="1:21" ht="15.75" customHeight="1">
      <c r="A106" s="213">
        <f t="shared" si="4"/>
        <v>82</v>
      </c>
      <c r="B106" s="877">
        <v>8950</v>
      </c>
      <c r="C106" s="247" t="s">
        <v>233</v>
      </c>
      <c r="D106" s="305">
        <f>'C.2.1 B'!D132</f>
        <v>0</v>
      </c>
      <c r="E106" s="305"/>
      <c r="F106" s="305">
        <f>SUMIF('[13]Div 9 forecast'!$C$10:$C$534,$B106, '[13]Div 9 forecast'!$AL$10:$AL$534)</f>
        <v>0</v>
      </c>
      <c r="G106" s="339"/>
      <c r="H106" s="305">
        <f>SUMIF('[13]Div 9 forecast'!$C$10:$C$534,$B106, '[13]Div 9 forecast'!$AM$10:$AM$534)</f>
        <v>0</v>
      </c>
      <c r="I106" s="385"/>
      <c r="J106" s="305">
        <f>SUMIF('[13]Div 9 forecast'!$C$10:$C$534,$B106, '[13]Div 9 forecast'!$AN$10:$AN$534)</f>
        <v>0</v>
      </c>
      <c r="K106" s="305"/>
      <c r="L106" s="305">
        <v>0</v>
      </c>
      <c r="M106" s="305"/>
      <c r="N106" s="305">
        <v>0</v>
      </c>
      <c r="O106" s="385"/>
      <c r="P106" s="305">
        <f t="shared" si="3"/>
        <v>0</v>
      </c>
      <c r="T106" s="877"/>
    </row>
    <row r="107" spans="1:21" ht="15.75" customHeight="1">
      <c r="A107" s="213">
        <f t="shared" si="4"/>
        <v>83</v>
      </c>
      <c r="B107" s="877">
        <v>9010</v>
      </c>
      <c r="C107" s="247" t="s">
        <v>117</v>
      </c>
      <c r="D107" s="305">
        <f>'C.2.1 B'!D136</f>
        <v>0</v>
      </c>
      <c r="E107" s="305"/>
      <c r="F107" s="305">
        <f>SUMIF('[13]Div 9 forecast'!$C$10:$C$534,$B107, '[13]Div 9 forecast'!$AL$10:$AL$534)</f>
        <v>0</v>
      </c>
      <c r="G107" s="339"/>
      <c r="H107" s="305">
        <f>SUMIF('[13]Div 9 forecast'!$C$10:$C$534,$B107, '[13]Div 9 forecast'!$AM$10:$AM$534)</f>
        <v>0</v>
      </c>
      <c r="I107" s="385"/>
      <c r="J107" s="305">
        <f>SUMIF('[13]Div 9 forecast'!$C$10:$C$534,$B107, '[13]Div 9 forecast'!$AN$10:$AN$534)</f>
        <v>0</v>
      </c>
      <c r="K107" s="305"/>
      <c r="L107" s="305">
        <v>0</v>
      </c>
      <c r="M107" s="305"/>
      <c r="N107" s="305">
        <v>0</v>
      </c>
      <c r="O107" s="385"/>
      <c r="P107" s="305">
        <f t="shared" si="3"/>
        <v>0</v>
      </c>
      <c r="T107" s="877"/>
    </row>
    <row r="108" spans="1:21" ht="15.75" customHeight="1">
      <c r="A108" s="213">
        <f t="shared" si="4"/>
        <v>84</v>
      </c>
      <c r="B108" s="877">
        <v>9020</v>
      </c>
      <c r="C108" s="247" t="s">
        <v>118</v>
      </c>
      <c r="D108" s="305">
        <f>'C.2.1 B'!D137</f>
        <v>905449.44301402231</v>
      </c>
      <c r="E108" s="305"/>
      <c r="F108" s="305">
        <f>SUMIF('[13]Div 9 forecast'!$C$10:$C$534,$B108, '[13]Div 9 forecast'!$AL$10:$AL$534)</f>
        <v>22655.29630427681</v>
      </c>
      <c r="G108" s="339"/>
      <c r="H108" s="305">
        <f>SUMIF('[13]Div 9 forecast'!$C$10:$C$534,$B108, '[13]Div 9 forecast'!$AM$10:$AM$534)</f>
        <v>0</v>
      </c>
      <c r="I108" s="385"/>
      <c r="J108" s="305">
        <f>SUMIF('[13]Div 9 forecast'!$C$10:$C$534,$B108, '[13]Div 9 forecast'!$AN$10:$AN$534)</f>
        <v>0</v>
      </c>
      <c r="K108" s="305"/>
      <c r="L108" s="305">
        <v>0</v>
      </c>
      <c r="M108" s="305"/>
      <c r="N108" s="305">
        <v>0</v>
      </c>
      <c r="O108" s="385"/>
      <c r="P108" s="305">
        <f t="shared" si="3"/>
        <v>22655.29630427681</v>
      </c>
      <c r="T108" s="877"/>
      <c r="U108" s="877"/>
    </row>
    <row r="109" spans="1:21" ht="15.75" customHeight="1">
      <c r="A109" s="213">
        <f t="shared" si="4"/>
        <v>85</v>
      </c>
      <c r="B109" s="877">
        <v>9030</v>
      </c>
      <c r="C109" s="247" t="s">
        <v>119</v>
      </c>
      <c r="D109" s="305">
        <f>'C.2.1 B'!D138</f>
        <v>1103205.2549799869</v>
      </c>
      <c r="E109" s="305"/>
      <c r="F109" s="305">
        <f>SUMIF('[13]Div 9 forecast'!$C$10:$C$534,$B109, '[13]Div 9 forecast'!$AL$10:$AL$534)</f>
        <v>4744.8997372574904</v>
      </c>
      <c r="G109" s="339"/>
      <c r="H109" s="305">
        <f>SUMIF('[13]Div 9 forecast'!$C$10:$C$534,$B109, '[13]Div 9 forecast'!$AM$10:$AM$534)</f>
        <v>0</v>
      </c>
      <c r="I109" s="385"/>
      <c r="J109" s="305">
        <f>SUMIF('[13]Div 9 forecast'!$C$10:$C$534,$B109, '[13]Div 9 forecast'!$AN$10:$AN$534)</f>
        <v>0</v>
      </c>
      <c r="K109" s="305"/>
      <c r="L109" s="305">
        <v>0</v>
      </c>
      <c r="M109" s="305"/>
      <c r="N109" s="305">
        <v>0</v>
      </c>
      <c r="O109" s="385"/>
      <c r="P109" s="305">
        <f t="shared" si="3"/>
        <v>4744.8997372574904</v>
      </c>
      <c r="T109" s="877"/>
    </row>
    <row r="110" spans="1:21" ht="15.75" customHeight="1">
      <c r="A110" s="213">
        <f t="shared" si="4"/>
        <v>86</v>
      </c>
      <c r="B110" s="877">
        <v>9040</v>
      </c>
      <c r="C110" s="247" t="s">
        <v>120</v>
      </c>
      <c r="D110" s="305">
        <f>'C.2.1 B'!D139</f>
        <v>880036.46</v>
      </c>
      <c r="E110" s="305"/>
      <c r="F110" s="305">
        <f>SUMIF('[13]Div 9 forecast'!$C$10:$C$534,$B110, '[13]Div 9 forecast'!$AL$10:$AL$534)</f>
        <v>0</v>
      </c>
      <c r="G110" s="339"/>
      <c r="H110" s="305">
        <f>SUMIF('[13]Div 9 forecast'!$C$10:$C$534,$B110, '[13]Div 9 forecast'!$AM$10:$AM$534)</f>
        <v>0</v>
      </c>
      <c r="I110" s="385"/>
      <c r="J110" s="305">
        <f>SUMIF('[13]Div 9 forecast'!$C$10:$C$534,$B110, '[13]Div 9 forecast'!$AN$10:$AN$534)</f>
        <v>0</v>
      </c>
      <c r="K110" s="305"/>
      <c r="L110" s="305">
        <f>'[13]Div 9 forecast'!$AO$356</f>
        <v>0</v>
      </c>
      <c r="M110" s="305"/>
      <c r="N110" s="305">
        <v>0</v>
      </c>
      <c r="O110" s="385"/>
      <c r="P110" s="305">
        <f t="shared" si="3"/>
        <v>0</v>
      </c>
      <c r="T110" s="877"/>
    </row>
    <row r="111" spans="1:21" ht="15.75" customHeight="1">
      <c r="A111" s="213">
        <f t="shared" si="4"/>
        <v>87</v>
      </c>
      <c r="B111" s="877">
        <v>9070</v>
      </c>
      <c r="C111" s="247" t="s">
        <v>29</v>
      </c>
      <c r="D111" s="305">
        <f>'C.2.1 B'!D143</f>
        <v>0</v>
      </c>
      <c r="E111" s="305"/>
      <c r="F111" s="305">
        <f>SUMIF('[13]Div 9 forecast'!$C$10:$C$534,$B111, '[13]Div 9 forecast'!$AL$10:$AL$534)</f>
        <v>0</v>
      </c>
      <c r="G111" s="339"/>
      <c r="H111" s="305">
        <f>SUMIF('[13]Div 9 forecast'!$C$10:$C$534,$B111, '[13]Div 9 forecast'!$AM$10:$AM$534)</f>
        <v>0</v>
      </c>
      <c r="I111" s="385"/>
      <c r="J111" s="305">
        <f>SUMIF('[13]Div 9 forecast'!$C$10:$C$534,$B111, '[13]Div 9 forecast'!$AN$10:$AN$534)</f>
        <v>0</v>
      </c>
      <c r="K111" s="305"/>
      <c r="L111" s="305">
        <v>0</v>
      </c>
      <c r="M111" s="305"/>
      <c r="N111" s="305">
        <v>0</v>
      </c>
      <c r="O111" s="385"/>
      <c r="P111" s="305">
        <f t="shared" si="3"/>
        <v>0</v>
      </c>
      <c r="T111" s="877"/>
    </row>
    <row r="112" spans="1:21" ht="15.75" customHeight="1">
      <c r="A112" s="213">
        <f t="shared" si="4"/>
        <v>88</v>
      </c>
      <c r="B112" s="877">
        <v>9080</v>
      </c>
      <c r="C112" s="247" t="s">
        <v>30</v>
      </c>
      <c r="D112" s="305">
        <f>'C.2.1 B'!D144</f>
        <v>0</v>
      </c>
      <c r="E112" s="305"/>
      <c r="F112" s="305">
        <f>SUMIF('[13]Div 9 forecast'!$C$10:$C$534,$B112, '[13]Div 9 forecast'!$AL$10:$AL$534)</f>
        <v>0</v>
      </c>
      <c r="G112" s="339"/>
      <c r="H112" s="305">
        <f>SUMIF('[13]Div 9 forecast'!$C$10:$C$534,$B112, '[13]Div 9 forecast'!$AM$10:$AM$534)</f>
        <v>0</v>
      </c>
      <c r="I112" s="385"/>
      <c r="J112" s="305">
        <f>SUMIF('[13]Div 9 forecast'!$C$10:$C$534,$B112, '[13]Div 9 forecast'!$AN$10:$AN$534)</f>
        <v>0</v>
      </c>
      <c r="K112" s="305"/>
      <c r="L112" s="305">
        <v>0</v>
      </c>
      <c r="M112" s="305"/>
      <c r="N112" s="305">
        <v>0</v>
      </c>
      <c r="O112" s="385"/>
      <c r="P112" s="305">
        <f t="shared" si="3"/>
        <v>0</v>
      </c>
      <c r="T112" s="877"/>
    </row>
    <row r="113" spans="1:20" ht="15.75" customHeight="1">
      <c r="A113" s="213">
        <f t="shared" si="4"/>
        <v>89</v>
      </c>
      <c r="B113" s="877">
        <v>9090</v>
      </c>
      <c r="C113" s="247" t="s">
        <v>121</v>
      </c>
      <c r="D113" s="305">
        <f>'C.2.1 B'!D145</f>
        <v>170409.79010111588</v>
      </c>
      <c r="E113" s="305"/>
      <c r="F113" s="305">
        <f>SUMIF('[13]Div 9 forecast'!$C$10:$C$534,$B113, '[13]Div 9 forecast'!$AL$10:$AL$534)</f>
        <v>4605.3183138319846</v>
      </c>
      <c r="G113" s="339"/>
      <c r="H113" s="305">
        <f>SUMIF('[13]Div 9 forecast'!$C$10:$C$534,$B113, '[13]Div 9 forecast'!$AM$10:$AM$534)</f>
        <v>0</v>
      </c>
      <c r="I113" s="385"/>
      <c r="J113" s="305">
        <f>SUMIF('[13]Div 9 forecast'!$C$10:$C$534,$B113, '[13]Div 9 forecast'!$AN$10:$AN$534)</f>
        <v>0</v>
      </c>
      <c r="K113" s="305"/>
      <c r="L113" s="305">
        <v>0</v>
      </c>
      <c r="M113" s="305"/>
      <c r="N113" s="305">
        <v>0</v>
      </c>
      <c r="O113" s="385"/>
      <c r="P113" s="305">
        <f t="shared" si="3"/>
        <v>4605.3183138319846</v>
      </c>
      <c r="T113" s="877"/>
    </row>
    <row r="114" spans="1:20" ht="15.75" customHeight="1">
      <c r="A114" s="213">
        <f t="shared" si="4"/>
        <v>90</v>
      </c>
      <c r="B114" s="877">
        <v>9100</v>
      </c>
      <c r="C114" s="247" t="s">
        <v>122</v>
      </c>
      <c r="D114" s="305">
        <f>'C.2.1 B'!D146</f>
        <v>116.20216219769976</v>
      </c>
      <c r="E114" s="305"/>
      <c r="F114" s="305">
        <f>SUMIF('[13]Div 9 forecast'!$C$10:$C$534,$B114, '[13]Div 9 forecast'!$AL$10:$AL$534)</f>
        <v>0</v>
      </c>
      <c r="G114" s="339"/>
      <c r="H114" s="305">
        <f>SUMIF('[13]Div 9 forecast'!$C$10:$C$534,$B114, '[13]Div 9 forecast'!$AM$10:$AM$534)</f>
        <v>0</v>
      </c>
      <c r="I114" s="385"/>
      <c r="J114" s="305">
        <f>SUMIF('[13]Div 9 forecast'!$C$10:$C$534,$B114, '[13]Div 9 forecast'!$AN$10:$AN$534)</f>
        <v>0</v>
      </c>
      <c r="K114" s="305"/>
      <c r="L114" s="305">
        <v>0</v>
      </c>
      <c r="M114" s="305"/>
      <c r="N114" s="305">
        <v>0</v>
      </c>
      <c r="O114" s="385"/>
      <c r="P114" s="305">
        <f t="shared" si="3"/>
        <v>0</v>
      </c>
      <c r="T114" s="877"/>
    </row>
    <row r="115" spans="1:20" ht="15.75" customHeight="1">
      <c r="A115" s="213">
        <f t="shared" si="4"/>
        <v>91</v>
      </c>
      <c r="B115" s="879">
        <v>9110</v>
      </c>
      <c r="C115" s="880" t="s">
        <v>224</v>
      </c>
      <c r="D115" s="305">
        <f>'C.2.1 B'!D150</f>
        <v>217036.03087186429</v>
      </c>
      <c r="E115" s="305"/>
      <c r="F115" s="305">
        <f>SUMIF('[13]Div 9 forecast'!$C$10:$C$534,$B115, '[13]Div 9 forecast'!$AL$10:$AL$534)</f>
        <v>4158.0839464989458</v>
      </c>
      <c r="G115" s="339"/>
      <c r="H115" s="305">
        <f>SUMIF('[13]Div 9 forecast'!$C$10:$C$534,$B115, '[13]Div 9 forecast'!$AM$10:$AM$534)</f>
        <v>0</v>
      </c>
      <c r="I115" s="385"/>
      <c r="J115" s="305">
        <f>SUMIF('[13]Div 9 forecast'!$C$10:$C$534,$B115, '[13]Div 9 forecast'!$AN$10:$AN$534)</f>
        <v>0</v>
      </c>
      <c r="K115" s="305"/>
      <c r="L115" s="305">
        <v>0</v>
      </c>
      <c r="M115" s="305"/>
      <c r="N115" s="305">
        <v>0</v>
      </c>
      <c r="O115" s="385"/>
      <c r="P115" s="305">
        <f t="shared" si="3"/>
        <v>4158.0839464989458</v>
      </c>
      <c r="T115" s="877"/>
    </row>
    <row r="116" spans="1:20" ht="15.75" customHeight="1">
      <c r="A116" s="213">
        <f t="shared" si="4"/>
        <v>92</v>
      </c>
      <c r="B116" s="879">
        <v>9120</v>
      </c>
      <c r="C116" s="880" t="s">
        <v>450</v>
      </c>
      <c r="D116" s="305">
        <f>'C.2.1 B'!D151</f>
        <v>58954.974529856161</v>
      </c>
      <c r="E116" s="305"/>
      <c r="F116" s="305">
        <f>SUMIF('[13]Div 9 forecast'!$C$10:$C$534,$B116, '[13]Div 9 forecast'!$AL$10:$AL$534)</f>
        <v>0</v>
      </c>
      <c r="G116" s="339"/>
      <c r="H116" s="305">
        <f>SUMIF('[13]Div 9 forecast'!$C$10:$C$534,$B116, '[13]Div 9 forecast'!$AM$10:$AM$534)</f>
        <v>0</v>
      </c>
      <c r="I116" s="385"/>
      <c r="J116" s="305">
        <f>SUMIF('[13]Div 9 forecast'!$C$10:$C$534,$B116, '[13]Div 9 forecast'!$AN$10:$AN$534)</f>
        <v>0</v>
      </c>
      <c r="K116" s="305"/>
      <c r="L116" s="305">
        <v>0</v>
      </c>
      <c r="M116" s="305"/>
      <c r="N116" s="305">
        <v>0</v>
      </c>
      <c r="O116" s="385"/>
      <c r="P116" s="305">
        <f t="shared" si="3"/>
        <v>0</v>
      </c>
      <c r="T116" s="877"/>
    </row>
    <row r="117" spans="1:20" ht="15.75" customHeight="1">
      <c r="A117" s="213">
        <f t="shared" si="4"/>
        <v>93</v>
      </c>
      <c r="B117" s="879">
        <v>9130</v>
      </c>
      <c r="C117" s="880" t="s">
        <v>451</v>
      </c>
      <c r="D117" s="305">
        <f>'C.2.1 B'!D152</f>
        <v>47524.574822683928</v>
      </c>
      <c r="E117" s="305"/>
      <c r="F117" s="305">
        <f>SUMIF('[13]Div 9 forecast'!$C$10:$C$534,$B117, '[13]Div 9 forecast'!$AL$10:$AL$534)</f>
        <v>0</v>
      </c>
      <c r="G117" s="339"/>
      <c r="H117" s="305">
        <f>SUMIF('[13]Div 9 forecast'!$C$10:$C$534,$B117, '[13]Div 9 forecast'!$AM$10:$AM$534)</f>
        <v>0</v>
      </c>
      <c r="I117" s="385"/>
      <c r="J117" s="305">
        <f>SUMIF('[13]Div 9 forecast'!$C$10:$C$534,$B117, '[13]Div 9 forecast'!$AN$10:$AN$534)</f>
        <v>0</v>
      </c>
      <c r="K117" s="305"/>
      <c r="L117" s="305">
        <v>0</v>
      </c>
      <c r="M117" s="305"/>
      <c r="N117" s="305">
        <v>0</v>
      </c>
      <c r="O117" s="385"/>
      <c r="P117" s="305">
        <f t="shared" si="3"/>
        <v>0</v>
      </c>
      <c r="T117" s="877"/>
    </row>
    <row r="118" spans="1:20" ht="15.75" customHeight="1">
      <c r="A118" s="213">
        <f t="shared" si="4"/>
        <v>94</v>
      </c>
      <c r="B118" s="879">
        <v>9160</v>
      </c>
      <c r="C118" s="880" t="s">
        <v>225</v>
      </c>
      <c r="D118" s="305">
        <f>'C.2.1 B'!D153</f>
        <v>0</v>
      </c>
      <c r="E118" s="305"/>
      <c r="F118" s="305">
        <f>SUMIF('[13]Div 9 forecast'!$C$10:$C$534,$B118, '[13]Div 9 forecast'!$AL$10:$AL$534)</f>
        <v>0</v>
      </c>
      <c r="G118" s="339"/>
      <c r="H118" s="305">
        <f>SUMIF('[13]Div 9 forecast'!$C$10:$C$534,$B118, '[13]Div 9 forecast'!$AM$10:$AM$534)</f>
        <v>0</v>
      </c>
      <c r="I118" s="385"/>
      <c r="J118" s="305">
        <f>SUMIF('[13]Div 9 forecast'!$C$10:$C$534,$B118, '[13]Div 9 forecast'!$AN$10:$AN$534)</f>
        <v>0</v>
      </c>
      <c r="K118" s="305"/>
      <c r="L118" s="305">
        <v>0</v>
      </c>
      <c r="M118" s="305"/>
      <c r="N118" s="305">
        <v>0</v>
      </c>
      <c r="O118" s="385"/>
      <c r="P118" s="305">
        <f t="shared" si="3"/>
        <v>0</v>
      </c>
      <c r="T118" s="877"/>
    </row>
    <row r="119" spans="1:20" ht="15.75" customHeight="1">
      <c r="A119" s="213">
        <f t="shared" si="4"/>
        <v>95</v>
      </c>
      <c r="B119" s="879">
        <v>9200</v>
      </c>
      <c r="C119" s="880" t="s">
        <v>1256</v>
      </c>
      <c r="D119" s="305">
        <f>'C.2.1 B'!D157</f>
        <v>180273.90253351486</v>
      </c>
      <c r="E119" s="305"/>
      <c r="F119" s="305">
        <f>SUMIF('[13]Div 9 forecast'!$C$10:$C$534,$B119, '[13]Div 9 forecast'!$AL$10:$AL$534)</f>
        <v>6725.4619843933442</v>
      </c>
      <c r="G119" s="339"/>
      <c r="H119" s="305">
        <f>SUMIF('[13]Div 9 forecast'!$C$10:$C$534,$B119, '[13]Div 9 forecast'!$AM$10:$AM$534)</f>
        <v>0</v>
      </c>
      <c r="I119" s="385"/>
      <c r="J119" s="305">
        <f>SUMIF('[13]Div 9 forecast'!$C$10:$C$534,$B119, '[13]Div 9 forecast'!$AN$10:$AN$534)</f>
        <v>0</v>
      </c>
      <c r="K119" s="305"/>
      <c r="L119" s="305">
        <v>0</v>
      </c>
      <c r="M119" s="305"/>
      <c r="N119" s="305">
        <v>0</v>
      </c>
      <c r="O119" s="385"/>
      <c r="P119" s="305">
        <f>SUM(F119:O119)</f>
        <v>6725.4619843933442</v>
      </c>
      <c r="T119" s="877"/>
    </row>
    <row r="120" spans="1:20" ht="15.75" customHeight="1">
      <c r="A120" s="213">
        <f t="shared" si="4"/>
        <v>96</v>
      </c>
      <c r="B120" s="877">
        <v>9210</v>
      </c>
      <c r="C120" s="247" t="s">
        <v>226</v>
      </c>
      <c r="D120" s="305">
        <f>'C.2.1 B'!D158</f>
        <v>8473.4698661444381</v>
      </c>
      <c r="E120" s="305"/>
      <c r="F120" s="305">
        <f>SUMIF('[13]Div 9 forecast'!$C$10:$C$534,$B120, '[13]Div 9 forecast'!$AL$10:$AL$534)</f>
        <v>0</v>
      </c>
      <c r="G120" s="339"/>
      <c r="H120" s="305">
        <f>SUMIF('[13]Div 9 forecast'!$C$10:$C$534,$B120, '[13]Div 9 forecast'!$AM$10:$AM$534)</f>
        <v>0</v>
      </c>
      <c r="I120" s="385"/>
      <c r="J120" s="305">
        <f>SUMIF('[13]Div 9 forecast'!$C$10:$C$534,$B120, '[13]Div 9 forecast'!$AN$10:$AN$534)</f>
        <v>0</v>
      </c>
      <c r="K120" s="305"/>
      <c r="L120" s="305">
        <v>0</v>
      </c>
      <c r="M120" s="305"/>
      <c r="N120" s="305">
        <v>0</v>
      </c>
      <c r="O120" s="385"/>
      <c r="P120" s="305">
        <f>SUM(F120:O120)</f>
        <v>0</v>
      </c>
      <c r="T120" s="877"/>
    </row>
    <row r="121" spans="1:20" ht="15">
      <c r="A121" s="213">
        <f t="shared" si="4"/>
        <v>97</v>
      </c>
      <c r="B121" s="877">
        <v>9220</v>
      </c>
      <c r="C121" s="247" t="s">
        <v>211</v>
      </c>
      <c r="D121" s="305">
        <f>'C.2.1 B'!D159</f>
        <v>15178190.516582308</v>
      </c>
      <c r="E121" s="305"/>
      <c r="F121" s="305">
        <f>SUMIF('[13]Div 9 forecast'!$C$10:$C$534,$B121, '[13]Div 9 forecast'!$AL$10:$AL$534)</f>
        <v>0</v>
      </c>
      <c r="G121" s="339"/>
      <c r="H121" s="305">
        <f>SUMIF('[13]Div 9 forecast'!$C$10:$C$534,$B121, '[13]Div 9 forecast'!$AM$10:$AM$534)</f>
        <v>0</v>
      </c>
      <c r="I121" s="385"/>
      <c r="J121" s="305">
        <f>SUMIF('[13]Div 9 forecast'!$C$10:$C$534,$B121, '[13]Div 9 forecast'!$AN$10:$AN$534)</f>
        <v>0</v>
      </c>
      <c r="K121" s="305"/>
      <c r="L121" s="305">
        <v>0</v>
      </c>
      <c r="M121" s="305"/>
      <c r="N121" s="305">
        <f>'C.2.2-F 09'!P102-'C.2.2 B 09'!P102</f>
        <v>285482.28025033511</v>
      </c>
      <c r="O121" s="385"/>
      <c r="P121" s="305">
        <f t="shared" si="3"/>
        <v>285482.28025033511</v>
      </c>
      <c r="S121" s="305"/>
      <c r="T121" s="881"/>
    </row>
    <row r="122" spans="1:20" ht="15.75" customHeight="1">
      <c r="A122" s="213">
        <f t="shared" si="4"/>
        <v>98</v>
      </c>
      <c r="B122" s="877">
        <v>9230</v>
      </c>
      <c r="C122" s="247" t="s">
        <v>227</v>
      </c>
      <c r="D122" s="305">
        <f>'C.2.1 B'!D160</f>
        <v>257301.81802105528</v>
      </c>
      <c r="E122" s="305"/>
      <c r="F122" s="305">
        <f>SUMIF('[13]Div 9 forecast'!$C$10:$C$534,$B122, '[13]Div 9 forecast'!$AL$10:$AL$534)</f>
        <v>0</v>
      </c>
      <c r="G122" s="339"/>
      <c r="H122" s="305">
        <f>SUMIF('[13]Div 9 forecast'!$C$10:$C$534,$B122, '[13]Div 9 forecast'!$AM$10:$AM$534)</f>
        <v>0</v>
      </c>
      <c r="I122" s="385"/>
      <c r="J122" s="305">
        <f>SUMIF('[13]Div 9 forecast'!$C$10:$C$534,$B122, '[13]Div 9 forecast'!$AN$10:$AN$534)</f>
        <v>0</v>
      </c>
      <c r="K122" s="305"/>
      <c r="L122" s="305">
        <v>0</v>
      </c>
      <c r="M122" s="305"/>
      <c r="N122" s="305">
        <v>0</v>
      </c>
      <c r="O122" s="385"/>
      <c r="P122" s="305">
        <f t="shared" si="3"/>
        <v>0</v>
      </c>
      <c r="T122" s="877"/>
    </row>
    <row r="123" spans="1:20" ht="15.75" customHeight="1">
      <c r="A123" s="213">
        <f t="shared" si="4"/>
        <v>99</v>
      </c>
      <c r="B123" s="877">
        <v>9240</v>
      </c>
      <c r="C123" s="247" t="s">
        <v>452</v>
      </c>
      <c r="D123" s="305">
        <f>'C.2.1 B'!D161</f>
        <v>72573.430469133324</v>
      </c>
      <c r="E123" s="305"/>
      <c r="F123" s="305">
        <f>SUMIF('[13]Div 9 forecast'!$C$10:$C$534,$B123, '[13]Div 9 forecast'!$AL$10:$AL$534)</f>
        <v>0</v>
      </c>
      <c r="G123" s="339"/>
      <c r="H123" s="305">
        <f>SUMIF('[13]Div 9 forecast'!$C$10:$C$534,$B123, '[13]Div 9 forecast'!$AM$10:$AM$534)</f>
        <v>0</v>
      </c>
      <c r="I123" s="385"/>
      <c r="J123" s="305">
        <f>SUMIF('[13]Div 9 forecast'!$C$10:$C$534,$B123, '[13]Div 9 forecast'!$AN$10:$AN$534)</f>
        <v>0</v>
      </c>
      <c r="K123" s="305"/>
      <c r="L123" s="305">
        <v>0</v>
      </c>
      <c r="M123" s="305"/>
      <c r="N123" s="305">
        <v>0</v>
      </c>
      <c r="O123" s="385"/>
      <c r="P123" s="305">
        <f t="shared" si="3"/>
        <v>0</v>
      </c>
      <c r="T123" s="877"/>
    </row>
    <row r="124" spans="1:20" ht="15.75" customHeight="1">
      <c r="A124" s="213">
        <f t="shared" si="4"/>
        <v>100</v>
      </c>
      <c r="B124" s="877">
        <v>9250</v>
      </c>
      <c r="C124" s="247" t="s">
        <v>1050</v>
      </c>
      <c r="D124" s="305">
        <f>'C.2.1 B'!D162</f>
        <v>65994.044220792654</v>
      </c>
      <c r="E124" s="305"/>
      <c r="F124" s="305">
        <f>SUMIF('[13]Div 9 forecast'!$C$10:$C$534,$B124, '[13]Div 9 forecast'!$AL$10:$AL$534)</f>
        <v>0</v>
      </c>
      <c r="G124" s="339"/>
      <c r="H124" s="305">
        <f>SUMIF('[13]Div 9 forecast'!$C$10:$C$534,$B124, '[13]Div 9 forecast'!$AM$10:$AM$534)</f>
        <v>0</v>
      </c>
      <c r="I124" s="385"/>
      <c r="J124" s="305">
        <f>SUMIF('[13]Div 9 forecast'!$C$10:$C$534,$B124, '[13]Div 9 forecast'!$AN$10:$AN$534)</f>
        <v>0</v>
      </c>
      <c r="K124" s="305"/>
      <c r="L124" s="305">
        <v>0</v>
      </c>
      <c r="M124" s="305"/>
      <c r="N124" s="305">
        <v>0</v>
      </c>
      <c r="O124" s="385"/>
      <c r="P124" s="305">
        <f t="shared" si="3"/>
        <v>0</v>
      </c>
      <c r="T124" s="877"/>
    </row>
    <row r="125" spans="1:20" ht="15.75" customHeight="1">
      <c r="A125" s="213">
        <f t="shared" si="4"/>
        <v>101</v>
      </c>
      <c r="B125" s="877">
        <v>9260</v>
      </c>
      <c r="C125" s="247" t="s">
        <v>1051</v>
      </c>
      <c r="D125" s="305">
        <f>'C.2.1 B'!D163</f>
        <v>1904418.8557737505</v>
      </c>
      <c r="E125" s="305"/>
      <c r="F125" s="305">
        <f>SUMIF('[13]Div 9 forecast'!$C$10:$C$534,$B125, '[13]Div 9 forecast'!$AL$10:$AL$534)</f>
        <v>-110001.61828014033</v>
      </c>
      <c r="G125" s="339"/>
      <c r="H125" s="305">
        <f>SUMIF('[13]Div 9 forecast'!$C$10:$C$534,$B125, '[13]Div 9 forecast'!$AM$10:$AM$534)</f>
        <v>0</v>
      </c>
      <c r="I125" s="385"/>
      <c r="J125" s="305">
        <f>SUMIF('[13]Div 9 forecast'!$C$10:$C$534,$B125, '[13]Div 9 forecast'!$AN$10:$AN$534)</f>
        <v>0</v>
      </c>
      <c r="K125" s="305"/>
      <c r="L125" s="305">
        <v>0</v>
      </c>
      <c r="M125" s="305"/>
      <c r="N125" s="305">
        <v>0</v>
      </c>
      <c r="O125" s="385"/>
      <c r="P125" s="305">
        <f t="shared" si="3"/>
        <v>-110001.61828014033</v>
      </c>
      <c r="T125" s="877"/>
    </row>
    <row r="126" spans="1:20" ht="15.75" customHeight="1">
      <c r="A126" s="213">
        <f t="shared" si="4"/>
        <v>102</v>
      </c>
      <c r="B126" s="877">
        <v>9270</v>
      </c>
      <c r="C126" s="247" t="s">
        <v>1161</v>
      </c>
      <c r="D126" s="305">
        <f>'C.2.1 B'!D164</f>
        <v>1091.1456125372256</v>
      </c>
      <c r="E126" s="305"/>
      <c r="F126" s="305">
        <f>SUMIF('[13]Div 9 forecast'!$C$10:$C$534,$B126, '[13]Div 9 forecast'!$AL$10:$AL$534)</f>
        <v>0</v>
      </c>
      <c r="G126" s="339"/>
      <c r="H126" s="305">
        <f>SUMIF('[13]Div 9 forecast'!$C$10:$C$534,$B126, '[13]Div 9 forecast'!$AM$10:$AM$534)</f>
        <v>0</v>
      </c>
      <c r="I126" s="385"/>
      <c r="J126" s="305">
        <f>SUMIF('[13]Div 9 forecast'!$C$10:$C$534,$B126, '[13]Div 9 forecast'!$AN$10:$AN$534)</f>
        <v>0</v>
      </c>
      <c r="K126" s="305"/>
      <c r="L126" s="305">
        <v>0</v>
      </c>
      <c r="M126" s="305"/>
      <c r="N126" s="305">
        <v>0</v>
      </c>
      <c r="O126" s="385"/>
      <c r="P126" s="305">
        <f t="shared" si="3"/>
        <v>0</v>
      </c>
      <c r="T126" s="877"/>
    </row>
    <row r="127" spans="1:20" ht="15.75" customHeight="1">
      <c r="A127" s="213">
        <f t="shared" si="4"/>
        <v>103</v>
      </c>
      <c r="B127" s="877">
        <v>9280</v>
      </c>
      <c r="C127" s="247" t="s">
        <v>1162</v>
      </c>
      <c r="D127" s="305">
        <f>'C.2.1 B'!D165</f>
        <v>158729.09349454116</v>
      </c>
      <c r="E127" s="305"/>
      <c r="F127" s="305">
        <f>SUMIF('[13]Div 9 forecast'!$C$10:$C$534,$B127, '[13]Div 9 forecast'!$AL$10:$AL$534)</f>
        <v>0</v>
      </c>
      <c r="G127" s="339"/>
      <c r="H127" s="305">
        <f>SUMIF('[13]Div 9 forecast'!$C$10:$C$534,$B127, '[13]Div 9 forecast'!$AM$10:$AM$534)</f>
        <v>0</v>
      </c>
      <c r="I127" s="385"/>
      <c r="J127" s="305">
        <f>SUMIF('[13]Div 9 forecast'!$C$10:$C$534,$B127, '[13]Div 9 forecast'!$AN$10:$AN$534)</f>
        <v>0</v>
      </c>
      <c r="K127" s="305"/>
      <c r="L127" s="305">
        <v>0</v>
      </c>
      <c r="M127" s="305"/>
      <c r="N127" s="305">
        <v>0</v>
      </c>
      <c r="O127" s="385"/>
      <c r="P127" s="305">
        <f t="shared" si="3"/>
        <v>0</v>
      </c>
      <c r="T127" s="877"/>
    </row>
    <row r="128" spans="1:20" ht="15.75" customHeight="1">
      <c r="A128" s="213">
        <f t="shared" si="4"/>
        <v>104</v>
      </c>
      <c r="B128" s="877">
        <v>9290</v>
      </c>
      <c r="C128" s="247" t="s">
        <v>468</v>
      </c>
      <c r="D128" s="305">
        <v>0</v>
      </c>
      <c r="E128" s="305"/>
      <c r="F128" s="305">
        <f>SUMIF('[13]Div 9 forecast'!$C$10:$C$534,$B128, '[13]Div 9 forecast'!$AL$10:$AL$534)</f>
        <v>0</v>
      </c>
      <c r="G128" s="339"/>
      <c r="H128" s="305">
        <f>SUMIF('[13]Div 9 forecast'!$C$10:$C$534,$B128, '[13]Div 9 forecast'!$AM$10:$AM$534)</f>
        <v>0</v>
      </c>
      <c r="I128" s="385"/>
      <c r="J128" s="305">
        <f>SUMIF('[13]Div 9 forecast'!$C$10:$C$534,$B128, '[13]Div 9 forecast'!$AN$10:$AN$534)</f>
        <v>0</v>
      </c>
      <c r="K128" s="305"/>
      <c r="L128" s="305">
        <v>0</v>
      </c>
      <c r="M128" s="305"/>
      <c r="N128" s="305">
        <v>0</v>
      </c>
      <c r="O128" s="385"/>
      <c r="P128" s="305">
        <f t="shared" si="3"/>
        <v>0</v>
      </c>
      <c r="T128" s="877"/>
    </row>
    <row r="129" spans="1:20" ht="15.75" customHeight="1">
      <c r="A129" s="213">
        <f t="shared" si="4"/>
        <v>105</v>
      </c>
      <c r="B129" s="879">
        <v>9301</v>
      </c>
      <c r="C129" s="880" t="s">
        <v>1163</v>
      </c>
      <c r="D129" s="339">
        <v>0</v>
      </c>
      <c r="E129" s="305"/>
      <c r="F129" s="305">
        <f>SUMIF('[13]Div 9 forecast'!$C$10:$C$534,$B129, '[13]Div 9 forecast'!$AL$10:$AL$534)</f>
        <v>0</v>
      </c>
      <c r="G129" s="339"/>
      <c r="H129" s="305">
        <f>SUMIF('[13]Div 9 forecast'!$C$10:$C$534,$B129, '[13]Div 9 forecast'!$AM$10:$AM$534)</f>
        <v>0</v>
      </c>
      <c r="I129" s="385"/>
      <c r="J129" s="305">
        <f>SUMIF('[13]Div 9 forecast'!$C$10:$C$534,$B129, '[13]Div 9 forecast'!$AN$10:$AN$534)</f>
        <v>0</v>
      </c>
      <c r="K129" s="305"/>
      <c r="L129" s="305">
        <v>0</v>
      </c>
      <c r="M129" s="305"/>
      <c r="N129" s="305">
        <v>0</v>
      </c>
      <c r="O129" s="385"/>
      <c r="P129" s="305">
        <f t="shared" si="3"/>
        <v>0</v>
      </c>
      <c r="T129" s="877"/>
    </row>
    <row r="130" spans="1:20" ht="15.75" customHeight="1">
      <c r="A130" s="213">
        <f t="shared" si="4"/>
        <v>106</v>
      </c>
      <c r="B130" s="879">
        <v>9302</v>
      </c>
      <c r="C130" s="880" t="s">
        <v>1164</v>
      </c>
      <c r="D130" s="339">
        <f>'C.2.1 B'!D166</f>
        <v>95809.425457897407</v>
      </c>
      <c r="E130" s="305"/>
      <c r="F130" s="305">
        <f>SUMIF('[13]Div 9 forecast'!$C$10:$C$534,$B130, '[13]Div 9 forecast'!$AL$10:$AL$534)</f>
        <v>0</v>
      </c>
      <c r="G130" s="339"/>
      <c r="H130" s="305">
        <f>SUMIF('[13]Div 9 forecast'!$C$10:$C$534,$B130, '[13]Div 9 forecast'!$AM$10:$AM$534)</f>
        <v>0</v>
      </c>
      <c r="I130" s="385"/>
      <c r="J130" s="305">
        <f>SUMIF('[13]Div 9 forecast'!$C$10:$C$534,$B130, '[13]Div 9 forecast'!$AN$10:$AN$534)</f>
        <v>0</v>
      </c>
      <c r="K130" s="305"/>
      <c r="L130" s="305">
        <v>0</v>
      </c>
      <c r="M130" s="305"/>
      <c r="N130" s="305">
        <v>0</v>
      </c>
      <c r="O130" s="385"/>
      <c r="P130" s="305">
        <f t="shared" si="3"/>
        <v>0</v>
      </c>
      <c r="T130" s="877"/>
    </row>
    <row r="131" spans="1:20" ht="15.75" customHeight="1">
      <c r="A131" s="213">
        <f t="shared" si="4"/>
        <v>107</v>
      </c>
      <c r="B131" s="879">
        <v>9310</v>
      </c>
      <c r="C131" s="880" t="s">
        <v>1255</v>
      </c>
      <c r="D131" s="339">
        <f>'C.2.1 B'!D167</f>
        <v>1559.5329237729823</v>
      </c>
      <c r="E131" s="305"/>
      <c r="F131" s="305">
        <f>SUMIF('[13]Div 9 forecast'!$C$10:$C$534,$B131, '[13]Div 9 forecast'!$AL$10:$AL$534)</f>
        <v>0</v>
      </c>
      <c r="G131" s="339"/>
      <c r="H131" s="305">
        <f>SUMIF('[13]Div 9 forecast'!$C$10:$C$534,$B131, '[13]Div 9 forecast'!$AM$10:$AM$534)</f>
        <v>0</v>
      </c>
      <c r="I131" s="385"/>
      <c r="J131" s="305">
        <f>SUMIF('[13]Div 9 forecast'!$C$10:$C$534,$B131, '[13]Div 9 forecast'!$AN$10:$AN$534)</f>
        <v>0</v>
      </c>
      <c r="K131" s="305"/>
      <c r="L131" s="305">
        <v>0</v>
      </c>
      <c r="M131" s="305"/>
      <c r="N131" s="305"/>
      <c r="O131" s="385"/>
      <c r="P131" s="305">
        <f t="shared" si="3"/>
        <v>0</v>
      </c>
      <c r="T131" s="877"/>
    </row>
    <row r="132" spans="1:20" ht="15.75" customHeight="1">
      <c r="A132" s="213">
        <f t="shared" si="4"/>
        <v>108</v>
      </c>
      <c r="B132" s="879">
        <v>9320</v>
      </c>
      <c r="C132" s="880" t="s">
        <v>1165</v>
      </c>
      <c r="D132" s="306">
        <f>'C.2.1 B'!D171</f>
        <v>0</v>
      </c>
      <c r="E132" s="305"/>
      <c r="F132" s="305">
        <f>SUMIF('[13]Div 9 forecast'!$C$10:$C$534,$B132, '[13]Div 9 forecast'!$AL$10:$AL$534)</f>
        <v>0</v>
      </c>
      <c r="G132" s="339"/>
      <c r="H132" s="305">
        <f>SUMIF('[13]Div 9 forecast'!$C$10:$C$534,$B132, '[13]Div 9 forecast'!$AM$10:$AM$534)</f>
        <v>0</v>
      </c>
      <c r="I132" s="385"/>
      <c r="J132" s="305">
        <f>SUMIF('[13]Div 9 forecast'!$C$10:$C$534,$B132, '[13]Div 9 forecast'!$AN$10:$AN$534)</f>
        <v>0</v>
      </c>
      <c r="K132" s="305"/>
      <c r="L132" s="305">
        <v>0</v>
      </c>
      <c r="M132" s="305"/>
      <c r="N132" s="306">
        <v>0</v>
      </c>
      <c r="O132" s="305"/>
      <c r="P132" s="306">
        <f t="shared" si="3"/>
        <v>0</v>
      </c>
      <c r="T132" s="877"/>
    </row>
    <row r="133" spans="1:20" ht="15.75" customHeight="1">
      <c r="A133" s="213"/>
      <c r="D133" s="88"/>
      <c r="E133" s="88"/>
      <c r="F133" s="961"/>
      <c r="G133" s="88"/>
      <c r="H133" s="961"/>
      <c r="I133" s="88"/>
      <c r="J133" s="961"/>
      <c r="K133" s="88"/>
      <c r="L133" s="88"/>
      <c r="M133" s="88"/>
      <c r="N133" s="88"/>
      <c r="O133" s="88"/>
      <c r="P133" s="88"/>
    </row>
    <row r="134" spans="1:20" ht="15.75" customHeight="1">
      <c r="A134" s="213">
        <f>A132+1</f>
        <v>109</v>
      </c>
      <c r="B134" s="60" t="s">
        <v>95</v>
      </c>
      <c r="D134" s="256">
        <f>SUM(D48:D93)+SUM(D99:D132)</f>
        <v>31311659.436582312</v>
      </c>
      <c r="E134" s="88"/>
      <c r="F134" s="256">
        <f>SUM(F48:F93)+SUM(F99:F132)</f>
        <v>90083.268979856017</v>
      </c>
      <c r="G134" s="88"/>
      <c r="H134" s="256">
        <f>SUM(H48:H93)+SUM(H99:H132)</f>
        <v>0</v>
      </c>
      <c r="I134" s="88"/>
      <c r="J134" s="256">
        <f>SUM(J48:J93)+SUM(J99:J132)</f>
        <v>0</v>
      </c>
      <c r="K134" s="88"/>
      <c r="L134" s="256">
        <f>SUM(L48:L93)+SUM(L99:L132)</f>
        <v>0</v>
      </c>
      <c r="M134" s="88"/>
      <c r="N134" s="256">
        <f>SUM(N48:N93)+SUM(N99:N132)</f>
        <v>285482.28025033511</v>
      </c>
      <c r="O134" s="88"/>
      <c r="P134" s="256">
        <f>SUM(P48:P93)+SUM(P99:P132)</f>
        <v>375565.54923019116</v>
      </c>
    </row>
    <row r="135" spans="1:20" ht="15.75" customHeight="1">
      <c r="A135" s="213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</row>
    <row r="136" spans="1:20" ht="15.75" customHeight="1">
      <c r="A136" s="213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</row>
    <row r="137" spans="1:20" ht="15.75" customHeight="1">
      <c r="A137" s="213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</row>
    <row r="138" spans="1:20" ht="15.75" customHeight="1">
      <c r="A138" s="213">
        <f>A134+1</f>
        <v>110</v>
      </c>
      <c r="B138" s="561" t="s">
        <v>316</v>
      </c>
      <c r="C138" s="88"/>
      <c r="D138" s="78">
        <f>'[13]O&amp;M Comparison'!$C$6+'[13]O&amp;M Comparison'!$C$7</f>
        <v>7168251.9199999999</v>
      </c>
      <c r="E138" s="88"/>
      <c r="F138" s="78">
        <f>SUM(F122:F132,F99:F119,F48:F93)</f>
        <v>90083.268979856046</v>
      </c>
      <c r="G138" s="78"/>
      <c r="H138" s="78"/>
      <c r="I138" s="78"/>
      <c r="J138" s="78"/>
      <c r="K138" s="78"/>
      <c r="L138" s="78"/>
      <c r="M138" s="78"/>
      <c r="N138" s="78"/>
      <c r="O138" s="78"/>
      <c r="P138" s="78">
        <f>SUM(F138:O138)</f>
        <v>90083.268979856046</v>
      </c>
    </row>
    <row r="139" spans="1:20" ht="15.75" customHeight="1">
      <c r="A139" s="213">
        <f>A138+1</f>
        <v>111</v>
      </c>
      <c r="B139" s="60" t="s">
        <v>317</v>
      </c>
      <c r="D139" s="78">
        <f>'[13]O&amp;M Comparison'!$C$10</f>
        <v>1035431.1400000001</v>
      </c>
      <c r="E139" s="88"/>
      <c r="F139" s="78"/>
      <c r="G139" s="78"/>
      <c r="H139" s="78">
        <f>SUM(H$122:H$132,H$99:H$119,H$48:H$93)</f>
        <v>0</v>
      </c>
      <c r="I139" s="78"/>
      <c r="J139" s="78"/>
      <c r="K139" s="78"/>
      <c r="L139" s="78"/>
      <c r="M139" s="78"/>
      <c r="N139" s="78"/>
      <c r="O139" s="78"/>
      <c r="P139" s="78">
        <f>SUM(F139:O139)</f>
        <v>0</v>
      </c>
    </row>
    <row r="140" spans="1:20" ht="15.75" customHeight="1">
      <c r="A140" s="213">
        <f>A139+1</f>
        <v>112</v>
      </c>
      <c r="B140" s="60" t="s">
        <v>318</v>
      </c>
      <c r="D140" s="78">
        <f>'[13]O&amp;M Comparison'!$C$25</f>
        <v>16133468.909999998</v>
      </c>
      <c r="E140" s="88"/>
      <c r="F140" s="78"/>
      <c r="G140" s="78"/>
      <c r="H140" s="78"/>
      <c r="I140" s="78"/>
      <c r="J140" s="78">
        <f>SUM(J$122:J$132,J$99:J$120,J$48:J$93)</f>
        <v>0</v>
      </c>
      <c r="K140" s="78"/>
      <c r="L140" s="78"/>
      <c r="M140" s="78"/>
      <c r="N140" s="78"/>
      <c r="O140" s="78"/>
      <c r="P140" s="78">
        <f>SUM(F140:O140)</f>
        <v>0</v>
      </c>
    </row>
    <row r="141" spans="1:20" ht="15.75" customHeight="1">
      <c r="A141" s="213">
        <f>A140+1</f>
        <v>113</v>
      </c>
      <c r="B141" s="60" t="s">
        <v>319</v>
      </c>
      <c r="D141" s="78">
        <f>'[13]O&amp;M Comparison'!$C$22</f>
        <v>880036.46</v>
      </c>
      <c r="E141" s="88"/>
      <c r="F141" s="78"/>
      <c r="G141" s="78"/>
      <c r="H141" s="78"/>
      <c r="I141" s="78"/>
      <c r="J141" s="78"/>
      <c r="K141" s="78"/>
      <c r="L141" s="78">
        <f>L134</f>
        <v>0</v>
      </c>
      <c r="M141" s="78"/>
      <c r="N141" s="78"/>
      <c r="O141" s="78"/>
      <c r="P141" s="78">
        <f>SUM(F141:O141)</f>
        <v>0</v>
      </c>
    </row>
    <row r="142" spans="1:20" ht="15.75" customHeight="1">
      <c r="A142" s="213">
        <f>A141+1</f>
        <v>114</v>
      </c>
      <c r="B142" s="60" t="s">
        <v>793</v>
      </c>
      <c r="D142" s="116">
        <f>D121</f>
        <v>15178190.516582308</v>
      </c>
      <c r="E142" s="88"/>
      <c r="F142" s="116">
        <f>F144-F138</f>
        <v>3.4924596548080444E-9</v>
      </c>
      <c r="G142" s="78"/>
      <c r="H142" s="116">
        <f>H144-H139</f>
        <v>0</v>
      </c>
      <c r="I142" s="78"/>
      <c r="J142" s="116">
        <f>J144-J140</f>
        <v>2.3014098405838013E-4</v>
      </c>
      <c r="K142" s="78"/>
      <c r="L142" s="116"/>
      <c r="M142" s="78"/>
      <c r="N142" s="116">
        <f>N121</f>
        <v>285482.28025033511</v>
      </c>
      <c r="O142" s="78"/>
      <c r="P142" s="390">
        <f>SUM(F142:O142)</f>
        <v>285482.28048047959</v>
      </c>
    </row>
    <row r="143" spans="1:20" ht="15.75" customHeight="1">
      <c r="A143" s="213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</row>
    <row r="144" spans="1:20" ht="15.75" customHeight="1">
      <c r="A144" s="213">
        <f>A142+1</f>
        <v>115</v>
      </c>
      <c r="B144" s="60" t="s">
        <v>95</v>
      </c>
      <c r="D144" s="256">
        <f>SUM(D138:D142)</f>
        <v>40395378.94658231</v>
      </c>
      <c r="E144" s="88"/>
      <c r="F144" s="256">
        <f>'D.2.2'!D15</f>
        <v>90083.268979859538</v>
      </c>
      <c r="G144" s="78"/>
      <c r="H144" s="256">
        <f>'D.2.2'!$D$21</f>
        <v>0</v>
      </c>
      <c r="I144" s="78"/>
      <c r="J144" s="256">
        <f>'D.2.2'!$D$28</f>
        <v>2.3014098405838013E-4</v>
      </c>
      <c r="K144" s="78"/>
      <c r="L144" s="256">
        <f>'D.2.2'!$D$34</f>
        <v>-516578.5783205328</v>
      </c>
      <c r="M144" s="78"/>
      <c r="N144" s="256">
        <f>'D.2.2'!$D$39</f>
        <v>285482.20645620674</v>
      </c>
      <c r="O144" s="78"/>
      <c r="P144" s="256">
        <f>SUM(P138:P142)</f>
        <v>375565.54946033563</v>
      </c>
    </row>
    <row r="145" spans="1:21" ht="15.75" customHeight="1">
      <c r="A145" s="213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</row>
    <row r="146" spans="1:21" ht="15.75" customHeight="1">
      <c r="A146" s="213">
        <f>A144+1</f>
        <v>116</v>
      </c>
      <c r="B146" s="60" t="s">
        <v>223</v>
      </c>
      <c r="D146" s="816">
        <f>D40</f>
        <v>0.2495</v>
      </c>
      <c r="E146" s="88"/>
      <c r="F146" s="256">
        <f>F144*$D$146*-1</f>
        <v>-22475.775610474953</v>
      </c>
      <c r="G146" s="88"/>
      <c r="H146" s="256">
        <f>H144*$D$146*-1</f>
        <v>0</v>
      </c>
      <c r="I146" s="78"/>
      <c r="J146" s="256">
        <f>J144*$D$146*-1</f>
        <v>-5.7420175522565845E-5</v>
      </c>
      <c r="K146" s="78"/>
      <c r="L146" s="256">
        <f>L144*$D$146*-1</f>
        <v>128886.35529097293</v>
      </c>
      <c r="M146" s="78"/>
      <c r="N146" s="256">
        <f>N144*$D$146*-1</f>
        <v>-71227.810510823576</v>
      </c>
      <c r="O146" s="78"/>
      <c r="P146" s="256">
        <f>P144*$D$146*-1</f>
        <v>-93703.604590353745</v>
      </c>
    </row>
    <row r="147" spans="1:21" ht="15.75" customHeight="1">
      <c r="A147" s="213"/>
      <c r="D147" s="88"/>
      <c r="E147" s="88"/>
      <c r="F147" s="88"/>
      <c r="G147" s="88"/>
      <c r="H147" s="78"/>
      <c r="I147" s="78"/>
      <c r="J147" s="78"/>
      <c r="K147" s="78"/>
      <c r="L147" s="78"/>
      <c r="M147" s="78"/>
      <c r="N147" s="78"/>
      <c r="O147" s="78"/>
      <c r="P147" s="78"/>
    </row>
    <row r="148" spans="1:21" ht="15.75" customHeight="1">
      <c r="A148" s="213">
        <f>A146+1</f>
        <v>117</v>
      </c>
      <c r="B148" s="60" t="s">
        <v>832</v>
      </c>
      <c r="D148" s="88"/>
      <c r="E148" s="88"/>
      <c r="F148" s="256">
        <f>F144+F146</f>
        <v>67607.493369384581</v>
      </c>
      <c r="G148" s="88"/>
      <c r="H148" s="256">
        <f>H144+H146</f>
        <v>0</v>
      </c>
      <c r="I148" s="88"/>
      <c r="J148" s="256">
        <f>J144+J146</f>
        <v>1.7272080853581427E-4</v>
      </c>
      <c r="K148" s="88"/>
      <c r="L148" s="256">
        <f>L144+L146</f>
        <v>-387692.22302955989</v>
      </c>
      <c r="M148" s="88"/>
      <c r="N148" s="256">
        <f>N144+N146</f>
        <v>214254.39594538318</v>
      </c>
      <c r="O148" s="88"/>
      <c r="P148" s="256">
        <f>P144+P146</f>
        <v>281861.9448699819</v>
      </c>
    </row>
    <row r="149" spans="1:21" ht="15.75" customHeight="1">
      <c r="A149" s="213"/>
      <c r="B149" s="60"/>
      <c r="D149" s="88"/>
      <c r="E149" s="88"/>
      <c r="F149" s="256"/>
      <c r="G149" s="88"/>
      <c r="H149" s="256"/>
      <c r="I149" s="88"/>
      <c r="J149" s="256"/>
      <c r="K149" s="88"/>
      <c r="L149" s="256"/>
      <c r="M149" s="88"/>
      <c r="N149" s="256"/>
      <c r="O149" s="88"/>
      <c r="P149" s="256"/>
    </row>
    <row r="150" spans="1:21" ht="15.75" customHeight="1">
      <c r="D150" s="88"/>
      <c r="E150" s="88"/>
      <c r="F150" s="88"/>
      <c r="G150" s="88"/>
      <c r="H150" s="688" t="s">
        <v>217</v>
      </c>
      <c r="I150" s="88"/>
      <c r="J150" s="88"/>
      <c r="K150" s="88"/>
      <c r="L150" s="88"/>
      <c r="M150" s="88"/>
      <c r="N150" s="88"/>
      <c r="O150" s="88"/>
      <c r="P150" s="88"/>
    </row>
    <row r="151" spans="1:21" ht="15.75" customHeight="1">
      <c r="A151" s="213" t="s">
        <v>92</v>
      </c>
      <c r="B151" s="247" t="s">
        <v>1259</v>
      </c>
      <c r="D151" s="688" t="s">
        <v>43</v>
      </c>
      <c r="E151" s="88"/>
      <c r="F151" s="873" t="s">
        <v>1075</v>
      </c>
      <c r="G151" s="876"/>
      <c r="H151" s="873" t="s">
        <v>1075</v>
      </c>
      <c r="I151" s="874"/>
      <c r="J151" s="870" t="s">
        <v>466</v>
      </c>
      <c r="K151" s="871"/>
      <c r="L151" s="873" t="s">
        <v>1073</v>
      </c>
      <c r="M151" s="874"/>
      <c r="N151" s="873" t="s">
        <v>1073</v>
      </c>
      <c r="O151" s="876"/>
      <c r="P151" s="688" t="s">
        <v>95</v>
      </c>
    </row>
    <row r="152" spans="1:21" ht="15.75" customHeight="1">
      <c r="A152" s="875" t="s">
        <v>98</v>
      </c>
      <c r="B152" s="248" t="s">
        <v>218</v>
      </c>
      <c r="C152" s="212"/>
      <c r="D152" s="794" t="s">
        <v>533</v>
      </c>
      <c r="E152" s="519"/>
      <c r="F152" s="794" t="s">
        <v>601</v>
      </c>
      <c r="G152" s="790" t="s">
        <v>321</v>
      </c>
      <c r="H152" s="794" t="s">
        <v>460</v>
      </c>
      <c r="I152" s="790"/>
      <c r="J152" s="875" t="s">
        <v>461</v>
      </c>
      <c r="K152" s="211" t="s">
        <v>321</v>
      </c>
      <c r="L152" s="794" t="s">
        <v>462</v>
      </c>
      <c r="M152" s="790" t="s">
        <v>321</v>
      </c>
      <c r="N152" s="794" t="s">
        <v>463</v>
      </c>
      <c r="O152" s="519"/>
      <c r="P152" s="794" t="s">
        <v>467</v>
      </c>
      <c r="U152" s="256"/>
    </row>
    <row r="153" spans="1:21" ht="15.75" customHeight="1">
      <c r="B153" s="250"/>
      <c r="D153" s="882"/>
      <c r="E153" s="88"/>
      <c r="F153" s="88"/>
      <c r="G153" s="882"/>
      <c r="H153" s="88"/>
      <c r="I153" s="878"/>
      <c r="J153" s="88"/>
      <c r="K153" s="883"/>
      <c r="L153" s="88"/>
      <c r="M153" s="878"/>
      <c r="N153" s="88"/>
      <c r="O153" s="882"/>
      <c r="P153" s="88"/>
    </row>
    <row r="154" spans="1:21" ht="15.75" customHeight="1">
      <c r="B154" s="250"/>
      <c r="D154" s="882"/>
      <c r="E154" s="88"/>
      <c r="F154" s="88"/>
      <c r="G154" s="882"/>
      <c r="H154" s="88"/>
      <c r="I154" s="878"/>
      <c r="J154" s="88"/>
      <c r="K154" s="883"/>
      <c r="L154" s="88"/>
      <c r="M154" s="878"/>
      <c r="N154" s="88"/>
      <c r="O154" s="882"/>
      <c r="P154" s="88"/>
    </row>
    <row r="155" spans="1:21" ht="15.75" customHeight="1">
      <c r="A155" s="213">
        <f>A148+1</f>
        <v>118</v>
      </c>
      <c r="B155" s="60" t="s">
        <v>23</v>
      </c>
      <c r="D155" s="305">
        <f>'C.2.1 B'!D176</f>
        <v>19295728.648829721</v>
      </c>
      <c r="E155" s="88"/>
      <c r="F155" s="78">
        <f>'D.2.3'!D15</f>
        <v>1258969.5765427276</v>
      </c>
      <c r="G155" s="878"/>
      <c r="H155" s="78"/>
      <c r="I155" s="78"/>
      <c r="J155" s="78"/>
      <c r="K155" s="883"/>
      <c r="L155" s="88"/>
      <c r="M155" s="78"/>
      <c r="N155" s="88"/>
      <c r="O155" s="882"/>
      <c r="P155" s="78">
        <f>SUM(F155:O155)</f>
        <v>1258969.5765427276</v>
      </c>
    </row>
    <row r="156" spans="1:21" ht="15.75" customHeight="1">
      <c r="A156" s="213">
        <f>A155+1</f>
        <v>119</v>
      </c>
      <c r="B156" s="247" t="s">
        <v>505</v>
      </c>
      <c r="D156" s="78">
        <v>0</v>
      </c>
      <c r="E156" s="88"/>
      <c r="F156" s="78"/>
      <c r="G156" s="78"/>
      <c r="H156" s="78"/>
      <c r="I156" s="878"/>
      <c r="J156" s="88"/>
      <c r="K156" s="884"/>
      <c r="L156" s="88"/>
      <c r="M156" s="878"/>
      <c r="N156" s="88"/>
      <c r="O156" s="882"/>
      <c r="P156" s="78">
        <f>SUM(F156:O156)</f>
        <v>0</v>
      </c>
    </row>
    <row r="157" spans="1:21" ht="15.75" customHeight="1">
      <c r="A157" s="213">
        <f t="shared" ref="A157:A172" si="5">A156+1</f>
        <v>120</v>
      </c>
      <c r="B157" s="60" t="s">
        <v>165</v>
      </c>
      <c r="D157" s="1141">
        <f>'C.2.2 B 09'!P15</f>
        <v>49748.75999999998</v>
      </c>
      <c r="E157" s="88"/>
      <c r="F157" s="116"/>
      <c r="G157" s="878"/>
      <c r="H157" s="116"/>
      <c r="I157" s="878"/>
      <c r="J157" s="519"/>
      <c r="K157" s="884"/>
      <c r="L157" s="519"/>
      <c r="M157" s="878"/>
      <c r="N157" s="519"/>
      <c r="O157" s="882"/>
      <c r="P157" s="116">
        <f>SUM(F157:O157)</f>
        <v>0</v>
      </c>
    </row>
    <row r="158" spans="1:21" ht="15.75" customHeight="1">
      <c r="A158" s="213">
        <f t="shared" si="5"/>
        <v>121</v>
      </c>
      <c r="D158" s="878"/>
      <c r="E158" s="88"/>
      <c r="F158" s="78"/>
      <c r="G158" s="878"/>
      <c r="H158" s="78"/>
      <c r="I158" s="878"/>
      <c r="J158" s="882"/>
      <c r="K158" s="883"/>
      <c r="L158" s="88"/>
      <c r="M158" s="878"/>
      <c r="N158" s="88"/>
      <c r="O158" s="882"/>
      <c r="P158" s="78"/>
    </row>
    <row r="159" spans="1:21" ht="15.75" customHeight="1">
      <c r="A159" s="213">
        <f t="shared" si="5"/>
        <v>122</v>
      </c>
      <c r="B159" s="60" t="s">
        <v>483</v>
      </c>
      <c r="D159" s="885">
        <f>SUM(D155:D157)</f>
        <v>19345477.408829723</v>
      </c>
      <c r="E159" s="88"/>
      <c r="F159" s="885">
        <f>SUM(F155:F157)</f>
        <v>1258969.5765427276</v>
      </c>
      <c r="G159" s="878"/>
      <c r="H159" s="885"/>
      <c r="I159" s="88"/>
      <c r="J159" s="885"/>
      <c r="K159" s="883"/>
      <c r="L159" s="885"/>
      <c r="M159" s="88"/>
      <c r="N159" s="885"/>
      <c r="O159" s="878"/>
      <c r="P159" s="256">
        <f>SUM(F159:O159)</f>
        <v>1258969.5765427276</v>
      </c>
    </row>
    <row r="160" spans="1:21" ht="15.75" customHeight="1">
      <c r="A160" s="213">
        <f t="shared" si="5"/>
        <v>123</v>
      </c>
      <c r="D160" s="878"/>
      <c r="E160" s="88"/>
      <c r="F160" s="78"/>
      <c r="G160" s="878"/>
      <c r="H160" s="78"/>
      <c r="I160" s="878"/>
      <c r="J160" s="88"/>
      <c r="K160" s="883"/>
      <c r="L160" s="88"/>
      <c r="M160" s="878"/>
      <c r="N160" s="88"/>
      <c r="O160" s="882"/>
      <c r="P160" s="88"/>
    </row>
    <row r="161" spans="1:16" ht="15.75" customHeight="1">
      <c r="A161" s="213">
        <f t="shared" si="5"/>
        <v>124</v>
      </c>
      <c r="B161" s="247" t="s">
        <v>223</v>
      </c>
      <c r="D161" s="816">
        <f>D40</f>
        <v>0.2495</v>
      </c>
      <c r="E161" s="88"/>
      <c r="F161" s="256">
        <f>F159*$D$161</f>
        <v>314112.90934741055</v>
      </c>
      <c r="G161" s="878"/>
      <c r="H161" s="256"/>
      <c r="I161" s="878"/>
      <c r="J161" s="256"/>
      <c r="K161" s="878"/>
      <c r="L161" s="256"/>
      <c r="M161" s="78"/>
      <c r="N161" s="256"/>
      <c r="O161" s="878"/>
      <c r="P161" s="256">
        <f>P159*$D$161</f>
        <v>314112.90934741055</v>
      </c>
    </row>
    <row r="162" spans="1:16" ht="15.75" customHeight="1">
      <c r="A162" s="213">
        <f t="shared" si="5"/>
        <v>125</v>
      </c>
      <c r="B162" s="250"/>
      <c r="D162" s="886"/>
      <c r="E162" s="88"/>
      <c r="F162" s="78"/>
      <c r="G162" s="878"/>
      <c r="H162" s="78"/>
      <c r="I162" s="878"/>
      <c r="J162" s="88"/>
      <c r="K162" s="883"/>
      <c r="L162" s="88"/>
      <c r="M162" s="878"/>
      <c r="N162" s="88"/>
      <c r="O162" s="882"/>
      <c r="P162" s="88"/>
    </row>
    <row r="163" spans="1:16" ht="15.75" customHeight="1">
      <c r="A163" s="213">
        <f t="shared" si="5"/>
        <v>126</v>
      </c>
      <c r="B163" s="247" t="s">
        <v>832</v>
      </c>
      <c r="D163" s="878"/>
      <c r="E163" s="88"/>
      <c r="F163" s="256">
        <f>F159-F161</f>
        <v>944856.6671953171</v>
      </c>
      <c r="G163" s="878"/>
      <c r="H163" s="256"/>
      <c r="I163" s="878"/>
      <c r="J163" s="256"/>
      <c r="K163" s="878"/>
      <c r="L163" s="256"/>
      <c r="M163" s="878"/>
      <c r="N163" s="256"/>
      <c r="O163" s="878"/>
      <c r="P163" s="256">
        <f>P159-P161</f>
        <v>944856.6671953171</v>
      </c>
    </row>
    <row r="164" spans="1:16" ht="15.75" customHeight="1">
      <c r="A164" s="213">
        <f t="shared" si="5"/>
        <v>127</v>
      </c>
      <c r="B164" s="250"/>
      <c r="D164" s="878"/>
      <c r="E164" s="88"/>
      <c r="F164" s="78"/>
      <c r="G164" s="878"/>
      <c r="H164" s="78"/>
      <c r="I164" s="878"/>
      <c r="J164" s="88"/>
      <c r="K164" s="883"/>
      <c r="L164" s="88"/>
      <c r="M164" s="878"/>
      <c r="N164" s="88"/>
      <c r="O164" s="882"/>
      <c r="P164" s="88"/>
    </row>
    <row r="165" spans="1:16" ht="15.75" customHeight="1">
      <c r="A165" s="213">
        <f t="shared" si="5"/>
        <v>128</v>
      </c>
      <c r="D165" s="88"/>
      <c r="E165" s="88"/>
      <c r="F165" s="78"/>
      <c r="G165" s="878"/>
      <c r="H165" s="78"/>
      <c r="I165" s="78"/>
      <c r="J165" s="88"/>
      <c r="K165" s="883"/>
      <c r="L165" s="88"/>
      <c r="M165" s="78"/>
      <c r="N165" s="882"/>
      <c r="O165" s="882"/>
      <c r="P165" s="88"/>
    </row>
    <row r="166" spans="1:16" ht="15.75" customHeight="1">
      <c r="A166" s="213">
        <f t="shared" si="5"/>
        <v>129</v>
      </c>
      <c r="B166" s="250"/>
      <c r="D166" s="78"/>
      <c r="E166" s="88"/>
      <c r="F166" s="78"/>
      <c r="G166" s="78"/>
      <c r="H166" s="878"/>
      <c r="I166" s="88"/>
      <c r="J166" s="88"/>
      <c r="K166" s="88"/>
      <c r="L166" s="88"/>
      <c r="M166" s="88"/>
      <c r="N166" s="88"/>
      <c r="O166" s="88"/>
      <c r="P166" s="88"/>
    </row>
    <row r="167" spans="1:16" ht="15.75" customHeight="1">
      <c r="A167" s="213">
        <f t="shared" si="5"/>
        <v>130</v>
      </c>
      <c r="D167" s="78"/>
      <c r="E167" s="88"/>
      <c r="F167" s="78"/>
      <c r="G167" s="78"/>
      <c r="H167" s="878"/>
      <c r="I167" s="88"/>
      <c r="J167" s="88"/>
      <c r="K167" s="88"/>
      <c r="L167" s="88"/>
      <c r="M167" s="88"/>
      <c r="N167" s="88"/>
      <c r="O167" s="88"/>
      <c r="P167" s="88"/>
    </row>
    <row r="168" spans="1:16" ht="15.75" customHeight="1">
      <c r="A168" s="213">
        <f t="shared" si="5"/>
        <v>131</v>
      </c>
      <c r="B168" s="247" t="s">
        <v>564</v>
      </c>
      <c r="D168" s="885">
        <f>'C.2.2 B 09'!P16</f>
        <v>9749303.3507630825</v>
      </c>
      <c r="E168" s="88"/>
      <c r="F168" s="256"/>
      <c r="G168" s="78"/>
      <c r="H168" s="885">
        <f>'D.2.3'!D20</f>
        <v>577083.62717701495</v>
      </c>
      <c r="I168" s="88"/>
      <c r="J168" s="887"/>
      <c r="K168" s="88"/>
      <c r="L168" s="887"/>
      <c r="M168" s="88"/>
      <c r="N168" s="887"/>
      <c r="O168" s="88"/>
      <c r="P168" s="256">
        <f>SUM(F168:O168)</f>
        <v>577083.62717701495</v>
      </c>
    </row>
    <row r="169" spans="1:16" ht="15.75" customHeight="1">
      <c r="A169" s="213">
        <f t="shared" si="5"/>
        <v>132</v>
      </c>
      <c r="D169" s="78"/>
      <c r="E169" s="88"/>
      <c r="F169" s="78"/>
      <c r="G169" s="78"/>
      <c r="H169" s="878"/>
      <c r="I169" s="88"/>
      <c r="J169" s="88"/>
      <c r="K169" s="88"/>
      <c r="L169" s="88"/>
      <c r="M169" s="88"/>
      <c r="N169" s="88"/>
      <c r="O169" s="88"/>
      <c r="P169" s="88"/>
    </row>
    <row r="170" spans="1:16" ht="15.75" customHeight="1">
      <c r="A170" s="213">
        <f t="shared" si="5"/>
        <v>133</v>
      </c>
      <c r="B170" s="247" t="s">
        <v>223</v>
      </c>
      <c r="D170" s="816">
        <f>D40</f>
        <v>0.2495</v>
      </c>
      <c r="E170" s="88"/>
      <c r="F170" s="256"/>
      <c r="G170" s="78"/>
      <c r="H170" s="256">
        <f>H168*$D$170</f>
        <v>143982.36498066524</v>
      </c>
      <c r="I170" s="88"/>
      <c r="J170" s="256"/>
      <c r="K170" s="78"/>
      <c r="L170" s="256"/>
      <c r="M170" s="88"/>
      <c r="N170" s="256"/>
      <c r="O170" s="78"/>
      <c r="P170" s="256">
        <f>P168*$D$170</f>
        <v>143982.36498066524</v>
      </c>
    </row>
    <row r="171" spans="1:16" ht="15.75" customHeight="1">
      <c r="A171" s="213">
        <f t="shared" si="5"/>
        <v>134</v>
      </c>
      <c r="B171" s="250"/>
      <c r="D171" s="886"/>
      <c r="E171" s="88"/>
      <c r="F171" s="78"/>
      <c r="G171" s="78"/>
      <c r="H171" s="78"/>
      <c r="I171" s="88"/>
      <c r="J171" s="78"/>
      <c r="K171" s="78"/>
      <c r="L171" s="78"/>
      <c r="M171" s="88"/>
      <c r="N171" s="78"/>
      <c r="O171" s="78"/>
      <c r="P171" s="78"/>
    </row>
    <row r="172" spans="1:16" ht="15.75" customHeight="1">
      <c r="A172" s="213">
        <f t="shared" si="5"/>
        <v>135</v>
      </c>
      <c r="B172" s="247" t="s">
        <v>832</v>
      </c>
      <c r="D172" s="888"/>
      <c r="F172" s="889"/>
      <c r="G172" s="888"/>
      <c r="H172" s="889">
        <f>H168-H170</f>
        <v>433101.26219634968</v>
      </c>
      <c r="I172" s="250"/>
      <c r="J172" s="889"/>
      <c r="K172" s="888"/>
      <c r="L172" s="889"/>
      <c r="M172" s="250"/>
      <c r="N172" s="889"/>
      <c r="O172" s="888"/>
      <c r="P172" s="889">
        <f>P168-P170</f>
        <v>433101.26219634968</v>
      </c>
    </row>
    <row r="173" spans="1:16" ht="15.75" customHeight="1">
      <c r="A173" s="213"/>
      <c r="B173" s="250"/>
      <c r="D173" s="57"/>
      <c r="F173" s="57"/>
      <c r="G173" s="888"/>
      <c r="H173" s="57"/>
      <c r="I173" s="250"/>
      <c r="K173" s="250"/>
      <c r="M173" s="250"/>
      <c r="O173" s="250"/>
    </row>
    <row r="174" spans="1:16" ht="15.75" customHeight="1">
      <c r="A174" s="213"/>
      <c r="D174" s="888"/>
      <c r="F174" s="57"/>
      <c r="G174" s="57"/>
      <c r="H174" s="57"/>
      <c r="I174" s="250"/>
      <c r="K174" s="250"/>
      <c r="M174" s="250"/>
      <c r="O174" s="250"/>
    </row>
    <row r="175" spans="1:16" ht="15.75" customHeight="1">
      <c r="A175" s="213"/>
      <c r="D175" s="57"/>
      <c r="F175" s="57"/>
      <c r="G175" s="888"/>
      <c r="H175" s="57"/>
      <c r="I175" s="250"/>
      <c r="K175" s="250"/>
      <c r="M175" s="250"/>
    </row>
    <row r="176" spans="1:16" ht="15.75" customHeight="1">
      <c r="A176" s="213"/>
      <c r="D176" s="888"/>
      <c r="F176" s="57"/>
      <c r="G176" s="888"/>
      <c r="H176" s="57"/>
    </row>
    <row r="177" spans="1:15" ht="15.75" customHeight="1">
      <c r="A177" s="213"/>
      <c r="B177" s="56" t="s">
        <v>1224</v>
      </c>
      <c r="D177" s="888"/>
      <c r="G177" s="250"/>
      <c r="I177" s="888"/>
      <c r="K177" s="890"/>
      <c r="M177" s="888"/>
      <c r="O177" s="250"/>
    </row>
    <row r="178" spans="1:15" ht="15.75" customHeight="1">
      <c r="B178" s="56" t="s">
        <v>1571</v>
      </c>
    </row>
  </sheetData>
  <phoneticPr fontId="21" type="noConversion"/>
  <printOptions horizontalCentered="1"/>
  <pageMargins left="0.64" right="0.5" top="1" bottom="0.5" header="0.5" footer="0.5"/>
  <pageSetup scale="47" fitToHeight="0" orientation="portrait" verticalDpi="300" r:id="rId1"/>
  <headerFooter alignWithMargins="0">
    <oddFooter>&amp;RSchedule &amp;A
Page &amp;P of &amp;N</oddFooter>
  </headerFooter>
  <rowBreaks count="5" manualBreakCount="5">
    <brk id="42" max="15" man="1"/>
    <brk id="93" max="15" man="1"/>
    <brk id="148" max="15" man="1"/>
    <brk id="185" max="25" man="1"/>
    <brk id="239" max="25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33">
    <pageSetUpPr fitToPage="1"/>
  </sheetPr>
  <dimension ref="A1:O112"/>
  <sheetViews>
    <sheetView view="pageBreakPreview" topLeftCell="A31" zoomScale="80" zoomScaleNormal="100" zoomScaleSheetLayoutView="80" workbookViewId="0">
      <selection sqref="A1:D1"/>
    </sheetView>
  </sheetViews>
  <sheetFormatPr defaultColWidth="7.109375" defaultRowHeight="15.75" customHeight="1"/>
  <cols>
    <col min="1" max="1" width="3.77734375" style="1" customWidth="1"/>
    <col min="2" max="2" width="82.33203125" style="1" bestFit="1" customWidth="1"/>
    <col min="3" max="3" width="11.88671875" style="1" customWidth="1"/>
    <col min="4" max="4" width="12.44140625" style="1" customWidth="1"/>
    <col min="5" max="11" width="7.109375" style="1"/>
    <col min="12" max="12" width="7.88671875" style="1" customWidth="1"/>
    <col min="13" max="13" width="8.5546875" style="1" customWidth="1"/>
    <col min="14" max="16384" width="7.109375" style="1"/>
  </cols>
  <sheetData>
    <row r="1" spans="1:6" ht="15.75" customHeight="1">
      <c r="A1" s="1270" t="str">
        <f>'Table of Contents'!A1:C1</f>
        <v>Atmos Energy Corporation, Kentucky/Mid-States Division</v>
      </c>
      <c r="B1" s="1270"/>
      <c r="C1" s="1270"/>
      <c r="D1" s="1270"/>
      <c r="E1" s="26"/>
      <c r="F1"/>
    </row>
    <row r="2" spans="1:6" ht="15.75" customHeight="1">
      <c r="A2" s="1270" t="str">
        <f>'Table of Contents'!A2:C2</f>
        <v>Kentucky Jurisdiction Case No. 2021-00214</v>
      </c>
      <c r="B2" s="1270"/>
      <c r="C2" s="1270"/>
      <c r="D2" s="1270"/>
      <c r="E2" s="26"/>
      <c r="F2"/>
    </row>
    <row r="3" spans="1:6" ht="15.75" customHeight="1">
      <c r="A3" s="1271" t="s">
        <v>427</v>
      </c>
      <c r="B3" s="1271"/>
      <c r="C3" s="1271"/>
      <c r="D3" s="1271"/>
      <c r="E3" s="26"/>
      <c r="F3"/>
    </row>
    <row r="4" spans="1:6" ht="15.75" customHeight="1">
      <c r="A4" s="1270" t="str">
        <f>Allocation!A4</f>
        <v>Forecasted Test Period: Twelve Months Ended December 31, 2022</v>
      </c>
      <c r="B4" s="1270"/>
      <c r="C4" s="1270"/>
      <c r="D4" s="1270"/>
      <c r="E4" s="26"/>
      <c r="F4"/>
    </row>
    <row r="5" spans="1:6" ht="15.75" customHeight="1">
      <c r="B5" s="164"/>
      <c r="C5" s="26"/>
      <c r="D5" s="26"/>
      <c r="E5" s="26"/>
      <c r="F5"/>
    </row>
    <row r="6" spans="1:6" ht="15.75" customHeight="1">
      <c r="D6" s="31"/>
      <c r="F6"/>
    </row>
    <row r="7" spans="1:6" ht="15.75" customHeight="1">
      <c r="B7" s="4" t="s">
        <v>464</v>
      </c>
      <c r="D7" s="452" t="s">
        <v>1377</v>
      </c>
      <c r="F7"/>
    </row>
    <row r="8" spans="1:6" ht="15.75" customHeight="1">
      <c r="B8" s="4" t="s">
        <v>534</v>
      </c>
      <c r="D8" s="419" t="s">
        <v>253</v>
      </c>
      <c r="F8"/>
    </row>
    <row r="9" spans="1:6" ht="15.75" customHeight="1">
      <c r="A9" s="29"/>
      <c r="B9" s="4" t="s">
        <v>363</v>
      </c>
      <c r="C9" s="29"/>
      <c r="D9" s="419" t="str">
        <f>D.1!P9</f>
        <v>Witness: Christian, Densman</v>
      </c>
      <c r="E9" s="31"/>
      <c r="F9"/>
    </row>
    <row r="10" spans="1:6" ht="15.75" customHeight="1">
      <c r="A10" s="1" t="s">
        <v>1062</v>
      </c>
      <c r="B10" s="13"/>
      <c r="C10" s="31"/>
      <c r="D10" s="53"/>
      <c r="E10" s="31"/>
      <c r="F10"/>
    </row>
    <row r="11" spans="1:6" ht="15.75" customHeight="1">
      <c r="A11" s="29" t="s">
        <v>1063</v>
      </c>
      <c r="B11" s="223" t="s">
        <v>598</v>
      </c>
      <c r="C11" s="6"/>
      <c r="D11" s="9" t="s">
        <v>103</v>
      </c>
      <c r="E11" s="31"/>
      <c r="F11"/>
    </row>
    <row r="12" spans="1:6" ht="15.75" customHeight="1">
      <c r="A12" s="48">
        <v>1</v>
      </c>
      <c r="B12" s="173" t="s">
        <v>599</v>
      </c>
      <c r="F12"/>
    </row>
    <row r="13" spans="1:6" ht="15.75" customHeight="1">
      <c r="A13" s="91">
        <f>A12+1</f>
        <v>2</v>
      </c>
      <c r="B13" s="80" t="s">
        <v>1232</v>
      </c>
      <c r="C13" s="80" t="s">
        <v>42</v>
      </c>
      <c r="D13" s="1142">
        <f>'C.2.1 F'!D15</f>
        <v>100196511.94965912</v>
      </c>
      <c r="F13"/>
    </row>
    <row r="14" spans="1:6" ht="15.75" customHeight="1">
      <c r="A14" s="91">
        <f t="shared" ref="A14:A72" si="0">A13+1</f>
        <v>3</v>
      </c>
      <c r="B14" s="80" t="s">
        <v>1556</v>
      </c>
      <c r="C14" s="80" t="s">
        <v>43</v>
      </c>
      <c r="D14" s="361">
        <f>'C.2.1 B'!D15</f>
        <v>93481690.702966988</v>
      </c>
      <c r="F14"/>
    </row>
    <row r="15" spans="1:6" ht="15.75" customHeight="1">
      <c r="A15" s="91">
        <f t="shared" si="0"/>
        <v>4</v>
      </c>
      <c r="B15" s="73"/>
      <c r="C15" s="80" t="s">
        <v>149</v>
      </c>
      <c r="D15" s="1142">
        <f>D13-D14</f>
        <v>6714821.2466921359</v>
      </c>
      <c r="F15"/>
    </row>
    <row r="16" spans="1:6" ht="15.75" customHeight="1">
      <c r="A16" s="91">
        <f t="shared" si="0"/>
        <v>5</v>
      </c>
      <c r="B16" s="73"/>
      <c r="C16" s="73"/>
      <c r="D16" s="555">
        <f>D15/D14</f>
        <v>7.1830335932071623E-2</v>
      </c>
      <c r="F16"/>
    </row>
    <row r="17" spans="1:6" ht="15.75" customHeight="1">
      <c r="A17" s="91">
        <f t="shared" si="0"/>
        <v>6</v>
      </c>
      <c r="B17" s="73"/>
      <c r="C17" s="73"/>
      <c r="D17" s="146"/>
      <c r="F17"/>
    </row>
    <row r="18" spans="1:6" ht="15.75" customHeight="1">
      <c r="A18" s="91">
        <f t="shared" si="0"/>
        <v>7</v>
      </c>
      <c r="B18" s="80" t="s">
        <v>1233</v>
      </c>
      <c r="C18" s="80" t="s">
        <v>42</v>
      </c>
      <c r="D18" s="1142">
        <f>'C.2.1 F'!D16</f>
        <v>42523546.818897888</v>
      </c>
      <c r="F18"/>
    </row>
    <row r="19" spans="1:6" ht="15.75" customHeight="1">
      <c r="A19" s="91">
        <f t="shared" si="0"/>
        <v>8</v>
      </c>
      <c r="B19" s="80" t="s">
        <v>1556</v>
      </c>
      <c r="C19" s="80" t="s">
        <v>43</v>
      </c>
      <c r="D19" s="361">
        <f>'C.2.1 B'!D17</f>
        <v>40468226.853622571</v>
      </c>
      <c r="F19"/>
    </row>
    <row r="20" spans="1:6" ht="15.75" customHeight="1">
      <c r="A20" s="91">
        <f t="shared" si="0"/>
        <v>9</v>
      </c>
      <c r="B20" s="73"/>
      <c r="C20" s="80" t="s">
        <v>149</v>
      </c>
      <c r="D20" s="1142">
        <f>D18-D19</f>
        <v>2055319.9652753174</v>
      </c>
      <c r="F20"/>
    </row>
    <row r="21" spans="1:6" ht="15.75" customHeight="1">
      <c r="A21" s="91">
        <f t="shared" si="0"/>
        <v>10</v>
      </c>
      <c r="B21" s="73"/>
      <c r="C21" s="73"/>
      <c r="D21" s="555">
        <f>D20/D19</f>
        <v>5.0788485809116504E-2</v>
      </c>
      <c r="F21"/>
    </row>
    <row r="22" spans="1:6" ht="15.75" customHeight="1">
      <c r="A22" s="91">
        <f t="shared" si="0"/>
        <v>11</v>
      </c>
      <c r="B22" s="73"/>
      <c r="C22" s="73"/>
      <c r="D22" s="146"/>
      <c r="F22"/>
    </row>
    <row r="23" spans="1:6" ht="15.75" customHeight="1">
      <c r="A23" s="91">
        <f t="shared" si="0"/>
        <v>12</v>
      </c>
      <c r="B23" s="80" t="s">
        <v>1234</v>
      </c>
      <c r="C23" s="80" t="s">
        <v>42</v>
      </c>
      <c r="D23" s="1142">
        <f>'C.2.1 F'!D17</f>
        <v>4941524.9316062424</v>
      </c>
      <c r="F23"/>
    </row>
    <row r="24" spans="1:6" ht="15.75" customHeight="1">
      <c r="A24" s="91">
        <f t="shared" si="0"/>
        <v>13</v>
      </c>
      <c r="B24" s="80" t="s">
        <v>1519</v>
      </c>
      <c r="C24" s="80" t="s">
        <v>43</v>
      </c>
      <c r="D24" s="361">
        <f>'C.2.1 B'!D18</f>
        <v>4548662.3270437289</v>
      </c>
      <c r="F24"/>
    </row>
    <row r="25" spans="1:6" ht="15.75" customHeight="1">
      <c r="A25" s="91">
        <f t="shared" si="0"/>
        <v>14</v>
      </c>
      <c r="B25" s="73" t="s">
        <v>1513</v>
      </c>
      <c r="C25" s="80" t="s">
        <v>149</v>
      </c>
      <c r="D25" s="1142">
        <f>D23-D24</f>
        <v>392862.60456251353</v>
      </c>
      <c r="F25"/>
    </row>
    <row r="26" spans="1:6" ht="15.75" customHeight="1">
      <c r="A26" s="91">
        <f t="shared" si="0"/>
        <v>15</v>
      </c>
      <c r="B26" s="73"/>
      <c r="C26" s="73"/>
      <c r="D26" s="555">
        <f>D25/D24</f>
        <v>8.6368821494349782E-2</v>
      </c>
      <c r="F26"/>
    </row>
    <row r="27" spans="1:6" ht="15.75" customHeight="1">
      <c r="A27" s="91">
        <f t="shared" si="0"/>
        <v>16</v>
      </c>
      <c r="B27" s="73"/>
      <c r="C27" s="73"/>
      <c r="D27" s="146"/>
      <c r="F27"/>
    </row>
    <row r="28" spans="1:6" ht="15.75" customHeight="1">
      <c r="A28" s="91">
        <f t="shared" si="0"/>
        <v>17</v>
      </c>
      <c r="B28" s="80" t="s">
        <v>1235</v>
      </c>
      <c r="C28" s="80" t="s">
        <v>42</v>
      </c>
      <c r="D28" s="1142">
        <f>'C.2.1 F'!D18</f>
        <v>6412852.0600300189</v>
      </c>
      <c r="F28"/>
    </row>
    <row r="29" spans="1:6" ht="15.75" customHeight="1">
      <c r="A29" s="91">
        <f t="shared" si="0"/>
        <v>18</v>
      </c>
      <c r="B29" s="80" t="s">
        <v>1557</v>
      </c>
      <c r="C29" s="80" t="s">
        <v>43</v>
      </c>
      <c r="D29" s="361">
        <f>'C.2.1 B'!D21</f>
        <v>5882491.037973485</v>
      </c>
      <c r="F29"/>
    </row>
    <row r="30" spans="1:6" ht="15.75" customHeight="1">
      <c r="A30" s="91">
        <f t="shared" si="0"/>
        <v>19</v>
      </c>
      <c r="B30" s="73"/>
      <c r="C30" s="80" t="s">
        <v>149</v>
      </c>
      <c r="D30" s="1142">
        <f>D28-D29</f>
        <v>530361.02205653396</v>
      </c>
      <c r="F30"/>
    </row>
    <row r="31" spans="1:6" ht="15.75" customHeight="1">
      <c r="A31" s="91">
        <f t="shared" si="0"/>
        <v>20</v>
      </c>
      <c r="B31" s="73"/>
      <c r="C31" s="73"/>
      <c r="D31" s="555">
        <f>D30/D29</f>
        <v>9.0159257129823533E-2</v>
      </c>
      <c r="F31"/>
    </row>
    <row r="32" spans="1:6" ht="15.75" customHeight="1">
      <c r="A32" s="91">
        <f t="shared" si="0"/>
        <v>21</v>
      </c>
      <c r="B32" s="73"/>
      <c r="C32" s="73"/>
      <c r="D32" s="146"/>
      <c r="F32"/>
    </row>
    <row r="33" spans="1:6" ht="15.75" customHeight="1">
      <c r="A33" s="91">
        <f t="shared" si="0"/>
        <v>22</v>
      </c>
      <c r="B33" s="73" t="s">
        <v>647</v>
      </c>
      <c r="C33" s="80" t="s">
        <v>42</v>
      </c>
      <c r="D33" s="470">
        <v>0</v>
      </c>
      <c r="F33"/>
    </row>
    <row r="34" spans="1:6" ht="15.75" customHeight="1">
      <c r="A34" s="91">
        <f t="shared" si="0"/>
        <v>23</v>
      </c>
      <c r="B34" s="73"/>
      <c r="C34" s="80" t="s">
        <v>43</v>
      </c>
      <c r="D34" s="75">
        <v>0</v>
      </c>
      <c r="F34"/>
    </row>
    <row r="35" spans="1:6" ht="15.75" customHeight="1">
      <c r="A35" s="91">
        <f t="shared" si="0"/>
        <v>24</v>
      </c>
      <c r="B35" s="73"/>
      <c r="C35" s="80" t="s">
        <v>149</v>
      </c>
      <c r="D35" s="1142">
        <f>D33-D34</f>
        <v>0</v>
      </c>
      <c r="F35"/>
    </row>
    <row r="36" spans="1:6" ht="15.75" customHeight="1">
      <c r="A36" s="91">
        <f t="shared" si="0"/>
        <v>25</v>
      </c>
      <c r="B36" s="73"/>
      <c r="C36" s="73"/>
      <c r="D36" s="1143">
        <f>IF(D34=0,0,D35/D34)</f>
        <v>0</v>
      </c>
      <c r="F36"/>
    </row>
    <row r="37" spans="1:6" ht="15.75" customHeight="1">
      <c r="A37" s="91">
        <f t="shared" si="0"/>
        <v>26</v>
      </c>
      <c r="B37" s="485" t="s">
        <v>600</v>
      </c>
      <c r="C37" s="73"/>
      <c r="D37" s="73"/>
      <c r="F37"/>
    </row>
    <row r="38" spans="1:6" ht="15.75" customHeight="1">
      <c r="A38" s="91">
        <f t="shared" si="0"/>
        <v>27</v>
      </c>
      <c r="B38" s="73" t="s">
        <v>1238</v>
      </c>
      <c r="C38" s="80" t="s">
        <v>42</v>
      </c>
      <c r="D38" s="1142">
        <f>'C.2.1 F'!D22</f>
        <v>1300280.0711960639</v>
      </c>
      <c r="F38"/>
    </row>
    <row r="39" spans="1:6" ht="15.75" customHeight="1">
      <c r="A39" s="91">
        <f t="shared" si="0"/>
        <v>28</v>
      </c>
      <c r="B39" s="73" t="s">
        <v>1239</v>
      </c>
      <c r="C39" s="80" t="s">
        <v>43</v>
      </c>
      <c r="D39" s="361">
        <f>'C.2.1 B'!D26</f>
        <v>490350.28302817419</v>
      </c>
      <c r="F39"/>
    </row>
    <row r="40" spans="1:6" ht="15.75" customHeight="1">
      <c r="A40" s="91">
        <f t="shared" si="0"/>
        <v>29</v>
      </c>
      <c r="B40" s="73"/>
      <c r="C40" s="80" t="s">
        <v>149</v>
      </c>
      <c r="D40" s="1142">
        <f>D38-D39</f>
        <v>809929.7881678897</v>
      </c>
      <c r="F40"/>
    </row>
    <row r="41" spans="1:6" ht="15.75" customHeight="1">
      <c r="A41" s="91">
        <f t="shared" si="0"/>
        <v>30</v>
      </c>
      <c r="B41" s="73"/>
      <c r="C41" s="73"/>
      <c r="D41" s="555">
        <f>D40/D39</f>
        <v>1.6517371687156819</v>
      </c>
      <c r="F41"/>
    </row>
    <row r="42" spans="1:6" ht="15.75" customHeight="1">
      <c r="A42" s="91">
        <f t="shared" si="0"/>
        <v>31</v>
      </c>
      <c r="B42" s="73"/>
      <c r="C42" s="73"/>
      <c r="D42" s="146"/>
      <c r="F42"/>
    </row>
    <row r="43" spans="1:6" ht="15.75" customHeight="1">
      <c r="A43" s="91">
        <f t="shared" si="0"/>
        <v>32</v>
      </c>
      <c r="B43" s="80" t="s">
        <v>1327</v>
      </c>
      <c r="C43" s="80" t="s">
        <v>42</v>
      </c>
      <c r="D43" s="1142">
        <f>'C.2.1 F'!D23</f>
        <v>234286</v>
      </c>
      <c r="F43"/>
    </row>
    <row r="44" spans="1:6" ht="15.75" customHeight="1">
      <c r="A44" s="91">
        <f t="shared" si="0"/>
        <v>33</v>
      </c>
      <c r="B44" s="80" t="s">
        <v>1236</v>
      </c>
      <c r="C44" s="80" t="s">
        <v>43</v>
      </c>
      <c r="D44" s="361">
        <f>'C.2.1 B'!D27</f>
        <v>234281</v>
      </c>
      <c r="F44"/>
    </row>
    <row r="45" spans="1:6" ht="15.75" customHeight="1">
      <c r="A45" s="91">
        <f t="shared" si="0"/>
        <v>34</v>
      </c>
      <c r="B45" s="73"/>
      <c r="C45" s="80" t="s">
        <v>149</v>
      </c>
      <c r="D45" s="1142">
        <f>D43-D44</f>
        <v>5</v>
      </c>
      <c r="F45"/>
    </row>
    <row r="46" spans="1:6" ht="15.75" customHeight="1">
      <c r="A46" s="91">
        <f t="shared" si="0"/>
        <v>35</v>
      </c>
      <c r="B46" s="73"/>
      <c r="C46" s="73"/>
      <c r="D46" s="555">
        <f>D45/D44</f>
        <v>2.1341892855161111E-5</v>
      </c>
      <c r="F46"/>
    </row>
    <row r="47" spans="1:6" ht="15.75" customHeight="1">
      <c r="A47" s="91">
        <f t="shared" si="0"/>
        <v>36</v>
      </c>
      <c r="B47" s="73"/>
      <c r="C47" s="73"/>
      <c r="D47" s="146"/>
      <c r="F47"/>
    </row>
    <row r="48" spans="1:6" ht="15.75" customHeight="1">
      <c r="A48" s="91">
        <f t="shared" si="0"/>
        <v>37</v>
      </c>
      <c r="B48" s="80" t="s">
        <v>1237</v>
      </c>
      <c r="C48" s="80" t="s">
        <v>42</v>
      </c>
      <c r="D48" s="1142">
        <f>'C.2.1 F'!D24</f>
        <v>15144509.466240136</v>
      </c>
      <c r="F48"/>
    </row>
    <row r="49" spans="1:11" ht="15.75" customHeight="1">
      <c r="A49" s="91">
        <f t="shared" si="0"/>
        <v>38</v>
      </c>
      <c r="B49" s="80" t="s">
        <v>1518</v>
      </c>
      <c r="C49" s="80" t="s">
        <v>43</v>
      </c>
      <c r="D49" s="361">
        <f>'C.2.1 B'!D28</f>
        <v>16646735.096687652</v>
      </c>
      <c r="F49"/>
    </row>
    <row r="50" spans="1:11" ht="15.75" customHeight="1">
      <c r="A50" s="91">
        <f t="shared" si="0"/>
        <v>39</v>
      </c>
      <c r="B50" s="73"/>
      <c r="C50" s="80" t="s">
        <v>149</v>
      </c>
      <c r="D50" s="1142">
        <f>D48-D49</f>
        <v>-1502225.6304475162</v>
      </c>
      <c r="F50"/>
    </row>
    <row r="51" spans="1:11" ht="15.75" customHeight="1">
      <c r="A51" s="91">
        <f t="shared" si="0"/>
        <v>40</v>
      </c>
      <c r="B51" s="73"/>
      <c r="C51" s="73"/>
      <c r="D51" s="555">
        <f>D50/D49</f>
        <v>-9.0241457061837144E-2</v>
      </c>
      <c r="F51"/>
    </row>
    <row r="52" spans="1:11" ht="15.75" customHeight="1">
      <c r="A52" s="91">
        <f t="shared" si="0"/>
        <v>41</v>
      </c>
      <c r="B52" s="73"/>
      <c r="C52" s="73"/>
      <c r="D52" s="146"/>
      <c r="F52"/>
    </row>
    <row r="53" spans="1:11" ht="15.75" customHeight="1">
      <c r="A53" s="91">
        <f t="shared" si="0"/>
        <v>42</v>
      </c>
      <c r="B53" s="73" t="s">
        <v>1430</v>
      </c>
      <c r="C53" s="80" t="s">
        <v>42</v>
      </c>
      <c r="D53" s="1142">
        <f>'C.2.1 F'!D25</f>
        <v>2713411.6520399996</v>
      </c>
      <c r="F53"/>
    </row>
    <row r="54" spans="1:11" ht="15.75" customHeight="1">
      <c r="A54" s="91">
        <f t="shared" si="0"/>
        <v>43</v>
      </c>
      <c r="B54" s="95" t="s">
        <v>1431</v>
      </c>
      <c r="C54" s="80" t="s">
        <v>43</v>
      </c>
      <c r="D54" s="361">
        <f>'C.2.1 B'!D29</f>
        <v>1222878.1555915009</v>
      </c>
      <c r="F54"/>
    </row>
    <row r="55" spans="1:11" ht="15.75" customHeight="1">
      <c r="A55" s="91">
        <f t="shared" si="0"/>
        <v>44</v>
      </c>
      <c r="B55" s="73"/>
      <c r="C55" s="80" t="s">
        <v>149</v>
      </c>
      <c r="D55" s="1142">
        <f>D53-D54</f>
        <v>1490533.4964484987</v>
      </c>
      <c r="F55"/>
    </row>
    <row r="56" spans="1:11" ht="15.75" customHeight="1">
      <c r="A56" s="91">
        <f t="shared" si="0"/>
        <v>45</v>
      </c>
      <c r="B56" s="73"/>
      <c r="C56" s="73"/>
      <c r="D56" s="1143">
        <f>IF(D54=0,0,D55/D54)</f>
        <v>1.2188732701072202</v>
      </c>
      <c r="F56"/>
    </row>
    <row r="57" spans="1:11" ht="15.75" customHeight="1">
      <c r="A57" s="91">
        <f t="shared" si="0"/>
        <v>46</v>
      </c>
      <c r="B57" s="485" t="s">
        <v>465</v>
      </c>
      <c r="C57" s="73"/>
      <c r="D57" s="73"/>
      <c r="F57"/>
    </row>
    <row r="58" spans="1:11" ht="15.75" customHeight="1">
      <c r="A58" s="91">
        <f t="shared" si="0"/>
        <v>47</v>
      </c>
      <c r="B58" s="80" t="s">
        <v>1435</v>
      </c>
      <c r="C58" s="80" t="s">
        <v>42</v>
      </c>
      <c r="D58" s="1142">
        <f>'C.2.1 F'!D100</f>
        <v>77873656.336473569</v>
      </c>
      <c r="F58"/>
    </row>
    <row r="59" spans="1:11" ht="15.75" customHeight="1">
      <c r="A59" s="91">
        <f t="shared" si="0"/>
        <v>48</v>
      </c>
      <c r="B59" s="80" t="s">
        <v>1517</v>
      </c>
      <c r="C59" s="80" t="s">
        <v>43</v>
      </c>
      <c r="D59" s="361">
        <f>'C.2.1 B'!D105</f>
        <v>70283865.695086718</v>
      </c>
      <c r="F59"/>
    </row>
    <row r="60" spans="1:11" ht="15.75" customHeight="1">
      <c r="A60" s="91">
        <f t="shared" si="0"/>
        <v>49</v>
      </c>
      <c r="B60" s="1" t="s">
        <v>1682</v>
      </c>
      <c r="C60" s="4" t="s">
        <v>149</v>
      </c>
      <c r="D60" s="1144">
        <f>D58-D59</f>
        <v>7589790.6413868517</v>
      </c>
      <c r="F60"/>
      <c r="G60" s="10"/>
      <c r="H60" s="10"/>
      <c r="I60" s="10"/>
      <c r="J60" s="10"/>
      <c r="K60" s="10"/>
    </row>
    <row r="61" spans="1:11" ht="15.75" customHeight="1">
      <c r="A61" s="91">
        <f t="shared" si="0"/>
        <v>50</v>
      </c>
      <c r="B61" s="1" t="s">
        <v>1558</v>
      </c>
      <c r="D61" s="1145">
        <f>D60/D59</f>
        <v>0.10798766639151189</v>
      </c>
      <c r="F61"/>
      <c r="G61" s="10"/>
      <c r="H61" s="10"/>
      <c r="I61" s="10"/>
      <c r="J61" s="10"/>
      <c r="K61" s="10"/>
    </row>
    <row r="62" spans="1:11" ht="15.75" customHeight="1">
      <c r="A62" s="91">
        <f t="shared" si="0"/>
        <v>51</v>
      </c>
      <c r="D62" s="18"/>
      <c r="F62" s="639"/>
      <c r="G62" s="10"/>
      <c r="H62" s="10"/>
      <c r="I62" s="10"/>
      <c r="J62" s="10"/>
      <c r="K62" s="10"/>
    </row>
    <row r="63" spans="1:11" ht="15.75" customHeight="1">
      <c r="A63" s="91">
        <f t="shared" si="0"/>
        <v>52</v>
      </c>
      <c r="D63" s="18"/>
      <c r="F63" s="639"/>
      <c r="G63" s="10"/>
      <c r="H63" s="10"/>
      <c r="I63" s="10"/>
      <c r="J63" s="10"/>
      <c r="K63" s="10"/>
    </row>
    <row r="64" spans="1:11" ht="15.75" customHeight="1">
      <c r="A64" s="91">
        <f t="shared" si="0"/>
        <v>53</v>
      </c>
      <c r="D64" s="18"/>
      <c r="F64" s="639"/>
      <c r="G64" s="10"/>
      <c r="H64" s="10"/>
      <c r="I64" s="10"/>
      <c r="J64" s="10"/>
      <c r="K64" s="10"/>
    </row>
    <row r="65" spans="1:15" ht="15.75" customHeight="1">
      <c r="A65" s="91">
        <f t="shared" si="0"/>
        <v>54</v>
      </c>
      <c r="B65" t="s">
        <v>193</v>
      </c>
      <c r="F65"/>
    </row>
    <row r="66" spans="1:15" ht="15.75" customHeight="1">
      <c r="A66" s="91">
        <f t="shared" si="0"/>
        <v>55</v>
      </c>
      <c r="B66" s="281" t="s">
        <v>1226</v>
      </c>
      <c r="C66"/>
      <c r="D66" s="84">
        <f>D14+D19+D24+D29+D34+D44+D49+D54+D39</f>
        <v>162975315.4569141</v>
      </c>
      <c r="E66"/>
      <c r="F66"/>
    </row>
    <row r="67" spans="1:15" ht="15.75" customHeight="1">
      <c r="A67" s="91">
        <f t="shared" si="0"/>
        <v>56</v>
      </c>
      <c r="B67" s="281" t="s">
        <v>1227</v>
      </c>
      <c r="C67"/>
      <c r="D67" s="87">
        <f>D59</f>
        <v>70283865.695086718</v>
      </c>
      <c r="E67"/>
      <c r="F67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.75" customHeight="1">
      <c r="A68" s="91">
        <f t="shared" si="0"/>
        <v>57</v>
      </c>
      <c r="B68" s="281" t="s">
        <v>1228</v>
      </c>
      <c r="C68"/>
      <c r="D68" s="84">
        <f>D66-D67</f>
        <v>92691449.761827379</v>
      </c>
      <c r="E68"/>
      <c r="F68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5.75" customHeight="1">
      <c r="A69" s="91">
        <f t="shared" si="0"/>
        <v>58</v>
      </c>
      <c r="B69" s="281"/>
      <c r="C69"/>
      <c r="D69"/>
      <c r="E69"/>
      <c r="F69"/>
      <c r="K69" s="25"/>
    </row>
    <row r="70" spans="1:15" ht="15.75" customHeight="1">
      <c r="A70" s="91">
        <f t="shared" si="0"/>
        <v>59</v>
      </c>
      <c r="B70" s="281" t="s">
        <v>1229</v>
      </c>
      <c r="C70"/>
      <c r="D70" s="84">
        <f>D13+D18+D23+D28+D33+D43+D48+D53+D38</f>
        <v>173466922.94966945</v>
      </c>
      <c r="E70"/>
      <c r="F70"/>
    </row>
    <row r="71" spans="1:15" ht="15.75" customHeight="1">
      <c r="A71" s="91">
        <f t="shared" si="0"/>
        <v>60</v>
      </c>
      <c r="B71" s="281" t="s">
        <v>1230</v>
      </c>
      <c r="C71"/>
      <c r="D71" s="87">
        <f>D58</f>
        <v>77873656.336473569</v>
      </c>
      <c r="E71"/>
      <c r="F71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5.75" customHeight="1">
      <c r="A72" s="91">
        <f t="shared" si="0"/>
        <v>61</v>
      </c>
      <c r="B72" s="281" t="s">
        <v>1231</v>
      </c>
      <c r="C72"/>
      <c r="D72" s="84">
        <f>D70-D71</f>
        <v>95593266.613195881</v>
      </c>
      <c r="E72"/>
      <c r="F72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5.75" customHeight="1">
      <c r="B73"/>
      <c r="C73"/>
      <c r="D73"/>
      <c r="E73"/>
      <c r="F73"/>
      <c r="K73" s="25"/>
    </row>
    <row r="74" spans="1:15" ht="15.75" customHeight="1">
      <c r="B74"/>
      <c r="C74"/>
      <c r="D74"/>
      <c r="E74"/>
      <c r="F74"/>
    </row>
    <row r="75" spans="1:15" ht="15.75" customHeight="1">
      <c r="B75"/>
      <c r="C75"/>
      <c r="D75"/>
      <c r="E75"/>
      <c r="F75"/>
    </row>
    <row r="76" spans="1:15" ht="15.75" customHeight="1">
      <c r="B76"/>
      <c r="C76"/>
      <c r="D76"/>
      <c r="E76"/>
      <c r="F76"/>
    </row>
    <row r="77" spans="1:15" ht="15.75" customHeight="1">
      <c r="B77"/>
      <c r="C77"/>
      <c r="D77"/>
      <c r="E77"/>
      <c r="F77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5.75" customHeight="1">
      <c r="B78"/>
      <c r="C78"/>
      <c r="D78"/>
      <c r="E78"/>
      <c r="F78"/>
    </row>
    <row r="79" spans="1:15" ht="15.75" customHeight="1">
      <c r="B79"/>
      <c r="C79"/>
      <c r="D79"/>
      <c r="E79"/>
      <c r="F79"/>
    </row>
    <row r="80" spans="1:15" ht="15.75" customHeight="1">
      <c r="B80"/>
      <c r="C80"/>
      <c r="D80"/>
      <c r="E80"/>
      <c r="F80"/>
    </row>
    <row r="81" spans="2:6" ht="15.75" customHeight="1">
      <c r="B81"/>
      <c r="C81"/>
      <c r="D81"/>
      <c r="E81"/>
      <c r="F81"/>
    </row>
    <row r="82" spans="2:6" ht="15.75" customHeight="1">
      <c r="B82"/>
      <c r="C82"/>
      <c r="D82"/>
      <c r="E82"/>
      <c r="F82"/>
    </row>
    <row r="83" spans="2:6" ht="15.75" customHeight="1">
      <c r="B83"/>
      <c r="C83"/>
      <c r="D83"/>
      <c r="E83"/>
      <c r="F83"/>
    </row>
    <row r="84" spans="2:6" ht="15.75" customHeight="1">
      <c r="B84"/>
      <c r="C84"/>
      <c r="D84"/>
      <c r="E84"/>
      <c r="F84"/>
    </row>
    <row r="85" spans="2:6" ht="15.75" customHeight="1">
      <c r="B85"/>
      <c r="C85"/>
      <c r="D85"/>
      <c r="E85"/>
      <c r="F85"/>
    </row>
    <row r="86" spans="2:6" ht="15.75" customHeight="1">
      <c r="B86"/>
      <c r="C86"/>
      <c r="D86"/>
      <c r="E86"/>
      <c r="F86"/>
    </row>
    <row r="87" spans="2:6" ht="15.75" customHeight="1">
      <c r="B87"/>
      <c r="C87"/>
      <c r="D87"/>
      <c r="E87"/>
      <c r="F87"/>
    </row>
    <row r="88" spans="2:6" ht="15.75" customHeight="1">
      <c r="B88"/>
      <c r="C88"/>
      <c r="D88"/>
      <c r="E88"/>
      <c r="F88"/>
    </row>
    <row r="89" spans="2:6" ht="15.75" customHeight="1">
      <c r="B89"/>
      <c r="C89"/>
      <c r="D89"/>
      <c r="E89"/>
      <c r="F89"/>
    </row>
    <row r="90" spans="2:6" ht="15.75" customHeight="1">
      <c r="B90"/>
      <c r="C90"/>
      <c r="D90"/>
      <c r="E90"/>
      <c r="F90"/>
    </row>
    <row r="91" spans="2:6" ht="15.75" customHeight="1">
      <c r="B91"/>
      <c r="C91"/>
      <c r="D91"/>
      <c r="E91"/>
      <c r="F91"/>
    </row>
    <row r="92" spans="2:6" ht="15.75" customHeight="1">
      <c r="B92"/>
      <c r="C92"/>
      <c r="D92"/>
      <c r="E92"/>
      <c r="F92"/>
    </row>
    <row r="93" spans="2:6" ht="15.75" customHeight="1">
      <c r="B93"/>
      <c r="C93"/>
      <c r="D93"/>
      <c r="E93"/>
      <c r="F93"/>
    </row>
    <row r="94" spans="2:6" ht="15.75" customHeight="1">
      <c r="B94"/>
      <c r="C94"/>
      <c r="D94"/>
      <c r="E94"/>
      <c r="F94"/>
    </row>
    <row r="95" spans="2:6" ht="15.75" customHeight="1">
      <c r="B95"/>
      <c r="C95"/>
      <c r="D95"/>
      <c r="E95"/>
      <c r="F95"/>
    </row>
    <row r="96" spans="2:6" ht="15.75" customHeight="1">
      <c r="B96"/>
      <c r="C96"/>
      <c r="D96"/>
      <c r="E96"/>
      <c r="F96"/>
    </row>
    <row r="97" spans="2:6" ht="15.75" customHeight="1">
      <c r="B97"/>
      <c r="C97"/>
      <c r="D97"/>
      <c r="E97"/>
      <c r="F97"/>
    </row>
    <row r="98" spans="2:6" ht="15.75" customHeight="1">
      <c r="B98"/>
      <c r="C98"/>
      <c r="D98"/>
      <c r="E98"/>
      <c r="F98"/>
    </row>
    <row r="99" spans="2:6" ht="15.75" customHeight="1">
      <c r="B99"/>
      <c r="C99"/>
      <c r="D99"/>
      <c r="E99"/>
      <c r="F99"/>
    </row>
    <row r="100" spans="2:6" ht="15.75" customHeight="1">
      <c r="B100"/>
      <c r="C100"/>
      <c r="D100"/>
      <c r="E100"/>
      <c r="F100"/>
    </row>
    <row r="101" spans="2:6" ht="15.75" customHeight="1">
      <c r="B101"/>
      <c r="C101"/>
      <c r="D101"/>
      <c r="E101"/>
      <c r="F101"/>
    </row>
    <row r="102" spans="2:6" ht="15.75" customHeight="1">
      <c r="B102"/>
      <c r="C102"/>
      <c r="D102"/>
      <c r="E102"/>
      <c r="F102"/>
    </row>
    <row r="103" spans="2:6" ht="15.75" customHeight="1">
      <c r="B103"/>
      <c r="C103"/>
      <c r="D103"/>
      <c r="E103"/>
      <c r="F103"/>
    </row>
    <row r="104" spans="2:6" ht="15.75" customHeight="1">
      <c r="B104"/>
      <c r="C104"/>
      <c r="D104"/>
      <c r="E104"/>
      <c r="F104"/>
    </row>
    <row r="105" spans="2:6" ht="15.75" customHeight="1">
      <c r="B105"/>
      <c r="C105"/>
      <c r="D105"/>
      <c r="E105"/>
      <c r="F105"/>
    </row>
    <row r="106" spans="2:6" ht="15.75" customHeight="1">
      <c r="B106"/>
      <c r="C106"/>
      <c r="D106"/>
      <c r="E106"/>
      <c r="F106"/>
    </row>
    <row r="107" spans="2:6" ht="15.75" customHeight="1">
      <c r="B107"/>
      <c r="C107"/>
      <c r="D107"/>
      <c r="E107"/>
      <c r="F107"/>
    </row>
    <row r="108" spans="2:6" ht="15.75" customHeight="1">
      <c r="B108"/>
      <c r="C108"/>
      <c r="D108"/>
      <c r="E108"/>
      <c r="F108"/>
    </row>
    <row r="109" spans="2:6" ht="15.75" customHeight="1">
      <c r="B109" s="22"/>
    </row>
    <row r="110" spans="2:6" ht="15.75" customHeight="1">
      <c r="B110" s="22"/>
    </row>
    <row r="112" spans="2:6" ht="15.75" customHeight="1">
      <c r="B112" s="22"/>
    </row>
  </sheetData>
  <mergeCells count="4">
    <mergeCell ref="A1:D1"/>
    <mergeCell ref="A2:D2"/>
    <mergeCell ref="A3:D3"/>
    <mergeCell ref="A4:D4"/>
  </mergeCells>
  <phoneticPr fontId="21" type="noConversion"/>
  <printOptions horizontalCentered="1"/>
  <pageMargins left="0.71" right="0.43" top="0.75" bottom="0.67" header="0.5" footer="0.26"/>
  <pageSetup scale="61" orientation="portrait" verticalDpi="300" r:id="rId1"/>
  <headerFooter alignWithMargins="0">
    <oddFooter>&amp;RSchedule &amp;A
Page &amp;P of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34">
    <pageSetUpPr fitToPage="1"/>
  </sheetPr>
  <dimension ref="A1:O143"/>
  <sheetViews>
    <sheetView view="pageBreakPreview" topLeftCell="A4" zoomScale="80" zoomScaleNormal="100" zoomScaleSheetLayoutView="80" workbookViewId="0">
      <selection sqref="A1:D1"/>
    </sheetView>
  </sheetViews>
  <sheetFormatPr defaultColWidth="7.109375" defaultRowHeight="15.75" customHeight="1"/>
  <cols>
    <col min="1" max="1" width="3.6640625" style="1" customWidth="1"/>
    <col min="2" max="2" width="89.44140625" style="1" customWidth="1"/>
    <col min="3" max="3" width="11.6640625" style="1" customWidth="1"/>
    <col min="4" max="4" width="12.44140625" style="1" customWidth="1"/>
    <col min="5" max="11" width="7.109375" style="1"/>
    <col min="12" max="12" width="7.88671875" style="1" customWidth="1"/>
    <col min="13" max="13" width="8.5546875" style="1" customWidth="1"/>
    <col min="14" max="16384" width="7.109375" style="1"/>
  </cols>
  <sheetData>
    <row r="1" spans="1:5" ht="15.75" customHeight="1">
      <c r="A1" s="1270" t="str">
        <f>'Table of Contents'!A1:C1</f>
        <v>Atmos Energy Corporation, Kentucky/Mid-States Division</v>
      </c>
      <c r="B1" s="1270"/>
      <c r="C1" s="1270"/>
      <c r="D1" s="1270"/>
      <c r="E1" s="26"/>
    </row>
    <row r="2" spans="1:5" ht="15.75" customHeight="1">
      <c r="A2" s="1270" t="str">
        <f>'Table of Contents'!A2:C2</f>
        <v>Kentucky Jurisdiction Case No. 2021-00214</v>
      </c>
      <c r="B2" s="1270"/>
      <c r="C2" s="1270"/>
      <c r="D2" s="1270"/>
      <c r="E2" s="26"/>
    </row>
    <row r="3" spans="1:5" ht="15.75" customHeight="1">
      <c r="A3" s="1271" t="s">
        <v>427</v>
      </c>
      <c r="B3" s="1271"/>
      <c r="C3" s="1271"/>
      <c r="D3" s="1271"/>
      <c r="E3" s="26"/>
    </row>
    <row r="4" spans="1:5" ht="15.75" customHeight="1">
      <c r="A4" s="1270" t="str">
        <f>'Table of Contents'!A4:C4</f>
        <v>Forecasted Test Period: Twelve Months Ended December 31, 2022</v>
      </c>
      <c r="B4" s="1270"/>
      <c r="C4" s="1270"/>
      <c r="D4" s="1270"/>
      <c r="E4" s="26"/>
    </row>
    <row r="6" spans="1:5" ht="15.75" customHeight="1">
      <c r="B6" s="4" t="s">
        <v>675</v>
      </c>
      <c r="D6" s="452" t="s">
        <v>1378</v>
      </c>
    </row>
    <row r="7" spans="1:5" ht="15.75" customHeight="1">
      <c r="B7" s="4" t="s">
        <v>534</v>
      </c>
      <c r="D7" s="419" t="s">
        <v>261</v>
      </c>
    </row>
    <row r="8" spans="1:5" ht="15.75" customHeight="1">
      <c r="A8" s="29"/>
      <c r="B8" s="4" t="s">
        <v>454</v>
      </c>
      <c r="C8" s="29"/>
      <c r="D8" s="419" t="str">
        <f>D.1!P9</f>
        <v>Witness: Christian, Densman</v>
      </c>
      <c r="E8"/>
    </row>
    <row r="9" spans="1:5" ht="15.75" customHeight="1">
      <c r="A9" s="1" t="s">
        <v>1062</v>
      </c>
      <c r="B9" s="13"/>
      <c r="C9" s="31"/>
      <c r="D9" s="13"/>
      <c r="E9"/>
    </row>
    <row r="10" spans="1:5" ht="15.75" customHeight="1">
      <c r="A10" s="29" t="s">
        <v>1063</v>
      </c>
      <c r="B10" s="121" t="s">
        <v>598</v>
      </c>
      <c r="C10" s="6"/>
      <c r="D10" s="9" t="s">
        <v>103</v>
      </c>
      <c r="E10"/>
    </row>
    <row r="11" spans="1:5" ht="15.75" customHeight="1">
      <c r="E11"/>
    </row>
    <row r="12" spans="1:5" ht="15.75" customHeight="1">
      <c r="A12" s="48">
        <v>1</v>
      </c>
      <c r="B12" s="173" t="s">
        <v>601</v>
      </c>
      <c r="E12"/>
    </row>
    <row r="13" spans="1:5" ht="15.75" customHeight="1">
      <c r="A13" s="48">
        <v>2</v>
      </c>
      <c r="B13" s="471" t="s">
        <v>1428</v>
      </c>
      <c r="C13" s="4" t="s">
        <v>42</v>
      </c>
      <c r="D13" s="275">
        <f>'[13]O&amp;M Comparison'!$D$6+'[13]O&amp;M Comparison'!$D$7</f>
        <v>7258335.1889798595</v>
      </c>
    </row>
    <row r="14" spans="1:5" ht="15.75" customHeight="1">
      <c r="A14" s="48">
        <v>3</v>
      </c>
      <c r="B14" s="471" t="s">
        <v>1429</v>
      </c>
      <c r="C14" s="4" t="s">
        <v>43</v>
      </c>
      <c r="D14" s="354">
        <f>'[13]O&amp;M Comparison'!$C$6+'[13]O&amp;M Comparison'!$C$7</f>
        <v>7168251.9199999999</v>
      </c>
    </row>
    <row r="15" spans="1:5" ht="15.75" customHeight="1">
      <c r="A15" s="48">
        <v>4</v>
      </c>
      <c r="B15" s="471" t="s">
        <v>1240</v>
      </c>
      <c r="C15" s="4" t="s">
        <v>149</v>
      </c>
      <c r="D15" s="275">
        <f>D13-D14</f>
        <v>90083.268979859538</v>
      </c>
    </row>
    <row r="16" spans="1:5" ht="15.75" customHeight="1">
      <c r="A16" s="48">
        <v>5</v>
      </c>
      <c r="B16" s="471" t="s">
        <v>1241</v>
      </c>
      <c r="D16" s="555">
        <f>D15/D14</f>
        <v>1.2566978670004603E-2</v>
      </c>
    </row>
    <row r="17" spans="1:15" ht="15.75" customHeight="1">
      <c r="A17" s="48">
        <v>6</v>
      </c>
      <c r="B17" s="472"/>
      <c r="D17" s="73"/>
    </row>
    <row r="18" spans="1:15" ht="15.75" customHeight="1">
      <c r="A18" s="48">
        <v>7</v>
      </c>
      <c r="B18" s="485" t="s">
        <v>460</v>
      </c>
      <c r="D18" s="73"/>
    </row>
    <row r="19" spans="1:15" ht="15.75" customHeight="1">
      <c r="A19" s="48">
        <v>8</v>
      </c>
      <c r="B19" s="472" t="s">
        <v>1242</v>
      </c>
      <c r="C19" s="4" t="s">
        <v>42</v>
      </c>
      <c r="D19" s="275">
        <f>'[13]O&amp;M Comparison'!$D$10</f>
        <v>1035431.1400000001</v>
      </c>
    </row>
    <row r="20" spans="1:15" ht="15.75" customHeight="1">
      <c r="A20" s="48">
        <v>9</v>
      </c>
      <c r="B20" s="472" t="s">
        <v>1243</v>
      </c>
      <c r="C20" s="4" t="s">
        <v>43</v>
      </c>
      <c r="D20" s="354">
        <f>'[13]O&amp;M Comparison'!$C$10</f>
        <v>1035431.1400000001</v>
      </c>
    </row>
    <row r="21" spans="1:15" ht="15.75" customHeight="1">
      <c r="A21" s="48">
        <v>10</v>
      </c>
      <c r="B21" s="472" t="s">
        <v>1244</v>
      </c>
      <c r="C21" s="4" t="s">
        <v>149</v>
      </c>
      <c r="D21" s="275">
        <f>D19-D20</f>
        <v>0</v>
      </c>
    </row>
    <row r="22" spans="1:15" ht="15.75" customHeight="1">
      <c r="A22" s="48">
        <v>11</v>
      </c>
      <c r="B22" s="472" t="s">
        <v>1246</v>
      </c>
      <c r="D22" s="555">
        <f>D21/D20</f>
        <v>0</v>
      </c>
    </row>
    <row r="23" spans="1:15" ht="15.75" customHeight="1">
      <c r="A23" s="48">
        <v>12</v>
      </c>
      <c r="B23" s="472" t="s">
        <v>1245</v>
      </c>
      <c r="D23" s="73"/>
    </row>
    <row r="24" spans="1:15" ht="15.75" customHeight="1">
      <c r="A24" s="48">
        <v>13</v>
      </c>
      <c r="B24" s="472"/>
      <c r="D24" s="73"/>
    </row>
    <row r="25" spans="1:15" ht="15.75" customHeight="1">
      <c r="A25" s="48">
        <v>14</v>
      </c>
      <c r="B25" s="485" t="s">
        <v>461</v>
      </c>
      <c r="D25" s="73"/>
    </row>
    <row r="26" spans="1:15" ht="15.75" customHeight="1">
      <c r="A26" s="48">
        <v>15</v>
      </c>
      <c r="B26" s="472" t="s">
        <v>1247</v>
      </c>
      <c r="C26" s="4" t="s">
        <v>42</v>
      </c>
      <c r="D26" s="275">
        <f>'[13]O&amp;M Comparison'!$D$25-D13-D19-D32</f>
        <v>6959764.3117999965</v>
      </c>
    </row>
    <row r="27" spans="1:15" ht="15.75" customHeight="1">
      <c r="A27" s="48">
        <v>16</v>
      </c>
      <c r="B27" s="472" t="s">
        <v>1433</v>
      </c>
      <c r="C27" s="4" t="s">
        <v>43</v>
      </c>
      <c r="D27" s="1146">
        <f>'[13]O&amp;M Comparison'!$C$25-D14-D20-D33</f>
        <v>6959764.3115698555</v>
      </c>
    </row>
    <row r="28" spans="1:15" ht="15.75" customHeight="1">
      <c r="A28" s="48">
        <v>17</v>
      </c>
      <c r="B28" s="472" t="s">
        <v>1427</v>
      </c>
      <c r="C28" s="4" t="s">
        <v>149</v>
      </c>
      <c r="D28" s="275">
        <f>D26-D27</f>
        <v>2.3014098405838013E-4</v>
      </c>
    </row>
    <row r="29" spans="1:15" ht="15.75" customHeight="1">
      <c r="A29" s="48">
        <v>18</v>
      </c>
      <c r="B29" s="472"/>
      <c r="D29" s="555">
        <f>D28/D27</f>
        <v>3.3067353110764918E-11</v>
      </c>
    </row>
    <row r="30" spans="1:15" ht="15.75" customHeight="1">
      <c r="A30" s="48">
        <v>19</v>
      </c>
      <c r="B30" s="472"/>
      <c r="D30" s="73"/>
    </row>
    <row r="31" spans="1:15" ht="15.75" customHeight="1">
      <c r="A31" s="48">
        <v>20</v>
      </c>
      <c r="B31" s="485" t="s">
        <v>462</v>
      </c>
      <c r="D31" s="73"/>
    </row>
    <row r="32" spans="1:15" ht="15.75" customHeight="1">
      <c r="A32" s="48">
        <v>21</v>
      </c>
      <c r="B32" s="472" t="s">
        <v>1248</v>
      </c>
      <c r="C32" s="4" t="s">
        <v>42</v>
      </c>
      <c r="D32" s="275">
        <f>'[13]O&amp;M Comparison'!$D$22+'[13]O&amp;M Comparison'!$L$22</f>
        <v>453442.96010960906</v>
      </c>
      <c r="E32"/>
      <c r="F32"/>
      <c r="G32"/>
      <c r="H32"/>
      <c r="I32"/>
      <c r="J32"/>
      <c r="K32"/>
      <c r="L32"/>
      <c r="M32"/>
      <c r="N32"/>
      <c r="O32"/>
    </row>
    <row r="33" spans="1:15" ht="15.75" customHeight="1">
      <c r="A33" s="48">
        <v>22</v>
      </c>
      <c r="B33" s="472" t="s">
        <v>1249</v>
      </c>
      <c r="C33" s="4" t="s">
        <v>43</v>
      </c>
      <c r="D33" s="361">
        <f>'[13]O&amp;M Comparison'!$C$22+'[13]O&amp;M Comparison'!$K$22</f>
        <v>970021.53843014187</v>
      </c>
      <c r="E33"/>
      <c r="F33"/>
      <c r="G33"/>
      <c r="H33"/>
      <c r="I33"/>
      <c r="J33"/>
      <c r="K33"/>
      <c r="L33"/>
      <c r="M33"/>
      <c r="N33"/>
      <c r="O33"/>
    </row>
    <row r="34" spans="1:15" ht="15.75" customHeight="1">
      <c r="A34" s="48">
        <v>23</v>
      </c>
      <c r="B34" s="472" t="s">
        <v>1432</v>
      </c>
      <c r="C34" s="4" t="s">
        <v>149</v>
      </c>
      <c r="D34" s="1124">
        <f>D32-D33</f>
        <v>-516578.5783205328</v>
      </c>
    </row>
    <row r="35" spans="1:15" ht="15.75" customHeight="1">
      <c r="A35" s="48">
        <v>24</v>
      </c>
      <c r="B35" s="82"/>
      <c r="D35" s="555">
        <f>D34/D32</f>
        <v>-1.1392360754606539</v>
      </c>
      <c r="E35" s="10"/>
    </row>
    <row r="36" spans="1:15" ht="15.75" customHeight="1">
      <c r="A36" s="48">
        <v>25</v>
      </c>
      <c r="B36" s="173" t="s">
        <v>463</v>
      </c>
      <c r="C36" s="10"/>
      <c r="D36" s="65"/>
      <c r="E36" s="10"/>
      <c r="F36" s="10"/>
      <c r="G36" s="10"/>
      <c r="H36" s="10"/>
      <c r="I36" s="10"/>
      <c r="J36" s="10"/>
      <c r="K36" s="10"/>
    </row>
    <row r="37" spans="1:15" ht="15.75" customHeight="1">
      <c r="A37" s="48">
        <v>26</v>
      </c>
      <c r="B37" s="472" t="s">
        <v>1250</v>
      </c>
      <c r="C37" s="4" t="s">
        <v>42</v>
      </c>
      <c r="D37" s="275">
        <f>'[13]O&amp;M Comparison'!$H$25+'[13]O&amp;M Comparison'!$L$25</f>
        <v>15463672.79690503</v>
      </c>
    </row>
    <row r="38" spans="1:15" ht="15.75" customHeight="1">
      <c r="A38" s="48">
        <v>27</v>
      </c>
      <c r="B38" s="95" t="s">
        <v>1251</v>
      </c>
      <c r="C38" s="4" t="s">
        <v>43</v>
      </c>
      <c r="D38" s="354">
        <f>'[13]O&amp;M Comparison'!$G$25+'[13]O&amp;M Comparison'!$K$25</f>
        <v>15178190.590448823</v>
      </c>
    </row>
    <row r="39" spans="1:15" ht="15.75" customHeight="1">
      <c r="A39" s="48">
        <v>28</v>
      </c>
      <c r="B39" s="82" t="s">
        <v>1252</v>
      </c>
      <c r="C39" s="4" t="s">
        <v>149</v>
      </c>
      <c r="D39" s="275">
        <f>D37-D38</f>
        <v>285482.20645620674</v>
      </c>
      <c r="E39" s="10"/>
      <c r="F39" s="10"/>
      <c r="G39" s="10"/>
      <c r="H39" s="10"/>
      <c r="I39" s="10"/>
      <c r="J39" s="10"/>
      <c r="K39" s="10"/>
    </row>
    <row r="40" spans="1:15" ht="15.75" customHeight="1">
      <c r="A40" s="48">
        <v>29</v>
      </c>
      <c r="B40" s="4"/>
      <c r="D40" s="555">
        <f>D39/D38</f>
        <v>1.8808711404365425E-2</v>
      </c>
      <c r="E40" s="10"/>
      <c r="F40" s="10"/>
      <c r="G40" s="10"/>
      <c r="H40" s="10"/>
      <c r="I40" s="10"/>
      <c r="J40" s="10"/>
      <c r="K40" s="10"/>
    </row>
    <row r="41" spans="1:15" ht="15.75" customHeight="1">
      <c r="A41" s="48">
        <v>30</v>
      </c>
      <c r="B41" s="4"/>
      <c r="D41" s="18"/>
      <c r="E41" s="10"/>
      <c r="F41" s="10"/>
      <c r="G41" s="10"/>
      <c r="H41" s="10"/>
      <c r="I41" s="10"/>
      <c r="J41" s="10"/>
      <c r="K41" s="10"/>
    </row>
    <row r="42" spans="1:15" ht="15.75" customHeight="1">
      <c r="A42" s="48">
        <v>31</v>
      </c>
      <c r="B42" s="15" t="s">
        <v>387</v>
      </c>
      <c r="C42" t="s">
        <v>42</v>
      </c>
      <c r="D42" s="1077">
        <f>D13+D19+D26+D32+D37</f>
        <v>31170646.397794493</v>
      </c>
      <c r="E42"/>
    </row>
    <row r="43" spans="1:15" ht="15.75" customHeight="1">
      <c r="A43" s="48">
        <v>32</v>
      </c>
      <c r="B43"/>
      <c r="C43" t="s">
        <v>43</v>
      </c>
      <c r="D43" s="1109">
        <f>D14+D20+D27+D33+D38</f>
        <v>31311659.500448823</v>
      </c>
      <c r="E43"/>
    </row>
    <row r="44" spans="1:15" ht="15.75" customHeight="1">
      <c r="A44" s="48">
        <v>33</v>
      </c>
      <c r="B44"/>
      <c r="C44" t="s">
        <v>149</v>
      </c>
      <c r="D44" s="1077">
        <f>D42-D43</f>
        <v>-141013.10265433043</v>
      </c>
      <c r="E44"/>
    </row>
    <row r="45" spans="1:15" ht="15.75" customHeight="1">
      <c r="A45" s="48">
        <v>34</v>
      </c>
      <c r="B45"/>
      <c r="C45"/>
      <c r="D45" s="1145">
        <f>D44/D43</f>
        <v>-4.5035333452163127E-3</v>
      </c>
      <c r="E45"/>
      <c r="K45" s="10"/>
    </row>
    <row r="46" spans="1:15" ht="15.75" customHeight="1">
      <c r="B46"/>
      <c r="C46"/>
      <c r="D46"/>
      <c r="E46"/>
    </row>
    <row r="47" spans="1:15" ht="15.75" customHeight="1">
      <c r="B47" t="s">
        <v>1602</v>
      </c>
      <c r="C47"/>
      <c r="D47"/>
      <c r="E47"/>
    </row>
    <row r="48" spans="1:15" ht="15.75" customHeight="1">
      <c r="B48" s="639" t="s">
        <v>1571</v>
      </c>
      <c r="C48"/>
      <c r="D48"/>
      <c r="E48"/>
    </row>
    <row r="49" spans="2:15" ht="15.75" customHeight="1">
      <c r="B49"/>
      <c r="C49"/>
      <c r="D49"/>
      <c r="E49"/>
    </row>
    <row r="50" spans="2:15" ht="15.75" customHeight="1">
      <c r="B50"/>
      <c r="C50"/>
      <c r="D50"/>
      <c r="E50"/>
    </row>
    <row r="51" spans="2:15" ht="15.75" customHeight="1">
      <c r="B51"/>
      <c r="C51"/>
      <c r="D51"/>
      <c r="E51"/>
    </row>
    <row r="52" spans="2:15" ht="15.75" customHeight="1">
      <c r="B52"/>
      <c r="C52"/>
      <c r="D52"/>
      <c r="E52"/>
    </row>
    <row r="53" spans="2:15" ht="15.75" customHeight="1">
      <c r="B53"/>
      <c r="C53"/>
      <c r="D53"/>
      <c r="E53"/>
    </row>
    <row r="54" spans="2:15" ht="15.75" customHeight="1">
      <c r="B54"/>
      <c r="C54"/>
      <c r="D54"/>
      <c r="E54"/>
    </row>
    <row r="55" spans="2:15" ht="15.75" customHeight="1">
      <c r="B55"/>
      <c r="C55"/>
      <c r="D55"/>
      <c r="E55"/>
    </row>
    <row r="56" spans="2:15" ht="15.75" customHeight="1">
      <c r="B56"/>
      <c r="C56"/>
      <c r="D56"/>
      <c r="E56"/>
    </row>
    <row r="57" spans="2:15" ht="15.75" customHeight="1">
      <c r="B57"/>
      <c r="C57"/>
      <c r="D57"/>
      <c r="E57"/>
    </row>
    <row r="58" spans="2:15" ht="15.75" customHeight="1">
      <c r="B58"/>
      <c r="C58"/>
      <c r="D58"/>
      <c r="E58"/>
    </row>
    <row r="59" spans="2:15" ht="15.75" customHeight="1">
      <c r="B59"/>
      <c r="C59"/>
      <c r="D59"/>
      <c r="E59"/>
    </row>
    <row r="60" spans="2:15" ht="15.75" customHeight="1">
      <c r="B60"/>
      <c r="C60"/>
      <c r="D60"/>
      <c r="E6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2:15" ht="15.75" customHeight="1">
      <c r="B61"/>
      <c r="C61"/>
      <c r="D61"/>
      <c r="E61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2:15" ht="15.75" customHeight="1">
      <c r="B62"/>
      <c r="C62"/>
      <c r="D62"/>
      <c r="E62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2:15" ht="15.75" customHeight="1">
      <c r="B63"/>
      <c r="C63"/>
      <c r="D63"/>
      <c r="E63"/>
      <c r="K63" s="25"/>
    </row>
    <row r="64" spans="2:15" ht="15.75" customHeight="1">
      <c r="B64"/>
      <c r="C64"/>
      <c r="D64"/>
      <c r="E64"/>
    </row>
    <row r="65" spans="2:11" ht="15.75" customHeight="1">
      <c r="B65"/>
      <c r="C65"/>
      <c r="D65"/>
      <c r="E65"/>
    </row>
    <row r="66" spans="2:11" ht="15.75" customHeight="1">
      <c r="B66"/>
      <c r="C66"/>
      <c r="D66"/>
      <c r="E66"/>
      <c r="K66" s="10"/>
    </row>
    <row r="67" spans="2:11" ht="15.75" customHeight="1">
      <c r="B67"/>
      <c r="C67"/>
      <c r="D67"/>
      <c r="E67"/>
    </row>
    <row r="68" spans="2:11" ht="15.75" customHeight="1">
      <c r="B68"/>
      <c r="C68"/>
      <c r="D68"/>
      <c r="E68"/>
    </row>
    <row r="69" spans="2:11" ht="15.75" customHeight="1">
      <c r="B69"/>
      <c r="C69"/>
      <c r="D69"/>
      <c r="E69"/>
    </row>
    <row r="70" spans="2:11" ht="15.75" customHeight="1">
      <c r="B70"/>
      <c r="C70"/>
      <c r="D70"/>
      <c r="E70"/>
    </row>
    <row r="71" spans="2:11" ht="15.75" customHeight="1">
      <c r="B71"/>
      <c r="C71"/>
      <c r="D71"/>
      <c r="E71"/>
    </row>
    <row r="72" spans="2:11" ht="15.75" customHeight="1">
      <c r="B72"/>
      <c r="C72"/>
      <c r="D72"/>
      <c r="E72"/>
    </row>
    <row r="73" spans="2:11" ht="15.75" customHeight="1">
      <c r="B73"/>
      <c r="C73"/>
      <c r="D73"/>
      <c r="E73"/>
      <c r="G73" s="22"/>
    </row>
    <row r="74" spans="2:11" ht="15.75" customHeight="1">
      <c r="B74"/>
      <c r="C74"/>
      <c r="D74"/>
      <c r="E74"/>
      <c r="G74" s="22"/>
    </row>
    <row r="75" spans="2:11" ht="15.75" customHeight="1">
      <c r="B75"/>
      <c r="C75"/>
      <c r="D75"/>
      <c r="E75"/>
      <c r="G75" s="22"/>
    </row>
    <row r="76" spans="2:11" ht="15.75" customHeight="1">
      <c r="B76"/>
      <c r="C76"/>
      <c r="D76"/>
      <c r="E76"/>
    </row>
    <row r="77" spans="2:11" ht="15.75" customHeight="1">
      <c r="B77"/>
      <c r="C77"/>
      <c r="D77"/>
      <c r="E77"/>
    </row>
    <row r="78" spans="2:11" ht="15.75" customHeight="1">
      <c r="B78"/>
      <c r="C78"/>
      <c r="D78"/>
      <c r="E78"/>
    </row>
    <row r="79" spans="2:11" ht="15.75" customHeight="1">
      <c r="B79"/>
      <c r="C79"/>
      <c r="D79"/>
      <c r="E79"/>
    </row>
    <row r="80" spans="2:11" ht="15.75" customHeight="1">
      <c r="B80"/>
      <c r="C80"/>
      <c r="D80"/>
      <c r="E80"/>
    </row>
    <row r="81" spans="2:15" ht="15.75" customHeight="1">
      <c r="B81"/>
      <c r="C81"/>
      <c r="D81"/>
      <c r="E81"/>
    </row>
    <row r="82" spans="2:15" ht="15.75" customHeight="1">
      <c r="B82"/>
      <c r="C82"/>
      <c r="D82"/>
      <c r="E82"/>
    </row>
    <row r="83" spans="2:15" ht="15.75" customHeight="1">
      <c r="B83"/>
      <c r="C83"/>
      <c r="D83"/>
      <c r="E83"/>
    </row>
    <row r="84" spans="2:15" ht="15.75" customHeight="1">
      <c r="B84"/>
      <c r="C84"/>
      <c r="D84"/>
      <c r="E84"/>
    </row>
    <row r="85" spans="2:15" ht="15.75" customHeight="1">
      <c r="B85"/>
      <c r="C85"/>
      <c r="D85"/>
      <c r="E85"/>
    </row>
    <row r="86" spans="2:15" ht="15.75" customHeight="1">
      <c r="B86"/>
      <c r="C86"/>
      <c r="D86"/>
      <c r="E86"/>
    </row>
    <row r="87" spans="2:15" ht="15.75" customHeight="1">
      <c r="B87"/>
      <c r="C87"/>
      <c r="D87"/>
      <c r="E87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2:15" ht="15.75" customHeight="1">
      <c r="B88"/>
      <c r="C88"/>
      <c r="D88"/>
      <c r="E88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2:15" ht="15.75" customHeight="1">
      <c r="B89"/>
      <c r="C89"/>
      <c r="D89"/>
      <c r="E89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2:15" ht="15.75" customHeight="1">
      <c r="B90"/>
      <c r="C90"/>
      <c r="D90"/>
      <c r="E90"/>
      <c r="K90" s="25"/>
    </row>
    <row r="91" spans="2:15" ht="15.75" customHeight="1">
      <c r="B91"/>
      <c r="C91"/>
      <c r="D91"/>
      <c r="E91"/>
    </row>
    <row r="92" spans="2:15" ht="15.75" customHeight="1">
      <c r="B92"/>
      <c r="C92"/>
      <c r="D92"/>
      <c r="E92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2:15" ht="15.75" customHeight="1">
      <c r="B93"/>
      <c r="C93"/>
      <c r="D93"/>
      <c r="E93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2:15" ht="15.75" customHeight="1">
      <c r="B94"/>
      <c r="C94"/>
      <c r="D94"/>
      <c r="E94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2:15" ht="15.75" customHeight="1">
      <c r="B95"/>
      <c r="C95"/>
      <c r="D95"/>
      <c r="E95"/>
      <c r="K95" s="25"/>
    </row>
    <row r="96" spans="2:15" ht="15.75" customHeight="1">
      <c r="B96"/>
      <c r="C96"/>
      <c r="D96"/>
      <c r="E96"/>
    </row>
    <row r="97" spans="2:15" ht="15.75" customHeight="1">
      <c r="B97"/>
      <c r="C97"/>
      <c r="D97"/>
      <c r="E97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2:15" ht="15.75" customHeight="1">
      <c r="B98"/>
      <c r="C98"/>
      <c r="D98"/>
      <c r="E98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2:15" ht="15.75" customHeight="1">
      <c r="B99"/>
      <c r="C99"/>
      <c r="D99"/>
      <c r="E99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2:15" ht="15.75" customHeight="1">
      <c r="B100"/>
      <c r="C100"/>
      <c r="D100"/>
      <c r="E100"/>
      <c r="K100" s="25"/>
    </row>
    <row r="101" spans="2:15" ht="15.75" customHeight="1">
      <c r="B101"/>
      <c r="C101"/>
      <c r="D101"/>
      <c r="E101"/>
    </row>
    <row r="102" spans="2:15" ht="15.75" customHeight="1">
      <c r="B102"/>
      <c r="C102"/>
      <c r="D102"/>
      <c r="E102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2:15" ht="15.75" customHeight="1">
      <c r="B103"/>
      <c r="C103"/>
      <c r="D103"/>
      <c r="E103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2:15" ht="15.75" customHeight="1">
      <c r="B104"/>
      <c r="C104"/>
      <c r="D104"/>
      <c r="E104"/>
      <c r="K104" s="25"/>
    </row>
    <row r="105" spans="2:15" ht="15.75" customHeight="1">
      <c r="B105"/>
      <c r="C105"/>
      <c r="D105"/>
      <c r="E105"/>
    </row>
    <row r="106" spans="2:15" ht="15.75" customHeight="1">
      <c r="B106"/>
      <c r="C106"/>
      <c r="D106"/>
      <c r="E106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2:15" ht="15.75" customHeight="1">
      <c r="B107"/>
      <c r="C107"/>
      <c r="D107"/>
      <c r="E107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2:15" ht="15.75" customHeight="1">
      <c r="B108"/>
      <c r="C108"/>
      <c r="D108"/>
      <c r="E108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2:15" ht="15.75" customHeight="1">
      <c r="B109"/>
      <c r="C109"/>
      <c r="D109"/>
      <c r="E109"/>
      <c r="K109" s="25"/>
    </row>
    <row r="110" spans="2:15" ht="15.75" customHeight="1">
      <c r="B110"/>
      <c r="C110"/>
      <c r="D110"/>
      <c r="E110"/>
    </row>
    <row r="111" spans="2:15" ht="15.75" customHeight="1">
      <c r="B111"/>
      <c r="C111"/>
      <c r="D111"/>
      <c r="E111"/>
    </row>
    <row r="112" spans="2:15" ht="15.75" customHeight="1">
      <c r="B112"/>
      <c r="C112"/>
      <c r="D112"/>
      <c r="E112"/>
      <c r="K112" s="10"/>
    </row>
    <row r="113" spans="2:15" ht="15.75" customHeight="1">
      <c r="B113"/>
      <c r="C113"/>
      <c r="D113"/>
      <c r="E113"/>
    </row>
    <row r="114" spans="2:15" ht="15.75" customHeight="1">
      <c r="B114"/>
      <c r="C114"/>
      <c r="D114"/>
      <c r="E114"/>
    </row>
    <row r="115" spans="2:15" ht="15.75" customHeight="1">
      <c r="B115"/>
      <c r="C115"/>
      <c r="D115"/>
      <c r="E115"/>
    </row>
    <row r="116" spans="2:15" ht="15.75" customHeight="1">
      <c r="B116"/>
      <c r="C116"/>
      <c r="D116"/>
      <c r="E116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2:15" ht="15.75" customHeight="1">
      <c r="B117"/>
      <c r="C117"/>
      <c r="D117"/>
      <c r="E117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2:15" ht="15.75" customHeight="1">
      <c r="B118"/>
      <c r="C118"/>
      <c r="D118"/>
      <c r="E118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2:15" ht="15.75" customHeight="1">
      <c r="B119"/>
      <c r="C119"/>
      <c r="D119"/>
      <c r="E119"/>
      <c r="K119" s="25"/>
    </row>
    <row r="120" spans="2:15" ht="15.75" customHeight="1">
      <c r="C120"/>
      <c r="D120"/>
      <c r="E120"/>
    </row>
    <row r="121" spans="2:15" ht="15.75" customHeight="1">
      <c r="B121"/>
      <c r="C121"/>
      <c r="D121"/>
      <c r="E121"/>
    </row>
    <row r="122" spans="2:15" ht="15.75" customHeight="1">
      <c r="B122"/>
      <c r="C122"/>
      <c r="D122"/>
      <c r="E122"/>
    </row>
    <row r="123" spans="2:15" ht="15.75" customHeight="1">
      <c r="B123"/>
      <c r="C123"/>
      <c r="D123"/>
      <c r="E123"/>
    </row>
    <row r="124" spans="2:15" ht="15.75" customHeight="1">
      <c r="B124"/>
      <c r="C124"/>
      <c r="D124"/>
      <c r="E124"/>
    </row>
    <row r="125" spans="2:15" ht="15.75" customHeight="1">
      <c r="B125"/>
      <c r="C125"/>
      <c r="D125"/>
      <c r="E125"/>
    </row>
    <row r="126" spans="2:15" ht="15.75" customHeight="1">
      <c r="B126"/>
      <c r="C126"/>
      <c r="D126"/>
      <c r="E126"/>
    </row>
    <row r="127" spans="2:15" ht="15.75" customHeight="1">
      <c r="B127"/>
      <c r="C127"/>
      <c r="D127"/>
      <c r="E127"/>
    </row>
    <row r="128" spans="2:15" ht="15.75" customHeight="1">
      <c r="B128"/>
      <c r="C128"/>
      <c r="D128"/>
      <c r="E128"/>
    </row>
    <row r="129" spans="2:5" ht="15.75" customHeight="1">
      <c r="B129"/>
      <c r="C129"/>
      <c r="D129"/>
      <c r="E129"/>
    </row>
    <row r="130" spans="2:5" ht="15.75" customHeight="1">
      <c r="B130"/>
      <c r="C130"/>
      <c r="D130"/>
      <c r="E130"/>
    </row>
    <row r="131" spans="2:5" ht="15.75" customHeight="1">
      <c r="B131"/>
      <c r="C131"/>
      <c r="D131"/>
      <c r="E131"/>
    </row>
    <row r="132" spans="2:5" ht="15.75" customHeight="1">
      <c r="B132"/>
      <c r="C132"/>
      <c r="D132"/>
      <c r="E132"/>
    </row>
    <row r="133" spans="2:5" ht="15.75" customHeight="1">
      <c r="B133"/>
      <c r="C133"/>
      <c r="D133"/>
      <c r="E133"/>
    </row>
    <row r="134" spans="2:5" ht="15.75" customHeight="1">
      <c r="B134"/>
      <c r="C134"/>
      <c r="D134"/>
      <c r="E134"/>
    </row>
    <row r="135" spans="2:5" ht="15.75" customHeight="1">
      <c r="B135"/>
      <c r="C135"/>
      <c r="D135"/>
      <c r="E135"/>
    </row>
    <row r="136" spans="2:5" ht="15.75" customHeight="1">
      <c r="B136"/>
      <c r="C136"/>
      <c r="D136"/>
      <c r="E136"/>
    </row>
    <row r="137" spans="2:5" ht="15.75" customHeight="1">
      <c r="B137"/>
      <c r="C137"/>
      <c r="D137"/>
      <c r="E137"/>
    </row>
    <row r="138" spans="2:5" ht="15.75" customHeight="1">
      <c r="B138"/>
      <c r="C138"/>
      <c r="D138"/>
      <c r="E138"/>
    </row>
    <row r="139" spans="2:5" ht="15.75" customHeight="1">
      <c r="B139"/>
      <c r="C139"/>
      <c r="D139"/>
      <c r="E139"/>
    </row>
    <row r="140" spans="2:5" ht="15.75" customHeight="1">
      <c r="B140"/>
      <c r="C140"/>
      <c r="D140"/>
      <c r="E140"/>
    </row>
    <row r="141" spans="2:5" ht="15.75" customHeight="1">
      <c r="B141"/>
      <c r="C141"/>
      <c r="D141"/>
      <c r="E141"/>
    </row>
    <row r="142" spans="2:5" ht="15.75" customHeight="1">
      <c r="B142"/>
      <c r="C142"/>
      <c r="D142"/>
      <c r="E142"/>
    </row>
    <row r="143" spans="2:5" ht="15.75" customHeight="1">
      <c r="B143"/>
      <c r="C143"/>
      <c r="D143"/>
      <c r="E143"/>
    </row>
  </sheetData>
  <mergeCells count="4">
    <mergeCell ref="A1:D1"/>
    <mergeCell ref="A2:D2"/>
    <mergeCell ref="A3:D3"/>
    <mergeCell ref="A4:D4"/>
  </mergeCells>
  <phoneticPr fontId="21" type="noConversion"/>
  <printOptions horizontalCentered="1"/>
  <pageMargins left="0.67" right="0.57999999999999996" top="0.75" bottom="1.28" header="0.5" footer="0.78"/>
  <pageSetup scale="66" orientation="portrait" verticalDpi="300" r:id="rId1"/>
  <headerFooter alignWithMargins="0">
    <oddFooter>&amp;RSchedule &amp;A
Page 1 of 1</oddFooter>
  </headerFooter>
  <rowBreaks count="1" manualBreakCount="1">
    <brk id="68" min="1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C24"/>
  <sheetViews>
    <sheetView view="pageBreakPreview" zoomScale="80" zoomScaleNormal="100" zoomScaleSheetLayoutView="80" workbookViewId="0">
      <selection sqref="A1:C1"/>
    </sheetView>
  </sheetViews>
  <sheetFormatPr defaultRowHeight="15"/>
  <cols>
    <col min="1" max="1" width="10" customWidth="1"/>
    <col min="3" max="3" width="74.44140625" bestFit="1" customWidth="1"/>
  </cols>
  <sheetData>
    <row r="1" spans="1:3">
      <c r="A1" s="1255" t="str">
        <f>'Table of Contents'!A1:C1</f>
        <v>Atmos Energy Corporation, Kentucky/Mid-States Division</v>
      </c>
      <c r="B1" s="1255"/>
      <c r="C1" s="1255"/>
    </row>
    <row r="2" spans="1:3">
      <c r="A2" s="1255" t="str">
        <f>'Table of Contents'!A2:C2</f>
        <v>Kentucky Jurisdiction Case No. 2021-00214</v>
      </c>
      <c r="B2" s="1255"/>
      <c r="C2" s="1255"/>
    </row>
    <row r="3" spans="1:3">
      <c r="A3" s="1255" t="str">
        <f>'Table of Contents'!A3:C3</f>
        <v>Base Period: Twelve Months Ended September 30, 2021</v>
      </c>
      <c r="B3" s="1255"/>
      <c r="C3" s="1255"/>
    </row>
    <row r="4" spans="1:3">
      <c r="A4" s="1255" t="str">
        <f>'Table of Contents'!A4:C4</f>
        <v>Forecasted Test Period: Twelve Months Ended December 31, 2022</v>
      </c>
      <c r="B4" s="1255"/>
      <c r="C4" s="1255"/>
    </row>
    <row r="9" spans="1:3">
      <c r="A9" s="1251" t="s">
        <v>1359</v>
      </c>
      <c r="B9" s="1251"/>
      <c r="C9" s="1251"/>
    </row>
    <row r="11" spans="1:3" ht="15.75">
      <c r="A11" s="1259" t="s">
        <v>269</v>
      </c>
      <c r="B11" s="1259"/>
      <c r="C11" s="1259"/>
    </row>
    <row r="14" spans="1:3" ht="15.75">
      <c r="A14" s="272" t="s">
        <v>57</v>
      </c>
      <c r="B14" s="388" t="s">
        <v>609</v>
      </c>
      <c r="C14" s="272" t="s">
        <v>972</v>
      </c>
    </row>
    <row r="15" spans="1:3">
      <c r="A15" s="70"/>
      <c r="B15" s="172"/>
      <c r="C15" s="36"/>
    </row>
    <row r="16" spans="1:3">
      <c r="A16" s="198" t="s">
        <v>365</v>
      </c>
      <c r="B16" s="389">
        <v>2</v>
      </c>
      <c r="C16" s="36" t="s">
        <v>170</v>
      </c>
    </row>
    <row r="17" spans="1:3">
      <c r="A17" s="198" t="s">
        <v>673</v>
      </c>
      <c r="B17" s="389">
        <v>14</v>
      </c>
      <c r="C17" s="36" t="s">
        <v>525</v>
      </c>
    </row>
    <row r="18" spans="1:3">
      <c r="A18" s="198" t="s">
        <v>674</v>
      </c>
      <c r="B18" s="389">
        <v>14</v>
      </c>
      <c r="C18" s="36" t="s">
        <v>413</v>
      </c>
    </row>
    <row r="19" spans="1:3">
      <c r="A19" s="198" t="s">
        <v>1100</v>
      </c>
      <c r="B19" s="389">
        <v>5</v>
      </c>
      <c r="C19" s="36" t="s">
        <v>90</v>
      </c>
    </row>
    <row r="20" spans="1:3">
      <c r="A20" s="198" t="s">
        <v>78</v>
      </c>
      <c r="B20" s="389">
        <v>2</v>
      </c>
      <c r="C20" s="36" t="s">
        <v>79</v>
      </c>
    </row>
    <row r="21" spans="1:3">
      <c r="A21" s="198" t="s">
        <v>81</v>
      </c>
      <c r="B21" s="389">
        <v>2</v>
      </c>
      <c r="C21" s="36" t="s">
        <v>839</v>
      </c>
    </row>
    <row r="22" spans="1:3">
      <c r="A22" s="198" t="s">
        <v>80</v>
      </c>
      <c r="B22" s="389">
        <v>2</v>
      </c>
      <c r="C22" s="36" t="s">
        <v>840</v>
      </c>
    </row>
    <row r="23" spans="1:3">
      <c r="A23" s="198" t="s">
        <v>83</v>
      </c>
      <c r="B23" s="389">
        <v>3</v>
      </c>
      <c r="C23" s="36" t="s">
        <v>623</v>
      </c>
    </row>
    <row r="24" spans="1:3">
      <c r="A24" s="198" t="s">
        <v>800</v>
      </c>
      <c r="B24" s="389">
        <v>2</v>
      </c>
      <c r="C24" s="4" t="s">
        <v>628</v>
      </c>
    </row>
  </sheetData>
  <mergeCells count="6">
    <mergeCell ref="A9:C9"/>
    <mergeCell ref="A11:C11"/>
    <mergeCell ref="A1:C1"/>
    <mergeCell ref="A2:C2"/>
    <mergeCell ref="A3:C3"/>
    <mergeCell ref="A4:C4"/>
  </mergeCells>
  <phoneticPr fontId="21" type="noConversion"/>
  <printOptions horizontalCentered="1"/>
  <pageMargins left="0.75" right="0.75" top="1" bottom="1" header="0.5" footer="0.5"/>
  <pageSetup scale="78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35">
    <pageSetUpPr fitToPage="1"/>
  </sheetPr>
  <dimension ref="A1:J70"/>
  <sheetViews>
    <sheetView view="pageBreakPreview" zoomScale="80" zoomScaleNormal="100" zoomScaleSheetLayoutView="80" workbookViewId="0">
      <selection sqref="A1:D1"/>
    </sheetView>
  </sheetViews>
  <sheetFormatPr defaultColWidth="7.109375" defaultRowHeight="15"/>
  <cols>
    <col min="1" max="1" width="3.77734375" style="1" customWidth="1"/>
    <col min="2" max="2" width="66.77734375" style="1" bestFit="1" customWidth="1"/>
    <col min="3" max="3" width="13.33203125" style="1" customWidth="1"/>
    <col min="4" max="4" width="12.6640625" style="1" customWidth="1"/>
    <col min="5" max="10" width="7.109375" style="1"/>
    <col min="11" max="11" width="7.88671875" style="1" customWidth="1"/>
    <col min="12" max="12" width="8.5546875" style="1" customWidth="1"/>
    <col min="13" max="16384" width="7.109375" style="1"/>
  </cols>
  <sheetData>
    <row r="1" spans="1:10">
      <c r="A1" s="1270" t="str">
        <f>'Table of Contents'!A1:C1</f>
        <v>Atmos Energy Corporation, Kentucky/Mid-States Division</v>
      </c>
      <c r="B1" s="1270"/>
      <c r="C1" s="1270"/>
      <c r="D1" s="1270"/>
    </row>
    <row r="2" spans="1:10">
      <c r="A2" s="1270" t="str">
        <f>'Table of Contents'!A2:C2</f>
        <v>Kentucky Jurisdiction Case No. 2021-00214</v>
      </c>
      <c r="B2" s="1270"/>
      <c r="C2" s="1270"/>
      <c r="D2" s="1270"/>
    </row>
    <row r="3" spans="1:10">
      <c r="A3" s="1271" t="s">
        <v>427</v>
      </c>
      <c r="B3" s="1271"/>
      <c r="C3" s="1271"/>
      <c r="D3" s="1271"/>
    </row>
    <row r="4" spans="1:10">
      <c r="A4" s="1270" t="str">
        <f>'Table of Contents'!A4:C4</f>
        <v>Forecasted Test Period: Twelve Months Ended December 31, 2022</v>
      </c>
      <c r="B4" s="1270"/>
      <c r="C4" s="1270"/>
      <c r="D4" s="1270"/>
    </row>
    <row r="5" spans="1:10">
      <c r="D5" s="31"/>
      <c r="F5" s="22"/>
    </row>
    <row r="6" spans="1:10">
      <c r="B6" s="4" t="s">
        <v>675</v>
      </c>
      <c r="D6" s="452" t="s">
        <v>1379</v>
      </c>
      <c r="F6" s="22"/>
    </row>
    <row r="7" spans="1:10">
      <c r="B7" s="4" t="s">
        <v>610</v>
      </c>
      <c r="D7" s="419" t="s">
        <v>262</v>
      </c>
      <c r="F7" s="22"/>
    </row>
    <row r="8" spans="1:10">
      <c r="A8" s="29"/>
      <c r="B8" s="4" t="s">
        <v>363</v>
      </c>
      <c r="C8" s="29"/>
      <c r="D8" s="1147" t="str">
        <f>D.1!P9</f>
        <v>Witness: Christian, Densman</v>
      </c>
    </row>
    <row r="9" spans="1:10">
      <c r="A9" s="1" t="s">
        <v>1062</v>
      </c>
      <c r="B9" s="13"/>
      <c r="C9" s="31"/>
      <c r="D9" s="13"/>
    </row>
    <row r="10" spans="1:10">
      <c r="A10" s="29" t="s">
        <v>1063</v>
      </c>
      <c r="B10" s="121" t="s">
        <v>598</v>
      </c>
      <c r="C10" s="6"/>
      <c r="D10" s="9" t="s">
        <v>103</v>
      </c>
    </row>
    <row r="12" spans="1:10" ht="15.75">
      <c r="A12" s="48">
        <v>1</v>
      </c>
      <c r="B12" s="173" t="s">
        <v>599</v>
      </c>
      <c r="D12" s="73"/>
    </row>
    <row r="13" spans="1:10">
      <c r="A13" s="48">
        <v>2</v>
      </c>
      <c r="B13" s="73" t="s">
        <v>1298</v>
      </c>
      <c r="C13" s="4" t="s">
        <v>42</v>
      </c>
      <c r="D13" s="1142">
        <f>'C.2.2-F 09'!P14</f>
        <v>20554698.225372449</v>
      </c>
      <c r="J13" s="10"/>
    </row>
    <row r="14" spans="1:10">
      <c r="A14" s="48">
        <v>3</v>
      </c>
      <c r="B14" s="73" t="s">
        <v>1185</v>
      </c>
      <c r="C14" s="4" t="s">
        <v>43</v>
      </c>
      <c r="D14" s="361">
        <f>'C.2.2 B 09'!P14</f>
        <v>19295728.648829721</v>
      </c>
    </row>
    <row r="15" spans="1:10">
      <c r="A15" s="48">
        <v>4</v>
      </c>
      <c r="C15" s="4" t="s">
        <v>149</v>
      </c>
      <c r="D15" s="1142">
        <f>D13-D14</f>
        <v>1258969.5765427276</v>
      </c>
    </row>
    <row r="16" spans="1:10">
      <c r="A16" s="48">
        <v>5</v>
      </c>
      <c r="D16" s="555">
        <f>D15/D14</f>
        <v>6.5246024104877925E-2</v>
      </c>
    </row>
    <row r="17" spans="1:10" ht="15.75">
      <c r="A17" s="48">
        <v>6</v>
      </c>
      <c r="B17" s="173" t="s">
        <v>600</v>
      </c>
      <c r="D17" s="146"/>
    </row>
    <row r="18" spans="1:10">
      <c r="A18" s="48">
        <v>7</v>
      </c>
      <c r="B18" s="80" t="s">
        <v>1186</v>
      </c>
      <c r="C18" s="4" t="s">
        <v>42</v>
      </c>
      <c r="D18" s="1142">
        <f>'C.2.2-F 09'!P16</f>
        <v>10326386.977940097</v>
      </c>
      <c r="J18" s="10"/>
    </row>
    <row r="19" spans="1:10">
      <c r="A19" s="48">
        <v>8</v>
      </c>
      <c r="B19" s="80" t="s">
        <v>1187</v>
      </c>
      <c r="C19" s="4" t="s">
        <v>43</v>
      </c>
      <c r="D19" s="361">
        <f>'C.2.2 B 09'!P16</f>
        <v>9749303.3507630825</v>
      </c>
    </row>
    <row r="20" spans="1:10" ht="16.5" customHeight="1">
      <c r="A20" s="48">
        <v>9</v>
      </c>
      <c r="B20" s="73"/>
      <c r="C20" s="4" t="s">
        <v>149</v>
      </c>
      <c r="D20" s="1142">
        <f>D18-D19</f>
        <v>577083.62717701495</v>
      </c>
    </row>
    <row r="21" spans="1:10">
      <c r="A21" s="48">
        <v>10</v>
      </c>
      <c r="B21" s="73"/>
      <c r="D21" s="1145">
        <f>D20/D19</f>
        <v>5.9192293686486465E-2</v>
      </c>
    </row>
    <row r="22" spans="1:10">
      <c r="D22" s="24"/>
      <c r="J22" s="10"/>
    </row>
    <row r="23" spans="1:10">
      <c r="B23" s="4"/>
      <c r="C23" s="4"/>
      <c r="D23" s="24"/>
    </row>
    <row r="24" spans="1:10">
      <c r="B24"/>
      <c r="C24"/>
      <c r="D24"/>
      <c r="E24"/>
    </row>
    <row r="25" spans="1:10">
      <c r="B25"/>
      <c r="C25"/>
      <c r="D25"/>
      <c r="E25"/>
    </row>
    <row r="26" spans="1:10">
      <c r="B26"/>
      <c r="C26"/>
      <c r="D26"/>
      <c r="E26"/>
    </row>
    <row r="27" spans="1:10">
      <c r="B27"/>
      <c r="C27"/>
      <c r="D27"/>
      <c r="E27"/>
    </row>
    <row r="28" spans="1:10">
      <c r="B28"/>
      <c r="C28"/>
      <c r="D28"/>
      <c r="E28"/>
    </row>
    <row r="29" spans="1:10">
      <c r="B29"/>
      <c r="C29"/>
      <c r="D29"/>
      <c r="E29"/>
    </row>
    <row r="30" spans="1:10">
      <c r="B30"/>
      <c r="C30"/>
      <c r="D30"/>
      <c r="E30"/>
    </row>
    <row r="31" spans="1:10">
      <c r="B31"/>
      <c r="C31"/>
      <c r="D31"/>
      <c r="E31"/>
    </row>
    <row r="32" spans="1:10">
      <c r="B32"/>
      <c r="C32"/>
      <c r="D32"/>
      <c r="E32"/>
    </row>
    <row r="33" spans="2:5">
      <c r="B33"/>
      <c r="C33"/>
      <c r="D33"/>
      <c r="E33"/>
    </row>
    <row r="34" spans="2:5">
      <c r="B34"/>
      <c r="C34"/>
      <c r="D34"/>
      <c r="E34"/>
    </row>
    <row r="35" spans="2:5">
      <c r="B35"/>
      <c r="C35"/>
      <c r="D35"/>
      <c r="E35"/>
    </row>
    <row r="36" spans="2:5">
      <c r="B36"/>
      <c r="C36"/>
      <c r="D36"/>
      <c r="E36"/>
    </row>
    <row r="37" spans="2:5">
      <c r="B37"/>
      <c r="C37"/>
      <c r="D37"/>
      <c r="E37"/>
    </row>
    <row r="38" spans="2:5">
      <c r="B38"/>
      <c r="C38"/>
      <c r="D38"/>
      <c r="E38"/>
    </row>
    <row r="39" spans="2:5">
      <c r="B39"/>
      <c r="C39"/>
      <c r="D39"/>
      <c r="E39"/>
    </row>
    <row r="40" spans="2:5">
      <c r="B40"/>
      <c r="C40"/>
      <c r="D40"/>
      <c r="E40"/>
    </row>
    <row r="41" spans="2:5">
      <c r="B41"/>
      <c r="C41"/>
      <c r="D41"/>
      <c r="E41"/>
    </row>
    <row r="42" spans="2:5">
      <c r="B42"/>
      <c r="C42"/>
      <c r="D42"/>
      <c r="E42"/>
    </row>
    <row r="43" spans="2:5">
      <c r="B43"/>
      <c r="C43"/>
      <c r="D43"/>
      <c r="E43"/>
    </row>
    <row r="44" spans="2:5">
      <c r="B44"/>
      <c r="C44"/>
      <c r="D44"/>
      <c r="E44"/>
    </row>
    <row r="45" spans="2:5">
      <c r="B45"/>
      <c r="C45"/>
      <c r="D45"/>
      <c r="E45"/>
    </row>
    <row r="46" spans="2:5">
      <c r="B46"/>
      <c r="C46"/>
      <c r="D46"/>
      <c r="E46"/>
    </row>
    <row r="47" spans="2:5">
      <c r="B47"/>
      <c r="C47"/>
      <c r="D47"/>
      <c r="E47"/>
    </row>
    <row r="48" spans="2:5">
      <c r="B48"/>
      <c r="C48"/>
      <c r="D48"/>
      <c r="E48"/>
    </row>
    <row r="49" spans="2:5">
      <c r="B49"/>
      <c r="C49"/>
      <c r="D49"/>
      <c r="E49"/>
    </row>
    <row r="50" spans="2:5">
      <c r="B50"/>
      <c r="C50"/>
      <c r="D50"/>
      <c r="E50"/>
    </row>
    <row r="51" spans="2:5">
      <c r="B51"/>
      <c r="C51"/>
      <c r="D51"/>
      <c r="E51"/>
    </row>
    <row r="52" spans="2:5">
      <c r="B52"/>
      <c r="C52"/>
      <c r="D52"/>
      <c r="E52"/>
    </row>
    <row r="53" spans="2:5">
      <c r="B53"/>
      <c r="C53"/>
      <c r="D53"/>
      <c r="E53"/>
    </row>
    <row r="54" spans="2:5">
      <c r="B54"/>
      <c r="C54"/>
      <c r="D54"/>
      <c r="E54"/>
    </row>
    <row r="55" spans="2:5">
      <c r="B55"/>
      <c r="C55"/>
      <c r="D55"/>
      <c r="E55"/>
    </row>
    <row r="56" spans="2:5">
      <c r="B56"/>
      <c r="C56"/>
      <c r="D56"/>
      <c r="E56"/>
    </row>
    <row r="57" spans="2:5">
      <c r="B57"/>
      <c r="C57"/>
      <c r="D57"/>
      <c r="E57"/>
    </row>
    <row r="58" spans="2:5">
      <c r="B58"/>
      <c r="C58"/>
      <c r="D58"/>
      <c r="E58"/>
    </row>
    <row r="59" spans="2:5">
      <c r="B59"/>
      <c r="C59"/>
      <c r="D59"/>
      <c r="E59"/>
    </row>
    <row r="60" spans="2:5">
      <c r="B60"/>
      <c r="C60"/>
      <c r="D60"/>
      <c r="E60"/>
    </row>
    <row r="61" spans="2:5">
      <c r="B61"/>
      <c r="C61"/>
      <c r="D61"/>
      <c r="E61"/>
    </row>
    <row r="62" spans="2:5">
      <c r="B62"/>
      <c r="C62"/>
      <c r="D62"/>
      <c r="E62"/>
    </row>
    <row r="63" spans="2:5">
      <c r="B63"/>
      <c r="C63"/>
      <c r="D63"/>
      <c r="E63"/>
    </row>
    <row r="64" spans="2:5">
      <c r="B64"/>
      <c r="C64"/>
      <c r="D64"/>
      <c r="E64"/>
    </row>
    <row r="65" spans="2:5">
      <c r="B65"/>
      <c r="C65"/>
      <c r="D65"/>
      <c r="E65"/>
    </row>
    <row r="66" spans="2:5">
      <c r="B66"/>
      <c r="C66"/>
      <c r="D66"/>
      <c r="E66"/>
    </row>
    <row r="67" spans="2:5">
      <c r="B67"/>
      <c r="C67"/>
      <c r="D67"/>
      <c r="E67"/>
    </row>
    <row r="68" spans="2:5">
      <c r="B68"/>
      <c r="C68"/>
      <c r="D68"/>
      <c r="E68"/>
    </row>
    <row r="69" spans="2:5">
      <c r="B69"/>
      <c r="C69"/>
      <c r="D69"/>
      <c r="E69"/>
    </row>
    <row r="70" spans="2:5">
      <c r="B70"/>
      <c r="C70"/>
      <c r="D70"/>
      <c r="E70"/>
    </row>
  </sheetData>
  <mergeCells count="4">
    <mergeCell ref="A1:D1"/>
    <mergeCell ref="A2:D2"/>
    <mergeCell ref="A3:D3"/>
    <mergeCell ref="A4:D4"/>
  </mergeCells>
  <phoneticPr fontId="21" type="noConversion"/>
  <pageMargins left="0.95" right="0.5" top="0.92" bottom="0.5" header="0.5" footer="0.5"/>
  <pageSetup scale="78" orientation="portrait" verticalDpi="300" r:id="rId1"/>
  <headerFooter alignWithMargins="0">
    <oddFooter>&amp;RSchedule &amp;A
Page &amp;P of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16">
    <pageSetUpPr fitToPage="1"/>
  </sheetPr>
  <dimension ref="A1:C23"/>
  <sheetViews>
    <sheetView view="pageBreakPreview" zoomScale="80" zoomScaleNormal="100" zoomScaleSheetLayoutView="80" workbookViewId="0">
      <selection sqref="A1:C1"/>
    </sheetView>
  </sheetViews>
  <sheetFormatPr defaultRowHeight="15"/>
  <cols>
    <col min="3" max="3" width="67.6640625" customWidth="1"/>
  </cols>
  <sheetData>
    <row r="1" spans="1:3">
      <c r="A1" s="1255" t="str">
        <f>'Table of Contents'!A1:C1</f>
        <v>Atmos Energy Corporation, Kentucky/Mid-States Division</v>
      </c>
      <c r="B1" s="1255"/>
      <c r="C1" s="1255"/>
    </row>
    <row r="2" spans="1:3">
      <c r="A2" s="1255" t="str">
        <f>'Table of Contents'!A2:C2</f>
        <v>Kentucky Jurisdiction Case No. 2021-00214</v>
      </c>
      <c r="B2" s="1255"/>
      <c r="C2" s="1255"/>
    </row>
    <row r="3" spans="1:3">
      <c r="A3" s="1255" t="str">
        <f>'Table of Contents'!A3:C3</f>
        <v>Base Period: Twelve Months Ended September 30, 2021</v>
      </c>
      <c r="B3" s="1255"/>
      <c r="C3" s="1255"/>
    </row>
    <row r="4" spans="1:3">
      <c r="A4" s="1255" t="str">
        <f>'Table of Contents'!A4:C4</f>
        <v>Forecasted Test Period: Twelve Months Ended December 31, 2022</v>
      </c>
      <c r="B4" s="1255"/>
      <c r="C4" s="1255"/>
    </row>
    <row r="13" spans="1:3">
      <c r="A13" s="1251" t="s">
        <v>1380</v>
      </c>
      <c r="B13" s="1251"/>
      <c r="C13" s="1251"/>
    </row>
    <row r="15" spans="1:3" ht="15.75">
      <c r="A15" s="1284" t="s">
        <v>459</v>
      </c>
      <c r="B15" s="1284"/>
      <c r="C15" s="1284"/>
    </row>
    <row r="18" spans="1:3">
      <c r="A18" s="52" t="s">
        <v>57</v>
      </c>
      <c r="B18" s="52" t="s">
        <v>609</v>
      </c>
      <c r="C18" s="52" t="s">
        <v>972</v>
      </c>
    </row>
    <row r="20" spans="1:3">
      <c r="A20" s="47" t="s">
        <v>820</v>
      </c>
      <c r="B20" s="47">
        <v>1</v>
      </c>
      <c r="C20" t="s">
        <v>459</v>
      </c>
    </row>
    <row r="21" spans="1:3">
      <c r="B21" s="47"/>
    </row>
    <row r="22" spans="1:3">
      <c r="B22" s="47"/>
    </row>
    <row r="23" spans="1:3">
      <c r="B23" s="47"/>
    </row>
  </sheetData>
  <mergeCells count="6">
    <mergeCell ref="A4:C4"/>
    <mergeCell ref="A13:C13"/>
    <mergeCell ref="A15:C15"/>
    <mergeCell ref="A1:C1"/>
    <mergeCell ref="A2:C2"/>
    <mergeCell ref="A3:C3"/>
  </mergeCells>
  <phoneticPr fontId="21" type="noConversion"/>
  <pageMargins left="0.75" right="0.75" top="1" bottom="1" header="0.5" footer="0.5"/>
  <pageSetup scale="87" orientation="portrait" r:id="rId1"/>
  <headerFooter alignWithMargins="0"/>
  <colBreaks count="1" manualBreakCount="1">
    <brk id="3" max="1048575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95"/>
  <dimension ref="A1:AH43"/>
  <sheetViews>
    <sheetView view="pageBreakPreview" topLeftCell="B1" zoomScale="80" zoomScaleNormal="100" zoomScaleSheetLayoutView="80" workbookViewId="0">
      <selection sqref="A1:H1"/>
    </sheetView>
  </sheetViews>
  <sheetFormatPr defaultColWidth="13.88671875" defaultRowHeight="15"/>
  <cols>
    <col min="1" max="1" width="3.6640625" style="32" customWidth="1"/>
    <col min="2" max="2" width="16.21875" style="32" customWidth="1"/>
    <col min="3" max="3" width="11" style="32" customWidth="1"/>
    <col min="4" max="4" width="12.33203125" style="32" customWidth="1"/>
    <col min="5" max="5" width="13.109375" style="32" customWidth="1"/>
    <col min="6" max="6" width="12.5546875" style="32" customWidth="1"/>
    <col min="7" max="7" width="13.109375" style="32" customWidth="1"/>
    <col min="8" max="8" width="8.6640625" style="32" customWidth="1"/>
    <col min="9" max="9" width="13.88671875" style="32" customWidth="1"/>
    <col min="10" max="10" width="15.109375" style="32" customWidth="1"/>
    <col min="11" max="16384" width="13.88671875" style="32"/>
  </cols>
  <sheetData>
    <row r="1" spans="1:16">
      <c r="A1" s="1269" t="str">
        <f>'Table of Contents'!A1:C1</f>
        <v>Atmos Energy Corporation, Kentucky/Mid-States Division</v>
      </c>
      <c r="B1" s="1269"/>
      <c r="C1" s="1269"/>
      <c r="D1" s="1269"/>
      <c r="E1" s="1269"/>
      <c r="F1" s="1269"/>
      <c r="G1" s="1269"/>
      <c r="H1" s="1269"/>
      <c r="I1" s="26"/>
      <c r="M1" s="33"/>
      <c r="O1" s="33"/>
      <c r="P1" s="33"/>
    </row>
    <row r="2" spans="1:16">
      <c r="A2" s="1269" t="str">
        <f>'Table of Contents'!A2:C2</f>
        <v>Kentucky Jurisdiction Case No. 2021-00214</v>
      </c>
      <c r="B2" s="1269"/>
      <c r="C2" s="1269"/>
      <c r="D2" s="1269"/>
      <c r="E2" s="1269"/>
      <c r="F2" s="1269"/>
      <c r="G2" s="1269"/>
      <c r="H2" s="1269"/>
      <c r="I2" s="26"/>
      <c r="P2" s="33"/>
    </row>
    <row r="3" spans="1:16">
      <c r="A3" s="1269" t="s">
        <v>150</v>
      </c>
      <c r="B3" s="1269"/>
      <c r="C3" s="1269"/>
      <c r="D3" s="1269"/>
      <c r="E3" s="1269"/>
      <c r="F3" s="1269"/>
      <c r="G3" s="1269"/>
      <c r="H3" s="1269"/>
      <c r="I3" s="26"/>
    </row>
    <row r="4" spans="1:16">
      <c r="A4" s="1269" t="str">
        <f>'Table of Contents'!A3:C3</f>
        <v>Base Period: Twelve Months Ended September 30, 2021</v>
      </c>
      <c r="B4" s="1269"/>
      <c r="C4" s="1269"/>
      <c r="D4" s="1269"/>
      <c r="E4" s="1269"/>
      <c r="F4" s="1269"/>
      <c r="G4" s="1269"/>
      <c r="H4" s="1269"/>
      <c r="I4" s="26"/>
      <c r="M4" s="33"/>
      <c r="O4" s="33"/>
      <c r="P4" s="33"/>
    </row>
    <row r="5" spans="1:16">
      <c r="A5" s="1269" t="str">
        <f>'Table of Contents'!A4:C4</f>
        <v>Forecasted Test Period: Twelve Months Ended December 31, 2022</v>
      </c>
      <c r="B5" s="1269"/>
      <c r="C5" s="1269"/>
      <c r="D5" s="1269"/>
      <c r="E5" s="1269"/>
      <c r="F5" s="1269"/>
      <c r="G5" s="1269"/>
      <c r="H5" s="1269"/>
      <c r="I5" s="26"/>
      <c r="M5" s="33"/>
      <c r="O5" s="33"/>
      <c r="P5" s="33"/>
    </row>
    <row r="6" spans="1:16">
      <c r="A6" s="4"/>
      <c r="B6" s="43"/>
      <c r="C6" s="43"/>
      <c r="D6" s="44"/>
      <c r="P6" s="33"/>
    </row>
    <row r="7" spans="1:16">
      <c r="B7" s="44"/>
      <c r="C7" s="44"/>
      <c r="D7" s="44"/>
      <c r="H7" s="322" t="s">
        <v>1352</v>
      </c>
      <c r="I7" s="4"/>
    </row>
    <row r="8" spans="1:16">
      <c r="A8" s="4" t="s">
        <v>610</v>
      </c>
      <c r="B8" s="44"/>
      <c r="C8" s="44"/>
      <c r="D8" s="44"/>
      <c r="H8" s="413" t="s">
        <v>821</v>
      </c>
      <c r="I8" s="4"/>
      <c r="M8" s="33"/>
      <c r="O8" s="33"/>
      <c r="P8" s="33"/>
    </row>
    <row r="9" spans="1:16">
      <c r="A9" s="45" t="s">
        <v>363</v>
      </c>
      <c r="B9" s="34"/>
      <c r="C9" s="34"/>
      <c r="D9" s="34"/>
      <c r="E9" s="137"/>
      <c r="F9" s="137"/>
      <c r="G9" s="137"/>
      <c r="H9" s="453" t="s">
        <v>1620</v>
      </c>
      <c r="I9" s="44"/>
      <c r="M9" s="33"/>
      <c r="P9" s="33"/>
    </row>
    <row r="10" spans="1:16">
      <c r="E10" s="44"/>
      <c r="F10" s="43"/>
      <c r="G10" s="44"/>
      <c r="H10" s="43"/>
      <c r="I10" s="44"/>
    </row>
    <row r="11" spans="1:16">
      <c r="A11" s="33" t="s">
        <v>92</v>
      </c>
      <c r="E11" s="30" t="s">
        <v>322</v>
      </c>
      <c r="F11" s="2"/>
      <c r="G11" s="48" t="s">
        <v>314</v>
      </c>
      <c r="H11" s="48" t="s">
        <v>138</v>
      </c>
      <c r="I11" s="193"/>
    </row>
    <row r="12" spans="1:16">
      <c r="A12" s="35" t="s">
        <v>98</v>
      </c>
      <c r="B12" s="35" t="s">
        <v>972</v>
      </c>
      <c r="C12" s="34"/>
      <c r="D12" s="34"/>
      <c r="E12" s="9" t="s">
        <v>973</v>
      </c>
      <c r="F12" s="9" t="s">
        <v>974</v>
      </c>
      <c r="G12" s="9" t="s">
        <v>822</v>
      </c>
      <c r="H12" s="9" t="s">
        <v>445</v>
      </c>
      <c r="I12" s="30"/>
    </row>
    <row r="13" spans="1:16">
      <c r="E13" s="2" t="s">
        <v>1076</v>
      </c>
      <c r="F13" s="2" t="s">
        <v>1077</v>
      </c>
      <c r="G13" s="2" t="s">
        <v>1078</v>
      </c>
      <c r="H13" s="2"/>
      <c r="I13" s="30"/>
    </row>
    <row r="14" spans="1:16">
      <c r="E14" s="2"/>
      <c r="F14" s="2"/>
      <c r="G14" s="2"/>
      <c r="H14" s="2"/>
      <c r="I14" s="30"/>
    </row>
    <row r="15" spans="1:16">
      <c r="A15" s="48">
        <v>1</v>
      </c>
      <c r="B15" s="32" t="s">
        <v>823</v>
      </c>
      <c r="E15" s="1148">
        <f>+'C.2'!D14-SUM('C.2'!D17:D27)</f>
        <v>35714148.53565231</v>
      </c>
      <c r="F15" s="1148">
        <f>+G15-E15</f>
        <v>-5320.1095765829086</v>
      </c>
      <c r="G15" s="1148">
        <f>'C.2'!O14-SUM('C.2'!O17:O27)</f>
        <v>35708828.426075727</v>
      </c>
      <c r="H15" s="2" t="s">
        <v>139</v>
      </c>
      <c r="I15" s="30"/>
    </row>
    <row r="16" spans="1:16">
      <c r="A16" s="48"/>
      <c r="E16" s="17"/>
      <c r="F16" s="17"/>
      <c r="G16" s="17"/>
      <c r="H16" s="2"/>
      <c r="I16" s="2"/>
    </row>
    <row r="17" spans="1:34">
      <c r="A17" s="48">
        <v>2</v>
      </c>
      <c r="B17" s="32" t="s">
        <v>210</v>
      </c>
      <c r="E17" s="1149">
        <f>+E32</f>
        <v>9651471.3099451121</v>
      </c>
      <c r="F17" s="1149">
        <f>+G17-E17</f>
        <v>845185.85476561263</v>
      </c>
      <c r="G17" s="1149">
        <f>+G32</f>
        <v>10496657.164710725</v>
      </c>
      <c r="H17" s="2" t="s">
        <v>768</v>
      </c>
      <c r="I17" s="2"/>
    </row>
    <row r="18" spans="1:34">
      <c r="A18" s="48"/>
      <c r="E18" s="17"/>
      <c r="F18" s="17"/>
      <c r="G18" s="17"/>
      <c r="H18" s="2"/>
      <c r="I18" s="2"/>
    </row>
    <row r="19" spans="1:34">
      <c r="A19" s="48">
        <v>3</v>
      </c>
      <c r="B19" s="32" t="s">
        <v>804</v>
      </c>
      <c r="E19" s="1148">
        <f>+E15-E17</f>
        <v>26062677.225707196</v>
      </c>
      <c r="F19" s="1148">
        <f>+F15-F17</f>
        <v>-850505.96434219554</v>
      </c>
      <c r="G19" s="1148">
        <f>+G15-G17</f>
        <v>25212171.261365004</v>
      </c>
      <c r="H19" s="2"/>
      <c r="I19" s="2"/>
    </row>
    <row r="20" spans="1:34">
      <c r="A20" s="48"/>
      <c r="E20" s="17"/>
      <c r="F20" s="17"/>
      <c r="G20" s="17"/>
      <c r="H20" s="2"/>
      <c r="I20" s="2"/>
    </row>
    <row r="21" spans="1:34">
      <c r="A21" s="48">
        <v>4</v>
      </c>
      <c r="B21" s="32" t="s">
        <v>151</v>
      </c>
      <c r="E21" s="141">
        <f>0.05+0.21*(1-0.05)</f>
        <v>0.2495</v>
      </c>
      <c r="F21" s="141"/>
      <c r="G21" s="141">
        <f>Allocation!E25</f>
        <v>0.2495</v>
      </c>
      <c r="H21" s="2" t="s">
        <v>496</v>
      </c>
      <c r="I21" s="2"/>
    </row>
    <row r="22" spans="1:34">
      <c r="A22" s="48"/>
      <c r="E22" s="17"/>
      <c r="F22" s="17"/>
      <c r="G22" s="17"/>
      <c r="H22" s="2"/>
      <c r="I22" s="2"/>
    </row>
    <row r="23" spans="1:34" ht="16.5" thickBot="1">
      <c r="A23" s="48">
        <v>5</v>
      </c>
      <c r="B23" s="142" t="s">
        <v>1129</v>
      </c>
      <c r="E23" s="1150">
        <f>+E19*E21</f>
        <v>6502637.9678139454</v>
      </c>
      <c r="F23" s="1150">
        <f>+G23-E23</f>
        <v>-212201.2381033767</v>
      </c>
      <c r="G23" s="1151">
        <f>+G19*G21</f>
        <v>6290436.7297105687</v>
      </c>
      <c r="H23" s="2"/>
      <c r="I23" s="2"/>
    </row>
    <row r="24" spans="1:34" ht="16.5" thickTop="1">
      <c r="A24" s="48"/>
      <c r="B24" s="142"/>
      <c r="E24" s="64"/>
      <c r="F24" s="17"/>
      <c r="G24" s="143"/>
      <c r="H24" s="2"/>
      <c r="I24" s="2"/>
    </row>
    <row r="25" spans="1:34" ht="15.75">
      <c r="A25" s="48"/>
      <c r="B25" s="142"/>
      <c r="E25" s="64"/>
      <c r="F25" s="17"/>
      <c r="G25" s="143"/>
      <c r="H25" s="2"/>
      <c r="I25" s="2"/>
    </row>
    <row r="26" spans="1:34">
      <c r="A26" s="48"/>
      <c r="E26" s="17"/>
      <c r="F26" s="17"/>
      <c r="G26" s="17"/>
      <c r="H26" s="2"/>
      <c r="I26" s="2"/>
    </row>
    <row r="27" spans="1:34">
      <c r="A27" s="48"/>
      <c r="B27" s="144" t="s">
        <v>1130</v>
      </c>
      <c r="E27" s="17"/>
      <c r="F27" s="17"/>
      <c r="G27" s="17"/>
      <c r="H27" s="2"/>
      <c r="I27" s="2"/>
    </row>
    <row r="28" spans="1:34" s="1" customFormat="1">
      <c r="A28" s="48">
        <v>6</v>
      </c>
      <c r="B28" s="139" t="s">
        <v>22</v>
      </c>
      <c r="E28" s="1100">
        <f>+'B.1 B'!F27</f>
        <v>547733497.68499041</v>
      </c>
      <c r="F28" s="138"/>
      <c r="G28" s="1152">
        <f>+'B.1 F '!F27</f>
        <v>596130007.08261716</v>
      </c>
      <c r="H28" s="48" t="s">
        <v>365</v>
      </c>
      <c r="J28" s="32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</row>
    <row r="29" spans="1:34" s="1" customFormat="1">
      <c r="A29" s="48"/>
      <c r="J29" s="32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</row>
    <row r="30" spans="1:34" s="1" customFormat="1">
      <c r="A30" s="48">
        <v>7</v>
      </c>
      <c r="B30" s="139" t="s">
        <v>140</v>
      </c>
      <c r="E30" s="1153">
        <f>J.1!N21</f>
        <v>1.7620743209493854E-2</v>
      </c>
      <c r="G30" s="1153">
        <f>J.1!V21</f>
        <v>1.7608000000000002E-2</v>
      </c>
      <c r="H30" s="48" t="s">
        <v>1115</v>
      </c>
      <c r="I30" s="558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</row>
    <row r="31" spans="1:34" s="1" customFormat="1">
      <c r="A31" s="48"/>
      <c r="I31" s="477"/>
      <c r="J31" s="32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</row>
    <row r="32" spans="1:34" s="1" customFormat="1" ht="15.75" thickBot="1">
      <c r="A32" s="48">
        <v>8</v>
      </c>
      <c r="B32" s="140" t="s">
        <v>1038</v>
      </c>
      <c r="E32" s="1082">
        <f>+E28*E30</f>
        <v>9651471.3099451121</v>
      </c>
      <c r="G32" s="1082">
        <f>+G28*G30</f>
        <v>10496657.164710725</v>
      </c>
      <c r="J32" s="32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</row>
    <row r="33" spans="1:34" s="1" customFormat="1" ht="15.75" thickTop="1">
      <c r="A33" s="48"/>
      <c r="J33" s="32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</row>
    <row r="34" spans="1:34" s="1" customFormat="1">
      <c r="A34" s="48"/>
      <c r="B34" s="73"/>
      <c r="C34" s="73"/>
      <c r="D34" s="73"/>
      <c r="E34" s="73"/>
      <c r="F34" s="73"/>
      <c r="J34" s="32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</row>
    <row r="35" spans="1:34" s="1" customFormat="1">
      <c r="A35" s="48">
        <v>9</v>
      </c>
      <c r="B35" s="533" t="s">
        <v>1634</v>
      </c>
      <c r="C35" s="73"/>
      <c r="D35" s="73"/>
      <c r="E35" s="73"/>
      <c r="F35" s="73"/>
      <c r="I35" s="559"/>
      <c r="J35" s="558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</row>
    <row r="36" spans="1:34">
      <c r="A36" s="48">
        <v>10</v>
      </c>
      <c r="B36" s="530" t="s">
        <v>1131</v>
      </c>
      <c r="C36" s="531"/>
      <c r="D36" s="531"/>
      <c r="E36" s="532">
        <v>0.05</v>
      </c>
      <c r="F36" s="531"/>
      <c r="I36" s="559"/>
      <c r="J36" s="558"/>
    </row>
    <row r="37" spans="1:34">
      <c r="A37" s="48">
        <v>11</v>
      </c>
      <c r="B37" s="530" t="s">
        <v>1132</v>
      </c>
      <c r="C37" s="531"/>
      <c r="D37" s="531"/>
      <c r="E37" s="532">
        <v>0.21</v>
      </c>
      <c r="F37" s="531"/>
      <c r="I37" s="559"/>
      <c r="J37" s="558"/>
    </row>
    <row r="38" spans="1:34">
      <c r="B38" s="531"/>
      <c r="C38" s="531"/>
      <c r="D38" s="531"/>
      <c r="E38" s="532"/>
      <c r="F38" s="531"/>
      <c r="I38" s="558"/>
      <c r="J38" s="558"/>
    </row>
    <row r="39" spans="1:34">
      <c r="E39" s="145"/>
    </row>
    <row r="40" spans="1:34">
      <c r="E40" s="145"/>
    </row>
    <row r="41" spans="1:34">
      <c r="G41" s="560"/>
    </row>
    <row r="43" spans="1:34">
      <c r="E43" s="145"/>
    </row>
  </sheetData>
  <mergeCells count="5">
    <mergeCell ref="A2:H2"/>
    <mergeCell ref="A3:H3"/>
    <mergeCell ref="A4:H4"/>
    <mergeCell ref="A5:H5"/>
    <mergeCell ref="A1:H1"/>
  </mergeCells>
  <phoneticPr fontId="21" type="noConversion"/>
  <pageMargins left="1.05" right="0.5" top="0.95" bottom="0.5" header="0.5" footer="0.5"/>
  <pageSetup scale="80" orientation="portrait" verticalDpi="300" r:id="rId1"/>
  <headerFooter alignWithMargins="0">
    <oddFooter>&amp;RSchedule &amp;A
Page &amp;P of &amp;N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17">
    <pageSetUpPr fitToPage="1"/>
  </sheetPr>
  <dimension ref="A1:C31"/>
  <sheetViews>
    <sheetView view="pageBreakPreview" topLeftCell="A4" zoomScale="80" zoomScaleNormal="100" zoomScaleSheetLayoutView="80" workbookViewId="0">
      <selection sqref="A1:C1"/>
    </sheetView>
  </sheetViews>
  <sheetFormatPr defaultRowHeight="15"/>
  <cols>
    <col min="3" max="3" width="45.44140625" customWidth="1"/>
  </cols>
  <sheetData>
    <row r="1" spans="1:3">
      <c r="A1" s="1255" t="str">
        <f>'Table of Contents'!A1:C1</f>
        <v>Atmos Energy Corporation, Kentucky/Mid-States Division</v>
      </c>
      <c r="B1" s="1255"/>
      <c r="C1" s="1255"/>
    </row>
    <row r="2" spans="1:3">
      <c r="A2" s="1255" t="str">
        <f>'Table of Contents'!A2:C2</f>
        <v>Kentucky Jurisdiction Case No. 2021-00214</v>
      </c>
      <c r="B2" s="1255"/>
      <c r="C2" s="1255"/>
    </row>
    <row r="3" spans="1:3">
      <c r="A3" s="1255" t="str">
        <f>'Table of Contents'!A3:C3</f>
        <v>Base Period: Twelve Months Ended September 30, 2021</v>
      </c>
      <c r="B3" s="1255"/>
      <c r="C3" s="1255"/>
    </row>
    <row r="4" spans="1:3">
      <c r="A4" s="1255" t="str">
        <f>'Table of Contents'!A4:C4</f>
        <v>Forecasted Test Period: Twelve Months Ended December 31, 2022</v>
      </c>
      <c r="B4" s="1255"/>
      <c r="C4" s="1255"/>
    </row>
    <row r="11" spans="1:3">
      <c r="A11" s="1251" t="s">
        <v>1381</v>
      </c>
      <c r="B11" s="1251"/>
      <c r="C11" s="1251"/>
    </row>
    <row r="13" spans="1:3">
      <c r="A13" s="1251"/>
      <c r="B13" s="1251"/>
      <c r="C13" s="1251"/>
    </row>
    <row r="16" spans="1:3">
      <c r="A16" s="52" t="s">
        <v>57</v>
      </c>
      <c r="B16" s="52" t="s">
        <v>609</v>
      </c>
      <c r="C16" s="52" t="s">
        <v>972</v>
      </c>
    </row>
    <row r="18" spans="1:3">
      <c r="A18" t="s">
        <v>540</v>
      </c>
      <c r="B18" s="155">
        <v>2</v>
      </c>
      <c r="C18" t="s">
        <v>541</v>
      </c>
    </row>
    <row r="19" spans="1:3">
      <c r="A19" t="s">
        <v>542</v>
      </c>
      <c r="B19" s="155">
        <v>1</v>
      </c>
      <c r="C19" t="s">
        <v>543</v>
      </c>
    </row>
    <row r="20" spans="1:3">
      <c r="A20" t="s">
        <v>497</v>
      </c>
      <c r="B20" s="155">
        <v>1</v>
      </c>
      <c r="C20" t="s">
        <v>544</v>
      </c>
    </row>
    <row r="21" spans="1:3">
      <c r="A21" t="s">
        <v>545</v>
      </c>
      <c r="B21" s="155">
        <v>1</v>
      </c>
      <c r="C21" t="s">
        <v>546</v>
      </c>
    </row>
    <row r="22" spans="1:3">
      <c r="A22" t="s">
        <v>498</v>
      </c>
      <c r="B22" s="155">
        <v>1</v>
      </c>
      <c r="C22" t="s">
        <v>547</v>
      </c>
    </row>
    <row r="23" spans="1:3">
      <c r="A23" t="s">
        <v>548</v>
      </c>
      <c r="B23" s="155">
        <v>1</v>
      </c>
      <c r="C23" t="s">
        <v>943</v>
      </c>
    </row>
    <row r="24" spans="1:3">
      <c r="A24" t="s">
        <v>549</v>
      </c>
      <c r="B24" s="155">
        <v>1</v>
      </c>
      <c r="C24" t="s">
        <v>550</v>
      </c>
    </row>
    <row r="25" spans="1:3">
      <c r="A25" t="s">
        <v>551</v>
      </c>
      <c r="B25" s="155">
        <v>4</v>
      </c>
      <c r="C25" t="s">
        <v>219</v>
      </c>
    </row>
    <row r="26" spans="1:3">
      <c r="A26" t="s">
        <v>552</v>
      </c>
      <c r="B26" s="155">
        <v>1</v>
      </c>
      <c r="C26" t="s">
        <v>553</v>
      </c>
    </row>
    <row r="27" spans="1:3">
      <c r="A27" t="s">
        <v>959</v>
      </c>
      <c r="B27" s="155">
        <v>1</v>
      </c>
      <c r="C27" t="s">
        <v>554</v>
      </c>
    </row>
    <row r="28" spans="1:3">
      <c r="A28" t="s">
        <v>1254</v>
      </c>
      <c r="B28" s="548">
        <v>1</v>
      </c>
      <c r="C28" t="s">
        <v>1657</v>
      </c>
    </row>
    <row r="29" spans="1:3">
      <c r="A29" t="s">
        <v>1323</v>
      </c>
      <c r="B29" s="677">
        <v>1</v>
      </c>
      <c r="C29" t="s">
        <v>1426</v>
      </c>
    </row>
    <row r="30" spans="1:3">
      <c r="A30" t="s">
        <v>1624</v>
      </c>
      <c r="B30" s="982">
        <v>1</v>
      </c>
      <c r="C30" t="s">
        <v>1546</v>
      </c>
    </row>
    <row r="31" spans="1:3">
      <c r="A31" t="s">
        <v>1625</v>
      </c>
      <c r="B31" s="982">
        <v>1</v>
      </c>
      <c r="C31" t="s">
        <v>1627</v>
      </c>
    </row>
  </sheetData>
  <mergeCells count="6">
    <mergeCell ref="A4:C4"/>
    <mergeCell ref="A11:C11"/>
    <mergeCell ref="A13:C13"/>
    <mergeCell ref="A1:C1"/>
    <mergeCell ref="A2:C2"/>
    <mergeCell ref="A3:C3"/>
  </mergeCells>
  <phoneticPr fontId="21" type="noConversion"/>
  <printOptions horizontalCentered="1"/>
  <pageMargins left="0.75" right="0.75" top="1" bottom="1" header="0.5" footer="0.5"/>
  <pageSetup orientation="portrait" r:id="rId1"/>
  <headerFooter alignWithMargins="0"/>
  <colBreaks count="1" manualBreakCount="1">
    <brk id="3" max="1048575" man="1"/>
  </col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43"/>
  <dimension ref="A1:J106"/>
  <sheetViews>
    <sheetView view="pageBreakPreview" zoomScale="80" zoomScaleNormal="100" zoomScaleSheetLayoutView="80" workbookViewId="0">
      <selection sqref="A1:I1"/>
    </sheetView>
  </sheetViews>
  <sheetFormatPr defaultColWidth="11.21875" defaultRowHeight="15"/>
  <cols>
    <col min="1" max="1" width="4.6640625" style="370" customWidth="1"/>
    <col min="2" max="2" width="9.5546875" style="370" customWidth="1"/>
    <col min="3" max="3" width="56.5546875" style="370" customWidth="1"/>
    <col min="4" max="4" width="10.6640625" style="370" customWidth="1"/>
    <col min="5" max="8" width="13.5546875" style="370" customWidth="1"/>
    <col min="9" max="9" width="16.44140625" style="370" bestFit="1" customWidth="1"/>
    <col min="10" max="10" width="7.6640625" style="370" customWidth="1"/>
    <col min="11" max="11" width="4.6640625" style="370" customWidth="1"/>
    <col min="12" max="12" width="23.6640625" style="370" customWidth="1"/>
    <col min="13" max="14" width="10.6640625" style="370" customWidth="1"/>
    <col min="15" max="15" width="11.6640625" style="370" customWidth="1"/>
    <col min="16" max="16" width="10.6640625" style="370" customWidth="1"/>
    <col min="17" max="17" width="9.6640625" style="370" customWidth="1"/>
    <col min="18" max="18" width="14.6640625" style="370" customWidth="1"/>
    <col min="19" max="19" width="5.6640625" style="370" customWidth="1"/>
    <col min="20" max="20" width="4.6640625" style="370" customWidth="1"/>
    <col min="21" max="21" width="9.6640625" style="370" customWidth="1"/>
    <col min="22" max="22" width="20.6640625" style="370" customWidth="1"/>
    <col min="23" max="23" width="9.6640625" style="370" customWidth="1"/>
    <col min="24" max="24" width="15.6640625" style="370" customWidth="1"/>
    <col min="25" max="25" width="9.6640625" style="370" customWidth="1"/>
    <col min="26" max="26" width="6.6640625" style="370" customWidth="1"/>
    <col min="27" max="27" width="9.6640625" style="370" customWidth="1"/>
    <col min="28" max="28" width="16.6640625" style="370" customWidth="1"/>
    <col min="29" max="29" width="9.6640625" style="370" customWidth="1"/>
    <col min="30" max="30" width="5.6640625" style="370" customWidth="1"/>
    <col min="31" max="31" width="10.6640625" style="370" customWidth="1"/>
    <col min="32" max="32" width="19.6640625" style="370" customWidth="1"/>
    <col min="33" max="33" width="9.6640625" style="370" customWidth="1"/>
    <col min="34" max="34" width="16.6640625" style="370" customWidth="1"/>
    <col min="35" max="35" width="11.21875" style="370"/>
    <col min="36" max="36" width="5.6640625" style="370" customWidth="1"/>
    <col min="37" max="37" width="10.6640625" style="370" customWidth="1"/>
    <col min="38" max="38" width="17.6640625" style="370" customWidth="1"/>
    <col min="39" max="39" width="10.6640625" style="370" customWidth="1"/>
    <col min="40" max="40" width="24.6640625" style="370" customWidth="1"/>
    <col min="41" max="42" width="9.6640625" style="370" customWidth="1"/>
    <col min="43" max="43" width="11.6640625" style="370" customWidth="1"/>
    <col min="44" max="45" width="9.6640625" style="370" customWidth="1"/>
    <col min="46" max="46" width="13.6640625" style="370" customWidth="1"/>
    <col min="47" max="47" width="19.6640625" style="370" customWidth="1"/>
    <col min="48" max="48" width="14.6640625" style="370" customWidth="1"/>
    <col min="49" max="52" width="11.21875" style="370"/>
    <col min="53" max="53" width="9.6640625" style="370" customWidth="1"/>
    <col min="54" max="54" width="14.6640625" style="370" customWidth="1"/>
    <col min="55" max="56" width="11.21875" style="370"/>
    <col min="57" max="57" width="12.6640625" style="370" customWidth="1"/>
    <col min="58" max="58" width="10.6640625" style="370" customWidth="1"/>
    <col min="59" max="16384" width="11.21875" style="370"/>
  </cols>
  <sheetData>
    <row r="1" spans="1:9" ht="15.75" customHeight="1">
      <c r="A1" s="1285" t="str">
        <f>'Table of Contents'!A1:C1</f>
        <v>Atmos Energy Corporation, Kentucky/Mid-States Division</v>
      </c>
      <c r="B1" s="1285"/>
      <c r="C1" s="1285"/>
      <c r="D1" s="1285"/>
      <c r="E1" s="1285"/>
      <c r="F1" s="1285"/>
      <c r="G1" s="1285"/>
      <c r="H1" s="1285"/>
      <c r="I1" s="1285"/>
    </row>
    <row r="2" spans="1:9" ht="15.75">
      <c r="A2" s="1285" t="str">
        <f>'Table of Contents'!A2:C2</f>
        <v>Kentucky Jurisdiction Case No. 2021-00214</v>
      </c>
      <c r="B2" s="1285"/>
      <c r="C2" s="1285"/>
      <c r="D2" s="1285"/>
      <c r="E2" s="1285"/>
      <c r="F2" s="1285"/>
      <c r="G2" s="1285"/>
      <c r="H2" s="1285"/>
      <c r="I2" s="1285"/>
    </row>
    <row r="3" spans="1:9" ht="15.75">
      <c r="A3" s="1285" t="s">
        <v>421</v>
      </c>
      <c r="B3" s="1285"/>
      <c r="C3" s="1285"/>
      <c r="D3" s="1285"/>
      <c r="E3" s="1285"/>
      <c r="F3" s="1285"/>
      <c r="G3" s="1285"/>
      <c r="H3" s="1285"/>
      <c r="I3" s="1285"/>
    </row>
    <row r="4" spans="1:9" ht="15.75">
      <c r="A4" s="1285" t="str">
        <f>'Table of Contents'!A3:C3</f>
        <v>Base Period: Twelve Months Ended September 30, 2021</v>
      </c>
      <c r="B4" s="1285"/>
      <c r="C4" s="1285"/>
      <c r="D4" s="1285"/>
      <c r="E4" s="1285"/>
      <c r="F4" s="1285"/>
      <c r="G4" s="1285"/>
      <c r="H4" s="1285"/>
      <c r="I4" s="1285"/>
    </row>
    <row r="5" spans="1:9" ht="15.75">
      <c r="A5" s="1285" t="str">
        <f>'Table of Contents'!A4:C4</f>
        <v>Forecasted Test Period: Twelve Months Ended December 31, 2022</v>
      </c>
      <c r="B5" s="1285"/>
      <c r="C5" s="1285"/>
      <c r="D5" s="1285"/>
      <c r="E5" s="1285"/>
      <c r="F5" s="1285"/>
      <c r="G5" s="1285"/>
      <c r="H5" s="1285"/>
      <c r="I5" s="1285"/>
    </row>
    <row r="7" spans="1:9" ht="15.75">
      <c r="A7" s="454" t="s">
        <v>796</v>
      </c>
      <c r="B7" s="371"/>
      <c r="I7" s="455" t="s">
        <v>1353</v>
      </c>
    </row>
    <row r="8" spans="1:9" ht="15.75">
      <c r="A8" s="454" t="s">
        <v>1104</v>
      </c>
      <c r="B8" s="371"/>
      <c r="I8" s="456" t="s">
        <v>173</v>
      </c>
    </row>
    <row r="9" spans="1:9" ht="15.75">
      <c r="A9" s="454" t="s">
        <v>423</v>
      </c>
      <c r="B9" s="371"/>
      <c r="I9" s="457" t="s">
        <v>1620</v>
      </c>
    </row>
    <row r="10" spans="1:9">
      <c r="A10" s="374" t="s">
        <v>92</v>
      </c>
      <c r="B10" s="375"/>
      <c r="C10" s="375"/>
      <c r="D10" s="374" t="s">
        <v>95</v>
      </c>
      <c r="E10" s="375"/>
      <c r="F10" s="375"/>
      <c r="G10" s="375"/>
      <c r="H10" s="375"/>
      <c r="I10" s="375"/>
    </row>
    <row r="11" spans="1:9">
      <c r="A11" s="376" t="s">
        <v>98</v>
      </c>
      <c r="B11" s="376" t="s">
        <v>174</v>
      </c>
      <c r="C11" s="376" t="s">
        <v>175</v>
      </c>
      <c r="D11" s="376" t="s">
        <v>588</v>
      </c>
      <c r="E11" s="376" t="s">
        <v>176</v>
      </c>
      <c r="F11" s="376"/>
      <c r="G11" s="376"/>
      <c r="H11" s="376"/>
      <c r="I11" s="376" t="s">
        <v>589</v>
      </c>
    </row>
    <row r="12" spans="1:9">
      <c r="A12" s="383"/>
      <c r="B12" s="383"/>
      <c r="C12" s="383"/>
      <c r="D12" s="383"/>
      <c r="E12" s="383"/>
      <c r="F12" s="383"/>
      <c r="G12" s="383"/>
      <c r="H12" s="383"/>
      <c r="I12" s="383"/>
    </row>
    <row r="13" spans="1:9" ht="15.75">
      <c r="A13" s="383"/>
      <c r="C13" s="384" t="s">
        <v>798</v>
      </c>
      <c r="D13" s="998"/>
      <c r="E13" s="998"/>
      <c r="F13" s="998"/>
      <c r="G13" s="998"/>
      <c r="H13" s="998"/>
      <c r="I13" s="998"/>
    </row>
    <row r="15" spans="1:9">
      <c r="A15" s="377">
        <v>1</v>
      </c>
      <c r="B15" s="378" t="s">
        <v>619</v>
      </c>
      <c r="C15" s="1235" t="str">
        <f>[19]F.1!C15</f>
        <v>AGA</v>
      </c>
      <c r="D15" s="1235">
        <f>[19]F.1!D15</f>
        <v>55578.180000000015</v>
      </c>
      <c r="E15" s="379" t="s">
        <v>1043</v>
      </c>
      <c r="F15" s="377">
        <f t="shared" ref="F15:F47" si="0">D15</f>
        <v>55578.180000000015</v>
      </c>
      <c r="G15" s="379"/>
      <c r="H15" s="379"/>
    </row>
    <row r="16" spans="1:9">
      <c r="A16" s="377">
        <f>A15+1</f>
        <v>2</v>
      </c>
      <c r="B16" s="378" t="s">
        <v>619</v>
      </c>
      <c r="C16" s="1235" t="str">
        <f>[19]F.1!C16</f>
        <v>ASME</v>
      </c>
      <c r="D16" s="1235">
        <f>[19]F.1!D16</f>
        <v>158</v>
      </c>
      <c r="E16" s="379"/>
      <c r="F16" s="377">
        <f t="shared" si="0"/>
        <v>158</v>
      </c>
      <c r="G16" s="379"/>
      <c r="H16" s="379"/>
    </row>
    <row r="17" spans="1:8">
      <c r="A17" s="377">
        <f t="shared" ref="A17:A50" si="1">A16+1</f>
        <v>3</v>
      </c>
      <c r="B17" s="378" t="s">
        <v>619</v>
      </c>
      <c r="C17" s="1235" t="str">
        <f>[19]F.1!C17</f>
        <v>BUILDING INDUSTRY ASSOCIATION OF GREATER LOUISVILLE</v>
      </c>
      <c r="D17" s="1235">
        <f>[19]F.1!D17</f>
        <v>475</v>
      </c>
      <c r="E17" s="161"/>
      <c r="F17" s="377">
        <f t="shared" si="0"/>
        <v>475</v>
      </c>
      <c r="G17" s="161"/>
      <c r="H17" s="161"/>
    </row>
    <row r="18" spans="1:8">
      <c r="A18" s="377">
        <f t="shared" si="1"/>
        <v>4</v>
      </c>
      <c r="B18" s="378" t="s">
        <v>619</v>
      </c>
      <c r="C18" s="1235" t="str">
        <f>[19]F.1!C18</f>
        <v>CADIZ TRIGG COUNTY ECONOMIC DEVELOP COMM</v>
      </c>
      <c r="D18" s="1235">
        <f>[19]F.1!D18</f>
        <v>500</v>
      </c>
      <c r="E18" s="161"/>
      <c r="F18" s="377">
        <f t="shared" si="0"/>
        <v>500</v>
      </c>
      <c r="G18" s="161"/>
      <c r="H18" s="161"/>
    </row>
    <row r="19" spans="1:8">
      <c r="A19" s="377">
        <f t="shared" si="1"/>
        <v>5</v>
      </c>
      <c r="B19" s="378" t="s">
        <v>619</v>
      </c>
      <c r="C19" s="1235" t="str">
        <f>[19]F.1!C19</f>
        <v>CHAMBER OF COMMERCE</v>
      </c>
      <c r="D19" s="1235">
        <f>[19]F.1!D19</f>
        <v>42878.280000000006</v>
      </c>
      <c r="E19" s="161"/>
      <c r="F19" s="377">
        <f t="shared" si="0"/>
        <v>42878.280000000006</v>
      </c>
      <c r="G19" s="161"/>
      <c r="H19" s="161"/>
    </row>
    <row r="20" spans="1:8">
      <c r="A20" s="377">
        <f t="shared" si="1"/>
        <v>6</v>
      </c>
      <c r="B20" s="378" t="s">
        <v>619</v>
      </c>
      <c r="C20" s="1235" t="str">
        <f>[19]F.1!C20</f>
        <v>CRITTENDEN COUNTY ECONOMIC</v>
      </c>
      <c r="D20" s="1235">
        <f>[19]F.1!D20</f>
        <v>100</v>
      </c>
      <c r="E20" s="161"/>
      <c r="F20" s="377">
        <f t="shared" si="0"/>
        <v>100</v>
      </c>
      <c r="G20" s="161"/>
      <c r="H20" s="161"/>
    </row>
    <row r="21" spans="1:8">
      <c r="A21" s="377">
        <f t="shared" si="1"/>
        <v>7</v>
      </c>
      <c r="B21" s="378" t="s">
        <v>619</v>
      </c>
      <c r="C21" s="1235" t="str">
        <f>[19]F.1!C21</f>
        <v>ECONOMIC DEVELOPMENT COUNCIL</v>
      </c>
      <c r="D21" s="1235">
        <f>[19]F.1!D21</f>
        <v>11000</v>
      </c>
      <c r="E21" s="161"/>
      <c r="F21" s="377">
        <f t="shared" si="0"/>
        <v>11000</v>
      </c>
      <c r="G21" s="161"/>
      <c r="H21" s="161"/>
    </row>
    <row r="22" spans="1:8">
      <c r="A22" s="377">
        <f t="shared" si="1"/>
        <v>8</v>
      </c>
      <c r="B22" s="378" t="s">
        <v>619</v>
      </c>
      <c r="C22" s="1235" t="str">
        <f>[19]F.1!C22</f>
        <v>FRANKLIN SIMPSON INDUSTRIAL AUTHORITY</v>
      </c>
      <c r="D22" s="1235">
        <f>[19]F.1!D22</f>
        <v>5000</v>
      </c>
      <c r="E22" s="161"/>
      <c r="F22" s="377">
        <f t="shared" si="0"/>
        <v>5000</v>
      </c>
      <c r="G22" s="161"/>
      <c r="H22" s="161"/>
    </row>
    <row r="23" spans="1:8">
      <c r="A23" s="377">
        <f t="shared" si="1"/>
        <v>9</v>
      </c>
      <c r="B23" s="378" t="s">
        <v>619</v>
      </c>
      <c r="C23" s="1235" t="str">
        <f>[19]F.1!C23</f>
        <v>GIRLS INC.</v>
      </c>
      <c r="D23" s="1235">
        <f>[19]F.1!D23</f>
        <v>500</v>
      </c>
      <c r="E23" s="161"/>
      <c r="F23" s="377">
        <f t="shared" si="0"/>
        <v>500</v>
      </c>
      <c r="G23" s="161"/>
      <c r="H23" s="161"/>
    </row>
    <row r="24" spans="1:8">
      <c r="A24" s="377">
        <f t="shared" si="1"/>
        <v>10</v>
      </c>
      <c r="B24" s="378" t="s">
        <v>619</v>
      </c>
      <c r="C24" s="1235" t="str">
        <f>[19]F.1!C24</f>
        <v>GLASGOW BARREN COUNTY CHAMBER OF COMMERCE</v>
      </c>
      <c r="D24" s="1235">
        <f>[19]F.1!D24</f>
        <v>2575</v>
      </c>
      <c r="E24" s="161"/>
      <c r="F24" s="377">
        <f t="shared" si="0"/>
        <v>2575</v>
      </c>
      <c r="G24" s="161"/>
      <c r="H24" s="161"/>
    </row>
    <row r="25" spans="1:8">
      <c r="A25" s="377">
        <f t="shared" si="1"/>
        <v>11</v>
      </c>
      <c r="B25" s="378" t="s">
        <v>619</v>
      </c>
      <c r="C25" s="1235" t="str">
        <f>[19]F.1!C25</f>
        <v>GREATER OWENSBORO ECONOMIC DEVELOPMENT CORP</v>
      </c>
      <c r="D25" s="1235">
        <f>[19]F.1!D25</f>
        <v>10000</v>
      </c>
      <c r="E25" s="161"/>
      <c r="F25" s="377">
        <f t="shared" si="0"/>
        <v>10000</v>
      </c>
      <c r="G25" s="161"/>
      <c r="H25" s="161"/>
    </row>
    <row r="26" spans="1:8">
      <c r="A26" s="377">
        <f t="shared" si="1"/>
        <v>12</v>
      </c>
      <c r="B26" s="378" t="s">
        <v>619</v>
      </c>
      <c r="C26" s="1235" t="str">
        <f>[19]F.1!C26</f>
        <v>GREATER OWENSBORO REALTOR ASSOCIATION</v>
      </c>
      <c r="D26" s="1235">
        <f>[19]F.1!D26</f>
        <v>256</v>
      </c>
      <c r="E26" s="161"/>
      <c r="F26" s="377">
        <f t="shared" si="0"/>
        <v>256</v>
      </c>
      <c r="G26" s="161"/>
      <c r="H26" s="161"/>
    </row>
    <row r="27" spans="1:8">
      <c r="A27" s="377">
        <f t="shared" si="1"/>
        <v>13</v>
      </c>
      <c r="B27" s="378" t="s">
        <v>619</v>
      </c>
      <c r="C27" s="1235" t="str">
        <f>[19]F.1!C27</f>
        <v>GREATER PADUCAH ECONOMIC DEVELOPMENT COUNCIL INC</v>
      </c>
      <c r="D27" s="1235">
        <f>[19]F.1!D27</f>
        <v>3000</v>
      </c>
      <c r="E27" s="161"/>
      <c r="F27" s="377">
        <f t="shared" si="0"/>
        <v>3000</v>
      </c>
      <c r="G27" s="161"/>
      <c r="H27" s="161"/>
    </row>
    <row r="28" spans="1:8">
      <c r="A28" s="377">
        <f t="shared" si="1"/>
        <v>14</v>
      </c>
      <c r="B28" s="378" t="s">
        <v>619</v>
      </c>
      <c r="C28" s="1235" t="str">
        <f>[19]F.1!C28</f>
        <v>HOME BUILDERS ASSOCIATION</v>
      </c>
      <c r="D28" s="1235">
        <f>[19]F.1!D28</f>
        <v>810</v>
      </c>
      <c r="E28" s="161"/>
      <c r="F28" s="377">
        <f t="shared" si="0"/>
        <v>810</v>
      </c>
      <c r="G28" s="161"/>
      <c r="H28" s="161"/>
    </row>
    <row r="29" spans="1:8">
      <c r="A29" s="377">
        <f t="shared" si="1"/>
        <v>15</v>
      </c>
      <c r="B29" s="378" t="s">
        <v>619</v>
      </c>
      <c r="C29" s="1235" t="str">
        <f>[19]F.1!C29</f>
        <v>HOME BUILDERS ASSOCIATION OF OWENSBORO</v>
      </c>
      <c r="D29" s="1235">
        <f>[19]F.1!D29</f>
        <v>475</v>
      </c>
      <c r="E29" s="161"/>
      <c r="F29" s="377">
        <f t="shared" si="0"/>
        <v>475</v>
      </c>
      <c r="G29" s="161"/>
      <c r="H29" s="161"/>
    </row>
    <row r="30" spans="1:8">
      <c r="A30" s="377">
        <f t="shared" si="1"/>
        <v>16</v>
      </c>
      <c r="B30" s="378" t="s">
        <v>619</v>
      </c>
      <c r="C30" s="1235" t="str">
        <f>[19]F.1!C30</f>
        <v>HOPKINS COUNTY PVA</v>
      </c>
      <c r="D30" s="1235">
        <f>[19]F.1!D30</f>
        <v>55</v>
      </c>
      <c r="E30" s="161"/>
      <c r="F30" s="377">
        <f t="shared" si="0"/>
        <v>55</v>
      </c>
      <c r="G30" s="161"/>
      <c r="H30" s="161"/>
    </row>
    <row r="31" spans="1:8">
      <c r="A31" s="377">
        <f t="shared" si="1"/>
        <v>17</v>
      </c>
      <c r="B31" s="378" t="s">
        <v>619</v>
      </c>
      <c r="C31" s="1235" t="str">
        <f>[19]F.1!C31</f>
        <v>KENTUCKY ASSOCIATION FOR ECONOMIC DEVELOPMENT</v>
      </c>
      <c r="D31" s="1235">
        <f>[19]F.1!D31</f>
        <v>20000</v>
      </c>
      <c r="E31" s="161"/>
      <c r="F31" s="377">
        <f t="shared" si="0"/>
        <v>20000</v>
      </c>
      <c r="G31" s="161"/>
      <c r="H31" s="161"/>
    </row>
    <row r="32" spans="1:8">
      <c r="A32" s="377">
        <f t="shared" si="1"/>
        <v>18</v>
      </c>
      <c r="B32" s="378" t="s">
        <v>619</v>
      </c>
      <c r="C32" s="1235" t="str">
        <f>[19]F.1!C32</f>
        <v>KENTUCKY ASSOCIATION OF MANUFACTURERS</v>
      </c>
      <c r="D32" s="1235">
        <f>[19]F.1!D32</f>
        <v>1740</v>
      </c>
      <c r="E32" s="161"/>
      <c r="F32" s="377">
        <f t="shared" si="0"/>
        <v>1740</v>
      </c>
      <c r="G32" s="161"/>
      <c r="H32" s="161"/>
    </row>
    <row r="33" spans="1:8">
      <c r="A33" s="377">
        <f t="shared" si="1"/>
        <v>19</v>
      </c>
      <c r="B33" s="378" t="s">
        <v>619</v>
      </c>
      <c r="C33" s="1235" t="str">
        <f>[19]F.1!C33</f>
        <v>KENTUCKY ASSOCIATION OF MASTER CONTRACTORS INC</v>
      </c>
      <c r="D33" s="1235">
        <f>[19]F.1!D33</f>
        <v>2500</v>
      </c>
      <c r="E33" s="161"/>
      <c r="F33" s="377">
        <f t="shared" si="0"/>
        <v>2500</v>
      </c>
      <c r="G33" s="161"/>
      <c r="H33" s="161"/>
    </row>
    <row r="34" spans="1:8">
      <c r="A34" s="377">
        <f t="shared" si="1"/>
        <v>20</v>
      </c>
      <c r="B34" s="378" t="s">
        <v>619</v>
      </c>
      <c r="C34" s="1235" t="str">
        <f>[19]F.1!C34</f>
        <v>KENTUCKY COUNTY JUDGE EXECUTIVE ASSOCIATION</v>
      </c>
      <c r="D34" s="1235">
        <f>[19]F.1!D34</f>
        <v>200</v>
      </c>
      <c r="E34" s="161"/>
      <c r="F34" s="377">
        <f t="shared" si="0"/>
        <v>200</v>
      </c>
      <c r="G34" s="161"/>
      <c r="H34" s="161"/>
    </row>
    <row r="35" spans="1:8">
      <c r="A35" s="377">
        <f t="shared" si="1"/>
        <v>21</v>
      </c>
      <c r="B35" s="378" t="s">
        <v>619</v>
      </c>
      <c r="C35" s="1235" t="str">
        <f>[19]F.1!C35</f>
        <v>KENTUCKY GAS ASSOCIATION</v>
      </c>
      <c r="D35" s="1235">
        <f>[19]F.1!D35</f>
        <v>10250</v>
      </c>
      <c r="E35" s="161"/>
      <c r="F35" s="377">
        <f t="shared" si="0"/>
        <v>10250</v>
      </c>
      <c r="G35" s="161"/>
      <c r="H35" s="161"/>
    </row>
    <row r="36" spans="1:8">
      <c r="A36" s="377">
        <f t="shared" si="1"/>
        <v>22</v>
      </c>
      <c r="B36" s="378" t="s">
        <v>619</v>
      </c>
      <c r="C36" s="1235" t="str">
        <f>[19]F.1!C36</f>
        <v>KENTUCKY GAZETTE</v>
      </c>
      <c r="D36" s="1235">
        <f>[19]F.1!D36</f>
        <v>374</v>
      </c>
      <c r="E36" s="161"/>
      <c r="F36" s="377">
        <f t="shared" si="0"/>
        <v>374</v>
      </c>
      <c r="G36" s="161"/>
      <c r="H36" s="161"/>
    </row>
    <row r="37" spans="1:8">
      <c r="A37" s="377">
        <f t="shared" si="1"/>
        <v>23</v>
      </c>
      <c r="B37" s="378" t="s">
        <v>619</v>
      </c>
      <c r="C37" s="1235" t="str">
        <f>[19]F.1!C37</f>
        <v>KENTUCKY OIL AND GAS ASSOCIATION</v>
      </c>
      <c r="D37" s="1235">
        <f>[19]F.1!D37</f>
        <v>1020</v>
      </c>
      <c r="E37" s="161"/>
      <c r="F37" s="377">
        <f t="shared" si="0"/>
        <v>1020</v>
      </c>
      <c r="G37" s="161"/>
      <c r="H37" s="161"/>
    </row>
    <row r="38" spans="1:8">
      <c r="A38" s="377">
        <f t="shared" si="1"/>
        <v>24</v>
      </c>
      <c r="B38" s="378" t="s">
        <v>619</v>
      </c>
      <c r="C38" s="1235" t="str">
        <f>[19]F.1!C38</f>
        <v>KENTUCKY RESTAURANT ASSOCIATION</v>
      </c>
      <c r="D38" s="1235">
        <f>[19]F.1!D38</f>
        <v>395</v>
      </c>
      <c r="E38" s="379"/>
      <c r="F38" s="377">
        <f t="shared" si="0"/>
        <v>395</v>
      </c>
      <c r="G38" s="379"/>
      <c r="H38" s="379"/>
    </row>
    <row r="39" spans="1:8">
      <c r="A39" s="377">
        <f t="shared" si="1"/>
        <v>25</v>
      </c>
      <c r="B39" s="378" t="s">
        <v>619</v>
      </c>
      <c r="C39" s="1235" t="str">
        <f>[19]F.1!C39</f>
        <v>KENTUCKY VFW PROGRAM</v>
      </c>
      <c r="D39" s="1235">
        <f>[19]F.1!D39</f>
        <v>97.5</v>
      </c>
      <c r="F39" s="377">
        <f t="shared" si="0"/>
        <v>97.5</v>
      </c>
    </row>
    <row r="40" spans="1:8">
      <c r="A40" s="377">
        <f t="shared" si="1"/>
        <v>26</v>
      </c>
      <c r="B40" s="378" t="s">
        <v>619</v>
      </c>
      <c r="C40" s="1235" t="str">
        <f>[19]F.1!C40</f>
        <v>LOGAN COUNTY HOME BUILDERS</v>
      </c>
      <c r="D40" s="1235">
        <f>[19]F.1!D40</f>
        <v>350</v>
      </c>
      <c r="F40" s="377">
        <f t="shared" si="0"/>
        <v>350</v>
      </c>
    </row>
    <row r="41" spans="1:8">
      <c r="A41" s="377">
        <f t="shared" si="1"/>
        <v>27</v>
      </c>
      <c r="B41" s="378" t="s">
        <v>619</v>
      </c>
      <c r="C41" s="1235" t="str">
        <f>[19]F.1!C41</f>
        <v>NACE INTERNATIONAL</v>
      </c>
      <c r="D41" s="1235">
        <f>[19]F.1!D41</f>
        <v>588.29999999999995</v>
      </c>
      <c r="F41" s="377">
        <f t="shared" si="0"/>
        <v>588.29999999999995</v>
      </c>
    </row>
    <row r="42" spans="1:8">
      <c r="A42" s="377">
        <f t="shared" si="1"/>
        <v>28</v>
      </c>
      <c r="B42" s="378" t="s">
        <v>619</v>
      </c>
      <c r="C42" s="1235" t="str">
        <f>[19]F.1!C42</f>
        <v>NATIONAL GAS DISTRIBUTERS ASSOCIATION OF EAST TENNESSEE</v>
      </c>
      <c r="D42" s="1235">
        <f>[19]F.1!D42</f>
        <v>250</v>
      </c>
      <c r="E42" s="372" t="s">
        <v>321</v>
      </c>
      <c r="F42" s="377">
        <f t="shared" si="0"/>
        <v>250</v>
      </c>
      <c r="G42" s="372"/>
      <c r="H42" s="372"/>
    </row>
    <row r="43" spans="1:8">
      <c r="A43" s="377">
        <f t="shared" si="1"/>
        <v>29</v>
      </c>
      <c r="B43" s="378" t="s">
        <v>619</v>
      </c>
      <c r="C43" s="1235" t="str">
        <f>[19]F.1!C43</f>
        <v>NATIONAL SOCIETY OF PROFESSIONAL  ENGINEERS</v>
      </c>
      <c r="D43" s="1235">
        <f>[19]F.1!D43</f>
        <v>299</v>
      </c>
      <c r="F43" s="377">
        <f t="shared" si="0"/>
        <v>299</v>
      </c>
    </row>
    <row r="44" spans="1:8">
      <c r="A44" s="377">
        <f t="shared" si="1"/>
        <v>30</v>
      </c>
      <c r="B44" s="378" t="s">
        <v>619</v>
      </c>
      <c r="C44" s="1235" t="str">
        <f>[19]F.1!C44</f>
        <v>OHIO COUNTY CHAMBER OF COMMERCE</v>
      </c>
      <c r="D44" s="1235">
        <f>[19]F.1!D44</f>
        <v>318.75</v>
      </c>
      <c r="F44" s="377">
        <f t="shared" si="0"/>
        <v>318.75</v>
      </c>
    </row>
    <row r="45" spans="1:8">
      <c r="A45" s="377">
        <f t="shared" si="1"/>
        <v>31</v>
      </c>
      <c r="B45" s="378" t="s">
        <v>619</v>
      </c>
      <c r="C45" s="1235" t="str">
        <f>[19]F.1!C45</f>
        <v>OKLAHOMA ACCOUNTANCY BOARD</v>
      </c>
      <c r="D45" s="1235">
        <f>[19]F.1!D45</f>
        <v>25.84</v>
      </c>
      <c r="F45" s="377">
        <f t="shared" si="0"/>
        <v>25.84</v>
      </c>
    </row>
    <row r="46" spans="1:8">
      <c r="A46" s="377">
        <f t="shared" si="1"/>
        <v>32</v>
      </c>
      <c r="B46" s="378" t="s">
        <v>619</v>
      </c>
      <c r="C46" s="1235" t="str">
        <f>[19]F.1!C46</f>
        <v>ONE HEALTH</v>
      </c>
      <c r="D46" s="1235">
        <f>[19]F.1!D46</f>
        <v>75</v>
      </c>
      <c r="F46" s="377">
        <f t="shared" si="0"/>
        <v>75</v>
      </c>
    </row>
    <row r="47" spans="1:8">
      <c r="A47" s="377">
        <f t="shared" si="1"/>
        <v>33</v>
      </c>
      <c r="B47" s="378" t="s">
        <v>619</v>
      </c>
      <c r="C47" s="1235" t="str">
        <f>[19]F.1!C47</f>
        <v>PADUCAH BOARD OF REALTORS INC</v>
      </c>
      <c r="D47" s="1235">
        <f>[19]F.1!D47</f>
        <v>300</v>
      </c>
      <c r="E47" s="372" t="s">
        <v>321</v>
      </c>
      <c r="F47" s="377">
        <f t="shared" si="0"/>
        <v>300</v>
      </c>
      <c r="G47" s="372"/>
      <c r="H47" s="372"/>
    </row>
    <row r="48" spans="1:8">
      <c r="A48" s="377">
        <f t="shared" si="1"/>
        <v>34</v>
      </c>
      <c r="B48" s="378" t="s">
        <v>619</v>
      </c>
      <c r="C48" s="1235" t="str">
        <f>[19]F.1!C48</f>
        <v>REALTOR ASSOCIATION OF SOUTHERN KENTUCKY</v>
      </c>
      <c r="D48" s="1235">
        <f>[19]F.1!D48</f>
        <v>200</v>
      </c>
      <c r="E48" s="372"/>
      <c r="F48" s="944"/>
      <c r="G48" s="372"/>
      <c r="H48" s="372"/>
    </row>
    <row r="49" spans="1:10">
      <c r="A49" s="377">
        <f t="shared" si="1"/>
        <v>35</v>
      </c>
      <c r="B49" s="378" t="s">
        <v>619</v>
      </c>
      <c r="C49" s="1235" t="str">
        <f>[19]F.1!C49</f>
        <v>SAM'S CLUB</v>
      </c>
      <c r="D49" s="1235">
        <f>[19]F.1!D49</f>
        <v>309.97000000000003</v>
      </c>
      <c r="E49" s="372"/>
      <c r="F49" s="944"/>
      <c r="G49" s="372"/>
      <c r="H49" s="372"/>
    </row>
    <row r="50" spans="1:10">
      <c r="A50" s="377">
        <f t="shared" si="1"/>
        <v>36</v>
      </c>
      <c r="B50" s="378" t="s">
        <v>619</v>
      </c>
      <c r="C50" s="1235" t="str">
        <f>[19]F.1!C50</f>
        <v>SOUTHERN GAS ASSOCIATION</v>
      </c>
      <c r="D50" s="1235">
        <f>[19]F.1!D50</f>
        <v>82.31</v>
      </c>
      <c r="F50" s="377">
        <f>D50</f>
        <v>82.31</v>
      </c>
    </row>
    <row r="51" spans="1:10">
      <c r="A51" s="377"/>
      <c r="B51" s="378"/>
      <c r="C51" s="1236"/>
      <c r="D51" s="1236"/>
    </row>
    <row r="52" spans="1:10" ht="15.75">
      <c r="C52" s="1237" t="s">
        <v>797</v>
      </c>
      <c r="D52" s="1238">
        <f>SUM(D15:D51)</f>
        <v>172736.13</v>
      </c>
      <c r="F52" s="1154">
        <f>SUM(F15:F51)</f>
        <v>172226.16</v>
      </c>
    </row>
    <row r="53" spans="1:10">
      <c r="C53" s="1236"/>
      <c r="D53" s="1236"/>
    </row>
    <row r="54" spans="1:10" ht="15.75">
      <c r="C54" s="1239" t="s">
        <v>1326</v>
      </c>
      <c r="D54" s="1240"/>
      <c r="E54" s="999"/>
      <c r="F54" s="999"/>
      <c r="G54" s="999"/>
      <c r="H54" s="999"/>
      <c r="I54" s="999"/>
    </row>
    <row r="55" spans="1:10" ht="15.75">
      <c r="C55" s="1241"/>
      <c r="D55" s="1236"/>
      <c r="G55" s="370" t="s">
        <v>1631</v>
      </c>
      <c r="H55" s="370" t="s">
        <v>149</v>
      </c>
      <c r="I55" s="370" t="s">
        <v>1632</v>
      </c>
    </row>
    <row r="56" spans="1:10">
      <c r="A56" s="377">
        <v>1</v>
      </c>
      <c r="B56" s="378" t="s">
        <v>619</v>
      </c>
      <c r="C56" s="1235" t="str">
        <f>[19]F.1!C55</f>
        <v>AGA</v>
      </c>
      <c r="D56" s="1235">
        <f>[19]F.1!D55</f>
        <v>55578.180000000015</v>
      </c>
      <c r="E56" s="379" t="s">
        <v>1043</v>
      </c>
      <c r="F56" s="377">
        <f t="shared" ref="F56:F87" si="2">D56</f>
        <v>55578.180000000015</v>
      </c>
      <c r="G56" s="1004">
        <v>6.2E-2</v>
      </c>
      <c r="H56" s="1002">
        <f>F56*-G56</f>
        <v>-3445.8471600000007</v>
      </c>
      <c r="I56" s="370">
        <f>F56+H56</f>
        <v>52132.332840000017</v>
      </c>
      <c r="J56" s="1000" t="s">
        <v>1651</v>
      </c>
    </row>
    <row r="57" spans="1:10">
      <c r="A57" s="377">
        <f t="shared" ref="A57:A72" si="3">A56+1</f>
        <v>2</v>
      </c>
      <c r="B57" s="378" t="s">
        <v>619</v>
      </c>
      <c r="C57" s="1235" t="str">
        <f>[19]F.1!C56</f>
        <v>ASME</v>
      </c>
      <c r="D57" s="1235">
        <f>[19]F.1!D56</f>
        <v>158</v>
      </c>
      <c r="F57" s="377">
        <f t="shared" si="2"/>
        <v>158</v>
      </c>
      <c r="G57" s="1005"/>
      <c r="H57" s="1001"/>
      <c r="I57" s="370">
        <f t="shared" ref="I57:I91" si="4">F57+H57</f>
        <v>158</v>
      </c>
    </row>
    <row r="58" spans="1:10">
      <c r="A58" s="377">
        <f t="shared" si="3"/>
        <v>3</v>
      </c>
      <c r="B58" s="378" t="s">
        <v>619</v>
      </c>
      <c r="C58" s="1235" t="str">
        <f>[19]F.1!C57</f>
        <v>BUILDING INDUSTRY ASSOCIATION OF GREATER LOUISVILLE</v>
      </c>
      <c r="D58" s="1235">
        <f>[19]F.1!D57</f>
        <v>475</v>
      </c>
      <c r="F58" s="377">
        <f t="shared" si="2"/>
        <v>475</v>
      </c>
      <c r="G58" s="1005"/>
      <c r="H58" s="1001"/>
      <c r="I58" s="370">
        <f t="shared" si="4"/>
        <v>475</v>
      </c>
    </row>
    <row r="59" spans="1:10">
      <c r="A59" s="377">
        <f t="shared" si="3"/>
        <v>4</v>
      </c>
      <c r="B59" s="378" t="s">
        <v>619</v>
      </c>
      <c r="C59" s="1235" t="str">
        <f>[19]F.1!C58</f>
        <v>CADIZ TRIGG COUNTY ECONOMIC DEVELOP COMM</v>
      </c>
      <c r="D59" s="1235">
        <f>[19]F.1!D58</f>
        <v>500</v>
      </c>
      <c r="F59" s="377">
        <f t="shared" si="2"/>
        <v>500</v>
      </c>
      <c r="G59" s="1005"/>
      <c r="H59" s="1001"/>
      <c r="I59" s="370">
        <f t="shared" si="4"/>
        <v>500</v>
      </c>
    </row>
    <row r="60" spans="1:10">
      <c r="A60" s="377">
        <f t="shared" si="3"/>
        <v>5</v>
      </c>
      <c r="B60" s="378" t="s">
        <v>619</v>
      </c>
      <c r="C60" s="1235" t="str">
        <f>[19]F.1!C59</f>
        <v>CHAMBER OF COMMERCE</v>
      </c>
      <c r="D60" s="1235">
        <f>[19]F.1!D59</f>
        <v>42878.280000000006</v>
      </c>
      <c r="F60" s="377">
        <f t="shared" si="2"/>
        <v>42878.280000000006</v>
      </c>
      <c r="G60" s="1004">
        <v>0.15</v>
      </c>
      <c r="H60" s="1002">
        <f>F60*-G60</f>
        <v>-6431.7420000000011</v>
      </c>
      <c r="I60" s="370">
        <f t="shared" si="4"/>
        <v>36446.538000000008</v>
      </c>
      <c r="J60" s="1000" t="s">
        <v>1633</v>
      </c>
    </row>
    <row r="61" spans="1:10">
      <c r="A61" s="377">
        <f t="shared" si="3"/>
        <v>6</v>
      </c>
      <c r="B61" s="378" t="s">
        <v>619</v>
      </c>
      <c r="C61" s="1235" t="str">
        <f>[19]F.1!C60</f>
        <v>CRITTENDEN COUNTY ECONOMIC</v>
      </c>
      <c r="D61" s="1235">
        <f>[19]F.1!D60</f>
        <v>100</v>
      </c>
      <c r="F61" s="377">
        <f t="shared" si="2"/>
        <v>100</v>
      </c>
      <c r="G61" s="1005"/>
      <c r="H61" s="1001"/>
      <c r="I61" s="370">
        <f t="shared" si="4"/>
        <v>100</v>
      </c>
    </row>
    <row r="62" spans="1:10">
      <c r="A62" s="377">
        <f t="shared" si="3"/>
        <v>7</v>
      </c>
      <c r="B62" s="378" t="s">
        <v>619</v>
      </c>
      <c r="C62" s="1235" t="str">
        <f>[19]F.1!C61</f>
        <v>ECONOMIC DEVELOPMENT COUNCIL</v>
      </c>
      <c r="D62" s="1235">
        <f>[19]F.1!D61</f>
        <v>11000</v>
      </c>
      <c r="F62" s="377">
        <f t="shared" si="2"/>
        <v>11000</v>
      </c>
      <c r="G62" s="1005"/>
      <c r="H62" s="1001"/>
      <c r="I62" s="370">
        <f t="shared" si="4"/>
        <v>11000</v>
      </c>
    </row>
    <row r="63" spans="1:10">
      <c r="A63" s="377">
        <f t="shared" si="3"/>
        <v>8</v>
      </c>
      <c r="B63" s="378" t="s">
        <v>619</v>
      </c>
      <c r="C63" s="1235" t="str">
        <f>[19]F.1!C62</f>
        <v>FRANKLIN SIMPSON INDUSTRIAL AUTHORITY</v>
      </c>
      <c r="D63" s="1235">
        <f>[19]F.1!D62</f>
        <v>5000</v>
      </c>
      <c r="F63" s="377">
        <f t="shared" si="2"/>
        <v>5000</v>
      </c>
      <c r="G63" s="1005"/>
      <c r="H63" s="1001"/>
      <c r="I63" s="370">
        <f t="shared" si="4"/>
        <v>5000</v>
      </c>
    </row>
    <row r="64" spans="1:10">
      <c r="A64" s="377">
        <f t="shared" si="3"/>
        <v>9</v>
      </c>
      <c r="B64" s="378" t="s">
        <v>619</v>
      </c>
      <c r="C64" s="1235" t="str">
        <f>[19]F.1!C63</f>
        <v>GIRLS INC.</v>
      </c>
      <c r="D64" s="1235">
        <f>[19]F.1!D63</f>
        <v>500</v>
      </c>
      <c r="F64" s="377">
        <f t="shared" si="2"/>
        <v>500</v>
      </c>
      <c r="G64" s="1005"/>
      <c r="H64" s="1001"/>
      <c r="I64" s="370">
        <f t="shared" si="4"/>
        <v>500</v>
      </c>
    </row>
    <row r="65" spans="1:9">
      <c r="A65" s="377">
        <f t="shared" si="3"/>
        <v>10</v>
      </c>
      <c r="B65" s="378" t="s">
        <v>619</v>
      </c>
      <c r="C65" s="1235" t="str">
        <f>[19]F.1!C64</f>
        <v>GLASGOW BARREN COUNTY CHAMBER OF COMMERCE</v>
      </c>
      <c r="D65" s="1235">
        <f>[19]F.1!D64</f>
        <v>2575</v>
      </c>
      <c r="F65" s="377">
        <f t="shared" si="2"/>
        <v>2575</v>
      </c>
      <c r="G65" s="1005"/>
      <c r="H65" s="1001"/>
      <c r="I65" s="370">
        <f t="shared" si="4"/>
        <v>2575</v>
      </c>
    </row>
    <row r="66" spans="1:9">
      <c r="A66" s="377">
        <f t="shared" si="3"/>
        <v>11</v>
      </c>
      <c r="B66" s="378" t="s">
        <v>619</v>
      </c>
      <c r="C66" s="1235" t="str">
        <f>[19]F.1!C65</f>
        <v>GREATER OWENSBORO ECONOMIC DEVELOPMENT CORP</v>
      </c>
      <c r="D66" s="1235">
        <f>[19]F.1!D65</f>
        <v>10000</v>
      </c>
      <c r="F66" s="377">
        <f t="shared" si="2"/>
        <v>10000</v>
      </c>
      <c r="G66" s="1005"/>
      <c r="H66" s="1001"/>
      <c r="I66" s="370">
        <f t="shared" si="4"/>
        <v>10000</v>
      </c>
    </row>
    <row r="67" spans="1:9">
      <c r="A67" s="377">
        <f t="shared" si="3"/>
        <v>12</v>
      </c>
      <c r="B67" s="378" t="s">
        <v>619</v>
      </c>
      <c r="C67" s="1235" t="str">
        <f>[19]F.1!C66</f>
        <v>GREATER OWENSBORO REALTOR ASSOCIATION</v>
      </c>
      <c r="D67" s="1235">
        <f>[19]F.1!D66</f>
        <v>256</v>
      </c>
      <c r="F67" s="377">
        <f t="shared" si="2"/>
        <v>256</v>
      </c>
      <c r="G67" s="1005"/>
      <c r="H67" s="1001"/>
      <c r="I67" s="370">
        <f t="shared" si="4"/>
        <v>256</v>
      </c>
    </row>
    <row r="68" spans="1:9">
      <c r="A68" s="377">
        <f t="shared" si="3"/>
        <v>13</v>
      </c>
      <c r="B68" s="378" t="s">
        <v>619</v>
      </c>
      <c r="C68" s="1235" t="str">
        <f>[19]F.1!C67</f>
        <v>GREATER PADUCAH ECONOMIC DEVELOPMENT COUNCIL INC</v>
      </c>
      <c r="D68" s="1235">
        <f>[19]F.1!D67</f>
        <v>3000</v>
      </c>
      <c r="F68" s="377">
        <f t="shared" si="2"/>
        <v>3000</v>
      </c>
      <c r="G68" s="1005"/>
      <c r="H68" s="1001"/>
      <c r="I68" s="370">
        <f t="shared" si="4"/>
        <v>3000</v>
      </c>
    </row>
    <row r="69" spans="1:9">
      <c r="A69" s="377">
        <f t="shared" si="3"/>
        <v>14</v>
      </c>
      <c r="B69" s="378" t="s">
        <v>619</v>
      </c>
      <c r="C69" s="1235" t="str">
        <f>[19]F.1!C68</f>
        <v>HOME BUILDERS ASSOCIATION</v>
      </c>
      <c r="D69" s="1235">
        <f>[19]F.1!D68</f>
        <v>810</v>
      </c>
      <c r="F69" s="377">
        <f t="shared" si="2"/>
        <v>810</v>
      </c>
      <c r="G69" s="1005"/>
      <c r="H69" s="1001"/>
      <c r="I69" s="370">
        <f t="shared" si="4"/>
        <v>810</v>
      </c>
    </row>
    <row r="70" spans="1:9">
      <c r="A70" s="377">
        <f t="shared" si="3"/>
        <v>15</v>
      </c>
      <c r="B70" s="378" t="s">
        <v>619</v>
      </c>
      <c r="C70" s="1235" t="str">
        <f>[19]F.1!C69</f>
        <v>HOME BUILDERS ASSOCIATION OF OWENSBORO</v>
      </c>
      <c r="D70" s="1235">
        <f>[19]F.1!D69</f>
        <v>475</v>
      </c>
      <c r="F70" s="377">
        <f t="shared" si="2"/>
        <v>475</v>
      </c>
      <c r="G70" s="1005"/>
      <c r="H70" s="1001"/>
      <c r="I70" s="370">
        <f t="shared" si="4"/>
        <v>475</v>
      </c>
    </row>
    <row r="71" spans="1:9">
      <c r="A71" s="377">
        <f t="shared" si="3"/>
        <v>16</v>
      </c>
      <c r="B71" s="378" t="s">
        <v>619</v>
      </c>
      <c r="C71" s="1235" t="str">
        <f>[19]F.1!C70</f>
        <v>HOPKINS COUNTY PVA</v>
      </c>
      <c r="D71" s="1235">
        <f>[19]F.1!D70</f>
        <v>55</v>
      </c>
      <c r="F71" s="377">
        <f t="shared" si="2"/>
        <v>55</v>
      </c>
      <c r="G71" s="1005"/>
      <c r="H71" s="1001"/>
      <c r="I71" s="370">
        <f t="shared" si="4"/>
        <v>55</v>
      </c>
    </row>
    <row r="72" spans="1:9">
      <c r="A72" s="377">
        <f t="shared" si="3"/>
        <v>17</v>
      </c>
      <c r="B72" s="378" t="s">
        <v>619</v>
      </c>
      <c r="C72" s="1235" t="str">
        <f>[19]F.1!C71</f>
        <v>KENTUCKY ASSOCIATION FOR ECONOMIC DEVELOPMENT</v>
      </c>
      <c r="D72" s="1235">
        <f>[19]F.1!D71</f>
        <v>20000</v>
      </c>
      <c r="F72" s="377">
        <f t="shared" si="2"/>
        <v>20000</v>
      </c>
      <c r="G72" s="1005"/>
      <c r="H72" s="1001"/>
      <c r="I72" s="370">
        <f t="shared" si="4"/>
        <v>20000</v>
      </c>
    </row>
    <row r="73" spans="1:9">
      <c r="A73" s="377">
        <v>18</v>
      </c>
      <c r="B73" s="378" t="s">
        <v>619</v>
      </c>
      <c r="C73" s="1235" t="str">
        <f>[19]F.1!C72</f>
        <v>KENTUCKY ASSOCIATION OF MANUFACTURERS</v>
      </c>
      <c r="D73" s="1235">
        <f>[19]F.1!D72</f>
        <v>1740</v>
      </c>
      <c r="F73" s="377">
        <f t="shared" si="2"/>
        <v>1740</v>
      </c>
      <c r="G73" s="1005"/>
      <c r="H73" s="1001"/>
      <c r="I73" s="370">
        <f t="shared" si="4"/>
        <v>1740</v>
      </c>
    </row>
    <row r="74" spans="1:9">
      <c r="A74" s="377">
        <f>A73+1</f>
        <v>19</v>
      </c>
      <c r="B74" s="378" t="s">
        <v>619</v>
      </c>
      <c r="C74" s="1235" t="str">
        <f>[19]F.1!C73</f>
        <v>KENTUCKY ASSOCIATION OF MASTER CONTRACTORS INC</v>
      </c>
      <c r="D74" s="1235">
        <f>[19]F.1!D73</f>
        <v>2500</v>
      </c>
      <c r="F74" s="377">
        <f t="shared" si="2"/>
        <v>2500</v>
      </c>
      <c r="G74" s="1005"/>
      <c r="H74" s="1001"/>
      <c r="I74" s="370">
        <f t="shared" si="4"/>
        <v>2500</v>
      </c>
    </row>
    <row r="75" spans="1:9">
      <c r="A75" s="377">
        <f>A74+1</f>
        <v>20</v>
      </c>
      <c r="B75" s="378" t="s">
        <v>619</v>
      </c>
      <c r="C75" s="1235" t="str">
        <f>[19]F.1!C74</f>
        <v>KENTUCKY COUNTY JUDGE EXECUTIVE ASSOCIATION</v>
      </c>
      <c r="D75" s="1235">
        <f>[19]F.1!D74</f>
        <v>200</v>
      </c>
      <c r="F75" s="377">
        <f t="shared" si="2"/>
        <v>200</v>
      </c>
      <c r="G75" s="1005"/>
      <c r="H75" s="1001"/>
      <c r="I75" s="370">
        <f t="shared" si="4"/>
        <v>200</v>
      </c>
    </row>
    <row r="76" spans="1:9">
      <c r="A76" s="377">
        <f>A75+1</f>
        <v>21</v>
      </c>
      <c r="B76" s="378" t="s">
        <v>619</v>
      </c>
      <c r="C76" s="1235" t="str">
        <f>[19]F.1!C75</f>
        <v>KENTUCKY GAS ASSOCIATION</v>
      </c>
      <c r="D76" s="1235">
        <f>[19]F.1!D75</f>
        <v>10250</v>
      </c>
      <c r="F76" s="377">
        <f t="shared" si="2"/>
        <v>10250</v>
      </c>
      <c r="G76" s="1005"/>
      <c r="H76" s="1001"/>
      <c r="I76" s="370">
        <f t="shared" si="4"/>
        <v>10250</v>
      </c>
    </row>
    <row r="77" spans="1:9">
      <c r="A77" s="377">
        <f>A76+1</f>
        <v>22</v>
      </c>
      <c r="B77" s="378" t="s">
        <v>619</v>
      </c>
      <c r="C77" s="1235" t="str">
        <f>[19]F.1!C76</f>
        <v>KENTUCKY GAZETTE</v>
      </c>
      <c r="D77" s="1235">
        <f>[19]F.1!D76</f>
        <v>374</v>
      </c>
      <c r="F77" s="377">
        <f t="shared" si="2"/>
        <v>374</v>
      </c>
      <c r="G77" s="1005"/>
      <c r="H77" s="1001"/>
      <c r="I77" s="370">
        <f t="shared" si="4"/>
        <v>374</v>
      </c>
    </row>
    <row r="78" spans="1:9">
      <c r="A78" s="377">
        <v>23</v>
      </c>
      <c r="B78" s="378" t="s">
        <v>619</v>
      </c>
      <c r="C78" s="1235" t="str">
        <f>[19]F.1!C77</f>
        <v>KENTUCKY OIL AND GAS ASSOCIATION</v>
      </c>
      <c r="D78" s="1235">
        <f>[19]F.1!D77</f>
        <v>1020</v>
      </c>
      <c r="E78" s="379"/>
      <c r="F78" s="377">
        <f t="shared" si="2"/>
        <v>1020</v>
      </c>
      <c r="G78" s="379"/>
      <c r="H78" s="1002"/>
      <c r="I78" s="370">
        <f t="shared" si="4"/>
        <v>1020</v>
      </c>
    </row>
    <row r="79" spans="1:9">
      <c r="A79" s="377">
        <f t="shared" ref="A79:A91" si="5">A78+1</f>
        <v>24</v>
      </c>
      <c r="B79" s="378" t="s">
        <v>619</v>
      </c>
      <c r="C79" s="1235" t="str">
        <f>[19]F.1!C78</f>
        <v>KENTUCKY RESTAURANT ASSOCIATION</v>
      </c>
      <c r="D79" s="1235">
        <f>[19]F.1!D78</f>
        <v>395</v>
      </c>
      <c r="F79" s="377">
        <f t="shared" si="2"/>
        <v>395</v>
      </c>
      <c r="G79" s="1005"/>
      <c r="H79" s="1001"/>
      <c r="I79" s="370">
        <f t="shared" si="4"/>
        <v>395</v>
      </c>
    </row>
    <row r="80" spans="1:9">
      <c r="A80" s="377">
        <f t="shared" si="5"/>
        <v>25</v>
      </c>
      <c r="B80" s="378" t="s">
        <v>619</v>
      </c>
      <c r="C80" s="1235" t="str">
        <f>[19]F.1!C79</f>
        <v>KENTUCKY VFW PROGRAM</v>
      </c>
      <c r="D80" s="1235">
        <f>[19]F.1!D79</f>
        <v>97.5</v>
      </c>
      <c r="F80" s="377">
        <f t="shared" si="2"/>
        <v>97.5</v>
      </c>
      <c r="G80" s="1005"/>
      <c r="H80" s="1001"/>
      <c r="I80" s="370">
        <f t="shared" si="4"/>
        <v>97.5</v>
      </c>
    </row>
    <row r="81" spans="1:10">
      <c r="A81" s="377">
        <f t="shared" si="5"/>
        <v>26</v>
      </c>
      <c r="B81" s="378" t="s">
        <v>619</v>
      </c>
      <c r="C81" s="1235" t="str">
        <f>[19]F.1!C80</f>
        <v>LOGAN COUNTY HOME BUILDERS</v>
      </c>
      <c r="D81" s="1235">
        <f>[19]F.1!D80</f>
        <v>350</v>
      </c>
      <c r="F81" s="377">
        <f t="shared" si="2"/>
        <v>350</v>
      </c>
      <c r="G81" s="1005"/>
      <c r="H81" s="1001"/>
      <c r="I81" s="370">
        <f t="shared" si="4"/>
        <v>350</v>
      </c>
    </row>
    <row r="82" spans="1:10">
      <c r="A82" s="377">
        <f t="shared" si="5"/>
        <v>27</v>
      </c>
      <c r="B82" s="378" t="s">
        <v>619</v>
      </c>
      <c r="C82" s="1235" t="str">
        <f>[19]F.1!C81</f>
        <v>NACE INTERNATIONAL</v>
      </c>
      <c r="D82" s="1235">
        <f>[19]F.1!D81</f>
        <v>588.29999999999995</v>
      </c>
      <c r="E82" s="372" t="s">
        <v>321</v>
      </c>
      <c r="F82" s="377">
        <f t="shared" si="2"/>
        <v>588.29999999999995</v>
      </c>
      <c r="G82" s="378"/>
      <c r="H82" s="1002"/>
      <c r="I82" s="370">
        <f t="shared" si="4"/>
        <v>588.29999999999995</v>
      </c>
    </row>
    <row r="83" spans="1:10">
      <c r="A83" s="377">
        <f t="shared" si="5"/>
        <v>28</v>
      </c>
      <c r="B83" s="378" t="s">
        <v>619</v>
      </c>
      <c r="C83" s="1235" t="str">
        <f>[19]F.1!C82</f>
        <v>NATIONAL GAS DISTRIBUTERS ASSOCIATION OF EAST TENNESSEE</v>
      </c>
      <c r="D83" s="1235">
        <f>[19]F.1!D82</f>
        <v>250</v>
      </c>
      <c r="F83" s="377">
        <f t="shared" si="2"/>
        <v>250</v>
      </c>
      <c r="G83" s="1005"/>
      <c r="H83" s="1001"/>
      <c r="I83" s="370">
        <f t="shared" si="4"/>
        <v>250</v>
      </c>
    </row>
    <row r="84" spans="1:10">
      <c r="A84" s="377">
        <f t="shared" si="5"/>
        <v>29</v>
      </c>
      <c r="B84" s="378" t="s">
        <v>619</v>
      </c>
      <c r="C84" s="1235" t="str">
        <f>[19]F.1!C83</f>
        <v>NATIONAL SOCIETY OF PROFESSIONAL  ENGINEERS</v>
      </c>
      <c r="D84" s="1235">
        <f>[19]F.1!D83</f>
        <v>299</v>
      </c>
      <c r="F84" s="377">
        <f t="shared" si="2"/>
        <v>299</v>
      </c>
      <c r="G84" s="1005"/>
      <c r="H84" s="1001"/>
      <c r="I84" s="370">
        <f t="shared" si="4"/>
        <v>299</v>
      </c>
    </row>
    <row r="85" spans="1:10">
      <c r="A85" s="377">
        <f t="shared" si="5"/>
        <v>30</v>
      </c>
      <c r="B85" s="378" t="s">
        <v>619</v>
      </c>
      <c r="C85" s="1235" t="str">
        <f>[19]F.1!C84</f>
        <v>OHIO COUNTY CHAMBER OF COMMERCE</v>
      </c>
      <c r="D85" s="1235">
        <f>[19]F.1!D84</f>
        <v>318.75</v>
      </c>
      <c r="F85" s="377">
        <f t="shared" si="2"/>
        <v>318.75</v>
      </c>
      <c r="G85" s="1005"/>
      <c r="H85" s="1001"/>
      <c r="I85" s="370">
        <f t="shared" si="4"/>
        <v>318.75</v>
      </c>
    </row>
    <row r="86" spans="1:10">
      <c r="A86" s="377">
        <f t="shared" si="5"/>
        <v>31</v>
      </c>
      <c r="B86" s="378" t="s">
        <v>619</v>
      </c>
      <c r="C86" s="1235" t="str">
        <f>[19]F.1!C85</f>
        <v>OKLAHOMA ACCOUNTANCY BOARD</v>
      </c>
      <c r="D86" s="1235">
        <f>[19]F.1!D85</f>
        <v>25.84</v>
      </c>
      <c r="F86" s="377">
        <f t="shared" si="2"/>
        <v>25.84</v>
      </c>
      <c r="G86" s="1005"/>
      <c r="H86" s="1001"/>
      <c r="I86" s="370">
        <f t="shared" si="4"/>
        <v>25.84</v>
      </c>
    </row>
    <row r="87" spans="1:10">
      <c r="A87" s="377">
        <f t="shared" si="5"/>
        <v>32</v>
      </c>
      <c r="B87" s="378" t="s">
        <v>619</v>
      </c>
      <c r="C87" s="1235" t="str">
        <f>[19]F.1!C86</f>
        <v>ONE HEALTH</v>
      </c>
      <c r="D87" s="1235">
        <f>[19]F.1!D86</f>
        <v>75</v>
      </c>
      <c r="E87" s="372" t="s">
        <v>321</v>
      </c>
      <c r="F87" s="377">
        <f t="shared" si="2"/>
        <v>75</v>
      </c>
      <c r="G87" s="378"/>
      <c r="H87" s="1002"/>
      <c r="I87" s="370">
        <f t="shared" si="4"/>
        <v>75</v>
      </c>
    </row>
    <row r="88" spans="1:10">
      <c r="A88" s="377">
        <f t="shared" si="5"/>
        <v>33</v>
      </c>
      <c r="B88" s="378" t="s">
        <v>619</v>
      </c>
      <c r="C88" s="1235" t="str">
        <f>[19]F.1!C87</f>
        <v>PADUCAH BOARD OF REALTORS INC</v>
      </c>
      <c r="D88" s="1235">
        <f>[19]F.1!D87</f>
        <v>300</v>
      </c>
      <c r="E88" s="372"/>
      <c r="F88" s="377">
        <f t="shared" ref="F88:F89" si="6">D88</f>
        <v>300</v>
      </c>
      <c r="G88" s="378"/>
      <c r="H88" s="1002"/>
      <c r="I88" s="370">
        <f t="shared" si="4"/>
        <v>300</v>
      </c>
    </row>
    <row r="89" spans="1:10">
      <c r="A89" s="377">
        <f t="shared" si="5"/>
        <v>34</v>
      </c>
      <c r="B89" s="378" t="s">
        <v>619</v>
      </c>
      <c r="C89" s="1235" t="str">
        <f>[19]F.1!C88</f>
        <v>REALTOR ASSOCIATION OF SOUTHERN KENTUCKY</v>
      </c>
      <c r="D89" s="1235">
        <f>[19]F.1!D88</f>
        <v>200</v>
      </c>
      <c r="E89" s="372"/>
      <c r="F89" s="377">
        <f t="shared" si="6"/>
        <v>200</v>
      </c>
      <c r="G89" s="378"/>
      <c r="H89" s="1002"/>
      <c r="I89" s="370">
        <f t="shared" si="4"/>
        <v>200</v>
      </c>
    </row>
    <row r="90" spans="1:10">
      <c r="A90" s="377">
        <f t="shared" si="5"/>
        <v>35</v>
      </c>
      <c r="B90" s="378" t="s">
        <v>619</v>
      </c>
      <c r="C90" s="1235" t="str">
        <f>[19]F.1!C89</f>
        <v>SAM'S CLUB</v>
      </c>
      <c r="D90" s="1235">
        <f>[19]F.1!D89</f>
        <v>309.97000000000003</v>
      </c>
      <c r="F90" s="377">
        <f>D90</f>
        <v>309.97000000000003</v>
      </c>
      <c r="G90" s="1005"/>
      <c r="H90" s="1001"/>
      <c r="I90" s="370">
        <f t="shared" si="4"/>
        <v>309.97000000000003</v>
      </c>
    </row>
    <row r="91" spans="1:10">
      <c r="A91" s="377">
        <f t="shared" si="5"/>
        <v>36</v>
      </c>
      <c r="B91" s="378" t="s">
        <v>619</v>
      </c>
      <c r="C91" s="1235" t="str">
        <f>[19]F.1!C90</f>
        <v>SOUTHERN GAS ASSOCIATION</v>
      </c>
      <c r="D91" s="1235">
        <f>[19]F.1!D90</f>
        <v>82.31</v>
      </c>
      <c r="F91" s="377">
        <f>D91</f>
        <v>82.31</v>
      </c>
      <c r="G91" s="1005"/>
      <c r="H91" s="1001"/>
      <c r="I91" s="370">
        <f t="shared" si="4"/>
        <v>82.31</v>
      </c>
    </row>
    <row r="92" spans="1:10">
      <c r="A92" s="377"/>
      <c r="B92" s="378"/>
      <c r="C92" s="373"/>
      <c r="D92" s="377"/>
      <c r="E92" s="381"/>
      <c r="F92" s="377"/>
      <c r="G92" s="1006"/>
      <c r="H92" s="1003"/>
    </row>
    <row r="93" spans="1:10" ht="15.75">
      <c r="C93" s="382" t="s">
        <v>1262</v>
      </c>
      <c r="D93" s="1154">
        <f>SUM(D56:D92)</f>
        <v>172736.13</v>
      </c>
      <c r="F93" s="1154">
        <f>SUM(F56:F92)</f>
        <v>172736.13</v>
      </c>
      <c r="H93" s="1155">
        <f t="shared" ref="H93:I93" si="7">SUM(H56:H92)</f>
        <v>-9877.5891600000014</v>
      </c>
      <c r="I93" s="1154">
        <f t="shared" si="7"/>
        <v>162858.54084</v>
      </c>
    </row>
    <row r="95" spans="1:10">
      <c r="A95" s="380"/>
      <c r="B95" s="380"/>
      <c r="C95" s="380"/>
      <c r="D95" s="380"/>
      <c r="E95" s="380"/>
      <c r="F95" s="380"/>
      <c r="G95" s="380"/>
      <c r="H95" s="380"/>
      <c r="I95" s="380"/>
      <c r="J95" s="380"/>
    </row>
    <row r="96" spans="1:10">
      <c r="A96" s="380"/>
      <c r="B96" s="380"/>
      <c r="C96" s="380"/>
      <c r="D96" s="380"/>
      <c r="E96" s="380"/>
      <c r="F96" s="380"/>
      <c r="G96" s="380"/>
      <c r="H96" s="380"/>
      <c r="I96" s="380"/>
      <c r="J96" s="380"/>
    </row>
    <row r="97" spans="1:10">
      <c r="A97" s="380"/>
      <c r="B97" s="380"/>
      <c r="C97" t="s">
        <v>514</v>
      </c>
      <c r="D97" s="380"/>
      <c r="E97" s="380"/>
      <c r="F97" s="380"/>
      <c r="G97" s="380"/>
      <c r="H97" s="380"/>
      <c r="I97" s="380"/>
      <c r="J97" s="380"/>
    </row>
    <row r="98" spans="1:10">
      <c r="A98" s="380"/>
      <c r="B98" s="380"/>
      <c r="C98" s="72" t="s">
        <v>1604</v>
      </c>
      <c r="D98" s="380"/>
      <c r="E98" s="380"/>
      <c r="F98" s="380"/>
      <c r="G98" s="380"/>
      <c r="H98" s="380"/>
      <c r="I98" s="380"/>
      <c r="J98" s="380"/>
    </row>
    <row r="99" spans="1:10">
      <c r="A99" s="380"/>
      <c r="B99" s="380"/>
      <c r="C99" s="380"/>
      <c r="D99" s="380"/>
      <c r="E99" s="380"/>
      <c r="F99" s="380"/>
      <c r="G99" s="380"/>
      <c r="H99" s="380"/>
      <c r="I99" s="380"/>
      <c r="J99" s="380"/>
    </row>
    <row r="100" spans="1:10">
      <c r="A100" s="380"/>
      <c r="B100" s="380"/>
      <c r="C100" s="380"/>
      <c r="D100" s="380"/>
      <c r="E100" s="380"/>
      <c r="F100" s="380"/>
      <c r="G100" s="380"/>
      <c r="H100" s="380"/>
      <c r="I100" s="380"/>
      <c r="J100" s="380"/>
    </row>
    <row r="101" spans="1:10">
      <c r="A101" s="380"/>
      <c r="B101" s="380"/>
      <c r="C101" s="380"/>
      <c r="D101" s="380"/>
      <c r="E101" s="380"/>
      <c r="F101" s="380"/>
      <c r="G101" s="380"/>
      <c r="H101" s="380"/>
      <c r="I101" s="380"/>
      <c r="J101" s="380"/>
    </row>
    <row r="102" spans="1:10">
      <c r="A102" s="380"/>
      <c r="B102" s="380"/>
      <c r="C102" s="380"/>
      <c r="D102" s="380"/>
      <c r="E102" s="380"/>
      <c r="F102" s="380"/>
      <c r="G102" s="380"/>
      <c r="H102" s="380"/>
      <c r="I102" s="380"/>
      <c r="J102" s="380"/>
    </row>
    <row r="103" spans="1:10">
      <c r="A103" s="380"/>
      <c r="B103" s="380"/>
      <c r="C103" s="380"/>
      <c r="D103" s="380"/>
      <c r="E103" s="380"/>
      <c r="F103" s="380"/>
      <c r="G103" s="380"/>
      <c r="H103" s="380"/>
      <c r="I103" s="380"/>
      <c r="J103" s="380"/>
    </row>
    <row r="104" spans="1:10">
      <c r="A104" s="380"/>
      <c r="B104" s="380"/>
      <c r="C104" s="380"/>
      <c r="D104" s="380"/>
      <c r="E104" s="380"/>
      <c r="F104" s="380"/>
      <c r="G104" s="380"/>
      <c r="H104" s="380"/>
      <c r="I104" s="380"/>
      <c r="J104" s="380"/>
    </row>
    <row r="105" spans="1:10">
      <c r="A105" s="380"/>
      <c r="B105" s="380"/>
      <c r="C105" s="380"/>
      <c r="D105" s="380"/>
      <c r="E105" s="380"/>
      <c r="F105" s="380"/>
      <c r="G105" s="380"/>
      <c r="H105" s="380"/>
      <c r="I105" s="380"/>
      <c r="J105" s="380"/>
    </row>
    <row r="106" spans="1:10">
      <c r="A106" s="380"/>
      <c r="B106" s="380"/>
      <c r="C106" s="380"/>
      <c r="D106" s="380"/>
      <c r="E106" s="380"/>
      <c r="F106" s="380"/>
      <c r="G106" s="380"/>
      <c r="H106" s="380"/>
      <c r="I106" s="380"/>
      <c r="J106" s="380"/>
    </row>
  </sheetData>
  <mergeCells count="5">
    <mergeCell ref="A5:I5"/>
    <mergeCell ref="A1:I1"/>
    <mergeCell ref="A2:I2"/>
    <mergeCell ref="A3:I3"/>
    <mergeCell ref="A4:I4"/>
  </mergeCells>
  <phoneticPr fontId="21" type="noConversion"/>
  <printOptions horizontalCentered="1"/>
  <pageMargins left="0.75" right="0.75" top="0.5" bottom="0.56999999999999995" header="0.5" footer="0.23"/>
  <pageSetup scale="66" fitToHeight="53" orientation="landscape" verticalDpi="300" r:id="rId1"/>
  <headerFooter alignWithMargins="0">
    <oddFooter>&amp;RSchedule &amp;A
Page &amp;P of &amp;N</oddFooter>
  </headerFooter>
  <rowBreaks count="1" manualBreakCount="1">
    <brk id="52" max="6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39"/>
  <dimension ref="A1:M82"/>
  <sheetViews>
    <sheetView view="pageBreakPreview" zoomScale="70" zoomScaleNormal="100" zoomScaleSheetLayoutView="70" workbookViewId="0">
      <selection sqref="A1:F1"/>
    </sheetView>
  </sheetViews>
  <sheetFormatPr defaultRowHeight="15"/>
  <cols>
    <col min="2" max="2" width="11.44140625" customWidth="1"/>
    <col min="3" max="3" width="43.109375" customWidth="1"/>
    <col min="4" max="4" width="9.5546875" bestFit="1" customWidth="1"/>
    <col min="5" max="5" width="12.77734375" customWidth="1"/>
    <col min="6" max="6" width="15.77734375" customWidth="1"/>
  </cols>
  <sheetData>
    <row r="1" spans="1:13" ht="15.75">
      <c r="A1" s="1286" t="str">
        <f>'Table of Contents'!A1:C1</f>
        <v>Atmos Energy Corporation, Kentucky/Mid-States Division</v>
      </c>
      <c r="B1" s="1286"/>
      <c r="C1" s="1286"/>
      <c r="D1" s="1286"/>
      <c r="E1" s="1286"/>
      <c r="F1" s="1286"/>
      <c r="G1" s="84"/>
    </row>
    <row r="2" spans="1:13" ht="15.75">
      <c r="A2" s="1286" t="str">
        <f>'Table of Contents'!A2:C2</f>
        <v>Kentucky Jurisdiction Case No. 2021-00214</v>
      </c>
      <c r="B2" s="1286"/>
      <c r="C2" s="1286"/>
      <c r="D2" s="1286"/>
      <c r="E2" s="1286"/>
      <c r="F2" s="1286"/>
      <c r="G2" s="84"/>
    </row>
    <row r="3" spans="1:13" ht="15.75">
      <c r="A3" s="1286" t="s">
        <v>1325</v>
      </c>
      <c r="B3" s="1286"/>
      <c r="C3" s="1286"/>
      <c r="D3" s="1286"/>
      <c r="E3" s="1286"/>
      <c r="F3" s="1286"/>
      <c r="G3" s="84"/>
    </row>
    <row r="4" spans="1:13" ht="15.75">
      <c r="A4" s="1286" t="str">
        <f>'Table of Contents'!A3:C3</f>
        <v>Base Period: Twelve Months Ended September 30, 2021</v>
      </c>
      <c r="B4" s="1286"/>
      <c r="C4" s="1286"/>
      <c r="D4" s="1286"/>
      <c r="E4" s="1286"/>
      <c r="F4" s="1286"/>
      <c r="G4" s="84"/>
    </row>
    <row r="5" spans="1:13" ht="15.75">
      <c r="A5" s="1286" t="str">
        <f>'Table of Contents'!A4:C4</f>
        <v>Forecasted Test Period: Twelve Months Ended December 31, 2022</v>
      </c>
      <c r="B5" s="1286"/>
      <c r="C5" s="1286"/>
      <c r="D5" s="1286"/>
      <c r="E5" s="1286"/>
      <c r="F5" s="1286"/>
      <c r="G5" s="84"/>
    </row>
    <row r="6" spans="1:13" ht="15.75">
      <c r="A6" s="12"/>
      <c r="B6" s="12"/>
      <c r="C6" s="84"/>
      <c r="D6" s="84"/>
      <c r="F6" s="84"/>
      <c r="G6" s="84"/>
    </row>
    <row r="7" spans="1:13" ht="15.75">
      <c r="A7" s="60" t="s">
        <v>796</v>
      </c>
      <c r="B7" s="12"/>
      <c r="C7" s="12"/>
      <c r="D7" s="84"/>
      <c r="F7" s="322" t="s">
        <v>1353</v>
      </c>
      <c r="G7" s="84"/>
    </row>
    <row r="8" spans="1:13" ht="15.75">
      <c r="A8" s="60" t="s">
        <v>1104</v>
      </c>
      <c r="B8" s="12"/>
      <c r="C8" s="12"/>
      <c r="D8" s="84"/>
      <c r="F8" s="458" t="s">
        <v>142</v>
      </c>
      <c r="G8" s="84"/>
    </row>
    <row r="9" spans="1:13" ht="15.75">
      <c r="A9" s="60" t="s">
        <v>423</v>
      </c>
      <c r="B9" s="12"/>
      <c r="C9" s="12"/>
      <c r="D9" s="84"/>
      <c r="F9" s="458" t="str">
        <f>F.1!I9</f>
        <v>Witness: Christian</v>
      </c>
      <c r="G9" s="84"/>
    </row>
    <row r="10" spans="1:13">
      <c r="A10" s="111" t="s">
        <v>92</v>
      </c>
      <c r="B10" s="110"/>
      <c r="C10" s="110"/>
      <c r="D10" s="111" t="s">
        <v>95</v>
      </c>
      <c r="E10" s="110"/>
      <c r="F10" s="110"/>
      <c r="G10" s="84"/>
    </row>
    <row r="11" spans="1:13">
      <c r="A11" s="93" t="s">
        <v>98</v>
      </c>
      <c r="B11" s="93" t="s">
        <v>174</v>
      </c>
      <c r="C11" s="93" t="s">
        <v>89</v>
      </c>
      <c r="D11" s="93" t="s">
        <v>588</v>
      </c>
      <c r="E11" s="83" t="s">
        <v>176</v>
      </c>
      <c r="F11" s="93" t="s">
        <v>589</v>
      </c>
      <c r="G11" s="84"/>
    </row>
    <row r="12" spans="1:13">
      <c r="A12" s="84"/>
      <c r="B12" s="84"/>
      <c r="C12" s="84"/>
      <c r="D12" s="84"/>
      <c r="E12" s="84"/>
      <c r="F12" s="84"/>
      <c r="G12" s="84"/>
    </row>
    <row r="13" spans="1:13" ht="15.75">
      <c r="A13" s="84"/>
      <c r="B13" s="84"/>
      <c r="C13" s="384" t="s">
        <v>798</v>
      </c>
      <c r="D13" s="84"/>
      <c r="E13" s="84"/>
      <c r="F13" s="84"/>
      <c r="G13" s="84"/>
    </row>
    <row r="14" spans="1:13">
      <c r="A14" s="84"/>
      <c r="B14" s="84"/>
      <c r="C14" s="84"/>
      <c r="D14" s="84"/>
      <c r="E14" s="84"/>
      <c r="F14" s="84"/>
      <c r="G14" s="84"/>
    </row>
    <row r="15" spans="1:13">
      <c r="A15" s="96">
        <v>1</v>
      </c>
      <c r="B15" s="378" t="s">
        <v>619</v>
      </c>
      <c r="C15" s="1242" t="str">
        <f>'[20]F.2.1'!C15</f>
        <v>Community Welfare</v>
      </c>
      <c r="D15" s="1243">
        <f>'[20]F.2.1'!D15</f>
        <v>437690.04000000004</v>
      </c>
      <c r="E15" s="378" t="s">
        <v>1043</v>
      </c>
      <c r="F15" s="1077">
        <f>D15</f>
        <v>437690.04000000004</v>
      </c>
      <c r="G15" s="72"/>
      <c r="H15" s="72"/>
      <c r="I15" s="72"/>
      <c r="J15" s="72"/>
      <c r="K15" s="72"/>
      <c r="L15" s="72"/>
      <c r="M15" s="72"/>
    </row>
    <row r="16" spans="1:13">
      <c r="A16" s="96">
        <f t="shared" ref="A16:A22" si="0">A15+1</f>
        <v>2</v>
      </c>
      <c r="B16" s="378" t="s">
        <v>619</v>
      </c>
      <c r="C16" s="1242" t="str">
        <f>'[20]F.2.1'!C16</f>
        <v>Education</v>
      </c>
      <c r="D16" s="1243">
        <f>'[20]F.2.1'!D16</f>
        <v>43684</v>
      </c>
      <c r="E16" s="370"/>
      <c r="F16" s="377">
        <f t="shared" ref="F16:F23" si="1">D16</f>
        <v>43684</v>
      </c>
      <c r="G16" s="72"/>
    </row>
    <row r="17" spans="1:13">
      <c r="A17" s="96">
        <f>A16+1</f>
        <v>3</v>
      </c>
      <c r="B17" s="378" t="s">
        <v>619</v>
      </c>
      <c r="C17" s="1242" t="str">
        <f>'[20]F.2.1'!C17</f>
        <v>Health</v>
      </c>
      <c r="D17" s="1243">
        <f>'[20]F.2.1'!D17</f>
        <v>7700</v>
      </c>
      <c r="E17" s="370"/>
      <c r="F17" s="377">
        <f t="shared" si="1"/>
        <v>7700</v>
      </c>
      <c r="G17" s="72"/>
    </row>
    <row r="18" spans="1:13">
      <c r="A18" s="96">
        <f t="shared" si="0"/>
        <v>4</v>
      </c>
      <c r="B18" s="378" t="s">
        <v>619</v>
      </c>
      <c r="C18" s="1242" t="str">
        <f>'[20]F.2.1'!C18</f>
        <v>Museums &amp; Arts</v>
      </c>
      <c r="D18" s="1243">
        <f>'[20]F.2.1'!D18</f>
        <v>8750</v>
      </c>
      <c r="E18" s="370"/>
      <c r="F18" s="377">
        <f t="shared" si="1"/>
        <v>8750</v>
      </c>
      <c r="G18" s="72"/>
      <c r="H18" s="72"/>
      <c r="I18" s="72"/>
      <c r="J18" s="72"/>
      <c r="K18" s="72"/>
      <c r="L18" s="72"/>
      <c r="M18" s="72"/>
    </row>
    <row r="19" spans="1:13">
      <c r="A19" s="96">
        <f t="shared" si="0"/>
        <v>5</v>
      </c>
      <c r="B19" s="378" t="s">
        <v>619</v>
      </c>
      <c r="C19" s="1242" t="str">
        <f>'[20]F.2.1'!C19</f>
        <v>Salvation Army</v>
      </c>
      <c r="D19" s="1243">
        <f>'[20]F.2.1'!D19</f>
        <v>1500</v>
      </c>
      <c r="E19" s="370"/>
      <c r="F19" s="377">
        <f t="shared" si="1"/>
        <v>1500</v>
      </c>
      <c r="G19" s="72"/>
      <c r="H19" s="72"/>
      <c r="I19" s="72"/>
      <c r="J19" s="72"/>
      <c r="K19" s="72"/>
      <c r="L19" s="72"/>
      <c r="M19" s="72"/>
    </row>
    <row r="20" spans="1:13">
      <c r="A20" s="96">
        <f t="shared" si="0"/>
        <v>6</v>
      </c>
      <c r="B20" s="378" t="s">
        <v>619</v>
      </c>
      <c r="C20" s="1242" t="str">
        <f>'[20]F.2.1'!C20</f>
        <v>United Way Agencies</v>
      </c>
      <c r="D20" s="1243">
        <f>'[20]F.2.1'!D20</f>
        <v>5500</v>
      </c>
      <c r="E20" s="370"/>
      <c r="F20" s="377">
        <f t="shared" si="1"/>
        <v>5500</v>
      </c>
      <c r="G20" s="72"/>
      <c r="H20" s="72"/>
      <c r="I20" s="72"/>
      <c r="J20" s="72"/>
      <c r="K20" s="72"/>
      <c r="L20" s="72"/>
      <c r="M20" s="72"/>
    </row>
    <row r="21" spans="1:13">
      <c r="A21" s="96">
        <f t="shared" si="0"/>
        <v>7</v>
      </c>
      <c r="B21" s="378" t="s">
        <v>619</v>
      </c>
      <c r="C21" s="1242" t="str">
        <f>'[20]F.2.1'!C21</f>
        <v>Youth Clubs &amp; Centers</v>
      </c>
      <c r="D21" s="1243">
        <f>'[20]F.2.1'!D21</f>
        <v>3314.8599999999997</v>
      </c>
      <c r="E21" s="370"/>
      <c r="F21" s="377">
        <f t="shared" si="1"/>
        <v>3314.8599999999997</v>
      </c>
      <c r="G21" s="72"/>
      <c r="H21" s="72"/>
      <c r="I21" s="72"/>
      <c r="J21" s="72"/>
      <c r="K21" s="72"/>
      <c r="L21" s="72"/>
      <c r="M21" s="72"/>
    </row>
    <row r="22" spans="1:13">
      <c r="A22" s="96">
        <f t="shared" si="0"/>
        <v>8</v>
      </c>
      <c r="B22" s="378" t="s">
        <v>619</v>
      </c>
      <c r="C22" s="1242" t="str">
        <f>'[20]F.2.1'!C22</f>
        <v>Heat Help Assistance Program</v>
      </c>
      <c r="D22" s="1243">
        <f>'[20]F.2.1'!D22</f>
        <v>233635.58</v>
      </c>
      <c r="E22" s="370"/>
      <c r="F22" s="377">
        <f t="shared" si="1"/>
        <v>233635.58</v>
      </c>
      <c r="G22" s="72"/>
      <c r="H22" s="72"/>
      <c r="I22" s="72"/>
      <c r="J22" s="72"/>
      <c r="K22" s="72"/>
      <c r="L22" s="72"/>
      <c r="M22" s="72"/>
    </row>
    <row r="23" spans="1:13">
      <c r="A23" s="84"/>
      <c r="B23" s="370"/>
      <c r="C23" s="1244" t="s">
        <v>95</v>
      </c>
      <c r="D23" s="1245">
        <f>SUM(D15:D22,0)</f>
        <v>741774.48</v>
      </c>
      <c r="E23" s="370"/>
      <c r="F23" s="1156">
        <f t="shared" si="1"/>
        <v>741774.48</v>
      </c>
      <c r="G23" s="84"/>
      <c r="H23" s="72"/>
      <c r="I23" s="72"/>
      <c r="J23" s="72"/>
      <c r="K23" s="72"/>
      <c r="L23" s="72"/>
      <c r="M23" s="72"/>
    </row>
    <row r="24" spans="1:13">
      <c r="A24" s="84"/>
      <c r="B24" s="84"/>
      <c r="C24" s="95"/>
      <c r="D24" s="95"/>
      <c r="E24" s="84"/>
      <c r="F24" s="84"/>
      <c r="G24" s="84"/>
      <c r="H24" s="72"/>
      <c r="I24" s="72"/>
      <c r="J24" s="72"/>
      <c r="K24" s="72"/>
      <c r="L24" s="72"/>
      <c r="M24" s="72"/>
    </row>
    <row r="25" spans="1:13" ht="15.75">
      <c r="A25" s="84"/>
      <c r="B25" s="370"/>
      <c r="C25" s="1239" t="s">
        <v>1326</v>
      </c>
      <c r="D25" s="1246"/>
      <c r="E25" s="370"/>
      <c r="F25" s="392"/>
      <c r="G25" s="84"/>
      <c r="H25" s="72"/>
      <c r="I25" s="72"/>
      <c r="J25" s="72"/>
      <c r="K25" s="72"/>
      <c r="L25" s="72"/>
      <c r="M25" s="72"/>
    </row>
    <row r="26" spans="1:13">
      <c r="A26" s="84"/>
      <c r="B26" s="370"/>
      <c r="C26" s="1244"/>
      <c r="D26" s="1246"/>
      <c r="E26" s="370"/>
      <c r="F26" s="392"/>
      <c r="G26" s="84"/>
      <c r="H26" s="72"/>
      <c r="I26" s="72"/>
      <c r="J26" s="72"/>
      <c r="K26" s="72"/>
      <c r="L26" s="72"/>
      <c r="M26" s="72"/>
    </row>
    <row r="27" spans="1:13">
      <c r="A27" s="96">
        <v>1</v>
      </c>
      <c r="B27" s="378" t="s">
        <v>619</v>
      </c>
      <c r="C27" s="1242" t="str">
        <f>'[20]F.2.1'!C27</f>
        <v>Community Welfare</v>
      </c>
      <c r="D27" s="275">
        <f>'[20]F.2.1'!D27</f>
        <v>437690.04000000004</v>
      </c>
      <c r="E27" s="378" t="s">
        <v>1043</v>
      </c>
      <c r="F27" s="1077">
        <f t="shared" ref="F27:F35" si="2">D27</f>
        <v>437690.04000000004</v>
      </c>
      <c r="G27" s="84"/>
      <c r="H27" s="72"/>
      <c r="I27" s="72"/>
      <c r="J27" s="72"/>
      <c r="K27" s="72"/>
      <c r="L27" s="72"/>
      <c r="M27" s="72"/>
    </row>
    <row r="28" spans="1:13">
      <c r="A28" s="96">
        <f t="shared" ref="A28:A34" si="3">A27+1</f>
        <v>2</v>
      </c>
      <c r="B28" s="378" t="s">
        <v>619</v>
      </c>
      <c r="C28" s="1242" t="str">
        <f>'[20]F.2.1'!C28</f>
        <v>Education</v>
      </c>
      <c r="D28" s="275">
        <f>'[20]F.2.1'!D28</f>
        <v>43684</v>
      </c>
      <c r="E28" s="370"/>
      <c r="F28" s="377">
        <f t="shared" si="2"/>
        <v>43684</v>
      </c>
      <c r="G28" s="84"/>
      <c r="H28" s="72"/>
      <c r="I28" s="72"/>
      <c r="J28" s="72"/>
      <c r="K28" s="72"/>
      <c r="L28" s="72"/>
      <c r="M28" s="72"/>
    </row>
    <row r="29" spans="1:13">
      <c r="A29" s="96">
        <f t="shared" si="3"/>
        <v>3</v>
      </c>
      <c r="B29" s="378" t="s">
        <v>619</v>
      </c>
      <c r="C29" s="1242" t="str">
        <f>'[20]F.2.1'!C29</f>
        <v>Health</v>
      </c>
      <c r="D29" s="275">
        <f>'[20]F.2.1'!D29</f>
        <v>7700</v>
      </c>
      <c r="E29" s="370"/>
      <c r="F29" s="377">
        <f t="shared" si="2"/>
        <v>7700</v>
      </c>
      <c r="G29" s="84"/>
      <c r="H29" s="72"/>
      <c r="I29" s="72"/>
      <c r="J29" s="72"/>
      <c r="K29" s="72"/>
      <c r="L29" s="72"/>
      <c r="M29" s="72"/>
    </row>
    <row r="30" spans="1:13">
      <c r="A30" s="96">
        <f t="shared" si="3"/>
        <v>4</v>
      </c>
      <c r="B30" s="378" t="s">
        <v>619</v>
      </c>
      <c r="C30" s="1242" t="str">
        <f>'[20]F.2.1'!C30</f>
        <v>Museums &amp; Arts</v>
      </c>
      <c r="D30" s="275">
        <f>'[20]F.2.1'!D30</f>
        <v>8750</v>
      </c>
      <c r="E30" s="370"/>
      <c r="F30" s="377">
        <f t="shared" si="2"/>
        <v>8750</v>
      </c>
      <c r="G30" s="84"/>
      <c r="H30" s="72"/>
      <c r="I30" s="72"/>
      <c r="J30" s="72"/>
      <c r="K30" s="72"/>
      <c r="L30" s="72"/>
      <c r="M30" s="72"/>
    </row>
    <row r="31" spans="1:13">
      <c r="A31" s="96">
        <f t="shared" si="3"/>
        <v>5</v>
      </c>
      <c r="B31" s="378" t="s">
        <v>619</v>
      </c>
      <c r="C31" s="1242" t="str">
        <f>'[20]F.2.1'!C31</f>
        <v>Salvation Army</v>
      </c>
      <c r="D31" s="275">
        <f>'[20]F.2.1'!D31</f>
        <v>1500</v>
      </c>
      <c r="E31" s="370"/>
      <c r="F31" s="377">
        <f t="shared" si="2"/>
        <v>1500</v>
      </c>
      <c r="G31" s="84"/>
      <c r="H31" s="72"/>
      <c r="I31" s="72"/>
      <c r="J31" s="72"/>
      <c r="K31" s="72"/>
      <c r="L31" s="72"/>
      <c r="M31" s="72"/>
    </row>
    <row r="32" spans="1:13">
      <c r="A32" s="96">
        <f t="shared" si="3"/>
        <v>6</v>
      </c>
      <c r="B32" s="378" t="s">
        <v>619</v>
      </c>
      <c r="C32" s="1242" t="str">
        <f>'[20]F.2.1'!C32</f>
        <v>United Way Agencies</v>
      </c>
      <c r="D32" s="275">
        <f>'[20]F.2.1'!D32</f>
        <v>5500</v>
      </c>
      <c r="E32" s="370"/>
      <c r="F32" s="377">
        <f t="shared" si="2"/>
        <v>5500</v>
      </c>
      <c r="G32" s="84"/>
      <c r="H32" s="72"/>
      <c r="I32" s="72"/>
      <c r="J32" s="72"/>
      <c r="K32" s="72"/>
      <c r="L32" s="72"/>
      <c r="M32" s="72"/>
    </row>
    <row r="33" spans="1:13">
      <c r="A33" s="96">
        <f t="shared" si="3"/>
        <v>7</v>
      </c>
      <c r="B33" s="378" t="s">
        <v>619</v>
      </c>
      <c r="C33" s="1242" t="str">
        <f>'[20]F.2.1'!C33</f>
        <v>Youth Clubs &amp; Centers</v>
      </c>
      <c r="D33" s="275">
        <f>'[20]F.2.1'!D33</f>
        <v>3314.8599999999997</v>
      </c>
      <c r="E33" s="370"/>
      <c r="F33" s="377">
        <f t="shared" si="2"/>
        <v>3314.8599999999997</v>
      </c>
      <c r="G33" s="84"/>
      <c r="H33" s="72"/>
      <c r="I33" s="72"/>
      <c r="J33" s="72"/>
      <c r="K33" s="72"/>
      <c r="L33" s="72"/>
      <c r="M33" s="72"/>
    </row>
    <row r="34" spans="1:13">
      <c r="A34" s="96">
        <f t="shared" si="3"/>
        <v>8</v>
      </c>
      <c r="B34" s="378" t="s">
        <v>619</v>
      </c>
      <c r="C34" s="1242" t="str">
        <f>'[20]F.2.1'!C34</f>
        <v>Heat Help Assistance Program</v>
      </c>
      <c r="D34" s="275">
        <f>'[20]F.2.1'!D34</f>
        <v>233635.58</v>
      </c>
      <c r="E34" s="370"/>
      <c r="F34" s="377">
        <f t="shared" si="2"/>
        <v>233635.58</v>
      </c>
      <c r="G34" s="84"/>
      <c r="H34" s="72"/>
      <c r="I34" s="72"/>
      <c r="J34" s="72"/>
      <c r="K34" s="72"/>
      <c r="L34" s="72"/>
      <c r="M34" s="72"/>
    </row>
    <row r="35" spans="1:13">
      <c r="A35" s="84"/>
      <c r="B35" s="370"/>
      <c r="C35" s="378" t="s">
        <v>95</v>
      </c>
      <c r="D35" s="1156">
        <f>SUM(D27:D34,0)</f>
        <v>741774.48</v>
      </c>
      <c r="E35" s="370"/>
      <c r="F35" s="1156">
        <f t="shared" si="2"/>
        <v>741774.48</v>
      </c>
      <c r="G35" s="84"/>
      <c r="H35" s="72"/>
      <c r="I35" s="72"/>
      <c r="J35" s="72"/>
      <c r="K35" s="72"/>
      <c r="L35" s="72"/>
      <c r="M35" s="72"/>
    </row>
    <row r="36" spans="1:13">
      <c r="A36" s="84"/>
      <c r="B36" s="84"/>
      <c r="C36" s="84"/>
      <c r="D36" s="84"/>
      <c r="E36" s="84"/>
      <c r="F36" s="84"/>
      <c r="G36" s="84"/>
      <c r="H36" s="72"/>
      <c r="I36" s="72"/>
      <c r="J36" s="72"/>
      <c r="K36" s="72"/>
      <c r="L36" s="72"/>
      <c r="M36" s="72"/>
    </row>
    <row r="37" spans="1:13" ht="15.75">
      <c r="A37" s="12"/>
      <c r="B37" s="84"/>
      <c r="C37" s="84"/>
      <c r="D37" s="84"/>
      <c r="E37" s="84"/>
      <c r="F37" s="84"/>
      <c r="G37" s="84"/>
      <c r="H37" s="72"/>
      <c r="I37" s="72"/>
      <c r="J37" s="72"/>
      <c r="K37" s="72"/>
      <c r="L37" s="72"/>
      <c r="M37" s="72"/>
    </row>
    <row r="38" spans="1:13">
      <c r="B38" s="88" t="s">
        <v>406</v>
      </c>
      <c r="G38" s="84"/>
      <c r="H38" s="72"/>
      <c r="I38" s="72"/>
      <c r="J38" s="72"/>
      <c r="K38" s="72"/>
      <c r="L38" s="72"/>
      <c r="M38" s="72"/>
    </row>
    <row r="39" spans="1:13">
      <c r="A39" s="84"/>
      <c r="B39" s="84"/>
      <c r="C39" s="84"/>
      <c r="D39" s="84"/>
      <c r="E39" s="84"/>
      <c r="F39" s="84"/>
      <c r="G39" s="84"/>
      <c r="H39" s="72"/>
      <c r="I39" s="72"/>
      <c r="J39" s="72"/>
      <c r="K39" s="72"/>
      <c r="L39" s="72"/>
      <c r="M39" s="72"/>
    </row>
    <row r="40" spans="1:13">
      <c r="H40" s="72"/>
      <c r="I40" s="72"/>
      <c r="J40" s="72"/>
      <c r="K40" s="72"/>
      <c r="L40" s="72"/>
      <c r="M40" s="72"/>
    </row>
    <row r="41" spans="1:13">
      <c r="B41" t="s">
        <v>514</v>
      </c>
      <c r="H41" s="72"/>
      <c r="I41" s="72"/>
      <c r="J41" s="72"/>
      <c r="K41" s="72"/>
      <c r="L41" s="72"/>
      <c r="M41" s="72"/>
    </row>
    <row r="42" spans="1:13">
      <c r="B42" s="639" t="s">
        <v>1603</v>
      </c>
      <c r="H42" s="72"/>
      <c r="I42" s="72"/>
      <c r="J42" s="72"/>
      <c r="K42" s="72"/>
      <c r="L42" s="72"/>
      <c r="M42" s="72"/>
    </row>
    <row r="43" spans="1:13">
      <c r="H43" s="72"/>
      <c r="I43" s="72"/>
      <c r="J43" s="72"/>
      <c r="K43" s="72"/>
      <c r="L43" s="72"/>
      <c r="M43" s="72"/>
    </row>
    <row r="44" spans="1:13">
      <c r="H44" s="72"/>
      <c r="I44" s="72"/>
      <c r="J44" s="72"/>
      <c r="K44" s="72"/>
      <c r="L44" s="72"/>
      <c r="M44" s="72"/>
    </row>
    <row r="45" spans="1:13">
      <c r="H45" s="72"/>
      <c r="I45" s="72"/>
      <c r="J45" s="72"/>
      <c r="K45" s="72"/>
      <c r="L45" s="72"/>
      <c r="M45" s="72"/>
    </row>
    <row r="46" spans="1:13">
      <c r="H46" s="72"/>
      <c r="I46" s="72"/>
      <c r="J46" s="72"/>
      <c r="K46" s="72"/>
      <c r="L46" s="72"/>
      <c r="M46" s="72"/>
    </row>
    <row r="47" spans="1:13">
      <c r="H47" s="72"/>
      <c r="I47" s="72"/>
      <c r="J47" s="72"/>
      <c r="K47" s="72"/>
      <c r="L47" s="72"/>
      <c r="M47" s="72"/>
    </row>
    <row r="48" spans="1:13">
      <c r="H48" s="72"/>
      <c r="I48" s="72"/>
      <c r="J48" s="72"/>
      <c r="K48" s="72"/>
      <c r="L48" s="72"/>
      <c r="M48" s="72"/>
    </row>
    <row r="49" spans="8:13">
      <c r="H49" s="72"/>
      <c r="I49" s="72"/>
      <c r="J49" s="72"/>
      <c r="K49" s="72"/>
      <c r="L49" s="72"/>
      <c r="M49" s="72"/>
    </row>
    <row r="50" spans="8:13">
      <c r="H50" s="72"/>
      <c r="I50" s="72"/>
      <c r="J50" s="72"/>
      <c r="K50" s="72"/>
      <c r="L50" s="72"/>
      <c r="M50" s="72"/>
    </row>
    <row r="51" spans="8:13">
      <c r="H51" s="72"/>
      <c r="I51" s="72"/>
      <c r="J51" s="72"/>
      <c r="K51" s="72"/>
      <c r="L51" s="72"/>
      <c r="M51" s="72"/>
    </row>
    <row r="52" spans="8:13">
      <c r="H52" s="72"/>
      <c r="I52" s="72"/>
      <c r="J52" s="72"/>
      <c r="K52" s="72"/>
      <c r="L52" s="72"/>
      <c r="M52" s="72"/>
    </row>
    <row r="53" spans="8:13">
      <c r="H53" s="72"/>
      <c r="I53" s="72"/>
      <c r="J53" s="72"/>
      <c r="K53" s="72"/>
      <c r="L53" s="72"/>
      <c r="M53" s="72"/>
    </row>
    <row r="54" spans="8:13">
      <c r="H54" s="72"/>
      <c r="I54" s="72"/>
      <c r="J54" s="72"/>
      <c r="K54" s="72"/>
      <c r="L54" s="72"/>
      <c r="M54" s="72"/>
    </row>
    <row r="55" spans="8:13">
      <c r="H55" s="72"/>
      <c r="I55" s="72"/>
      <c r="J55" s="72"/>
      <c r="K55" s="72"/>
      <c r="L55" s="72"/>
      <c r="M55" s="72"/>
    </row>
    <row r="56" spans="8:13">
      <c r="H56" s="72"/>
      <c r="I56" s="72"/>
      <c r="J56" s="72"/>
      <c r="K56" s="72"/>
      <c r="L56" s="72"/>
      <c r="M56" s="72"/>
    </row>
    <row r="57" spans="8:13">
      <c r="H57" s="72"/>
      <c r="I57" s="72"/>
      <c r="J57" s="72"/>
      <c r="K57" s="72"/>
      <c r="L57" s="72"/>
      <c r="M57" s="72"/>
    </row>
    <row r="58" spans="8:13">
      <c r="H58" s="72"/>
      <c r="I58" s="72"/>
      <c r="J58" s="72"/>
      <c r="K58" s="72"/>
      <c r="L58" s="72"/>
      <c r="M58" s="72"/>
    </row>
    <row r="59" spans="8:13">
      <c r="H59" s="72"/>
      <c r="I59" s="72"/>
      <c r="J59" s="72"/>
      <c r="K59" s="72"/>
      <c r="L59" s="72"/>
      <c r="M59" s="72"/>
    </row>
    <row r="60" spans="8:13">
      <c r="H60" s="72"/>
      <c r="I60" s="72"/>
      <c r="J60" s="72"/>
      <c r="K60" s="72"/>
      <c r="L60" s="72"/>
      <c r="M60" s="72"/>
    </row>
    <row r="61" spans="8:13">
      <c r="H61" s="72"/>
      <c r="I61" s="72"/>
      <c r="J61" s="72"/>
      <c r="K61" s="72"/>
      <c r="L61" s="72"/>
      <c r="M61" s="72"/>
    </row>
    <row r="62" spans="8:13">
      <c r="H62" s="72"/>
      <c r="I62" s="72"/>
      <c r="J62" s="72"/>
      <c r="K62" s="72"/>
      <c r="L62" s="72"/>
      <c r="M62" s="72"/>
    </row>
    <row r="63" spans="8:13">
      <c r="H63" s="72"/>
      <c r="I63" s="72"/>
      <c r="J63" s="72"/>
      <c r="K63" s="72"/>
      <c r="L63" s="72"/>
      <c r="M63" s="72"/>
    </row>
    <row r="64" spans="8:13">
      <c r="H64" s="72"/>
      <c r="I64" s="72"/>
      <c r="J64" s="72"/>
      <c r="K64" s="72"/>
      <c r="L64" s="72"/>
      <c r="M64" s="72"/>
    </row>
    <row r="65" spans="8:13">
      <c r="H65" s="72"/>
      <c r="I65" s="72"/>
      <c r="J65" s="72"/>
      <c r="K65" s="72"/>
      <c r="L65" s="72"/>
      <c r="M65" s="72"/>
    </row>
    <row r="66" spans="8:13">
      <c r="H66" s="72"/>
      <c r="I66" s="72"/>
      <c r="J66" s="72"/>
      <c r="K66" s="72"/>
      <c r="L66" s="72"/>
      <c r="M66" s="72"/>
    </row>
    <row r="67" spans="8:13">
      <c r="H67" s="72"/>
      <c r="I67" s="72"/>
      <c r="J67" s="72"/>
      <c r="K67" s="72"/>
      <c r="L67" s="72"/>
      <c r="M67" s="72"/>
    </row>
    <row r="68" spans="8:13">
      <c r="H68" s="72"/>
      <c r="I68" s="72"/>
      <c r="J68" s="72"/>
      <c r="K68" s="72"/>
      <c r="L68" s="72"/>
      <c r="M68" s="72"/>
    </row>
    <row r="69" spans="8:13">
      <c r="H69" s="72"/>
      <c r="I69" s="72"/>
      <c r="J69" s="72"/>
      <c r="K69" s="72"/>
      <c r="L69" s="72"/>
      <c r="M69" s="72"/>
    </row>
    <row r="70" spans="8:13">
      <c r="H70" s="72"/>
      <c r="I70" s="72"/>
      <c r="J70" s="72"/>
      <c r="K70" s="72"/>
      <c r="L70" s="72"/>
      <c r="M70" s="72"/>
    </row>
    <row r="71" spans="8:13">
      <c r="H71" s="72"/>
      <c r="I71" s="72"/>
      <c r="J71" s="72"/>
      <c r="K71" s="72"/>
      <c r="L71" s="72"/>
      <c r="M71" s="72"/>
    </row>
    <row r="72" spans="8:13">
      <c r="H72" s="72"/>
      <c r="I72" s="72"/>
      <c r="J72" s="72"/>
      <c r="K72" s="72"/>
      <c r="L72" s="72"/>
      <c r="M72" s="72"/>
    </row>
    <row r="73" spans="8:13">
      <c r="H73" s="72"/>
      <c r="I73" s="72"/>
      <c r="J73" s="72"/>
      <c r="K73" s="72"/>
      <c r="L73" s="72"/>
      <c r="M73" s="72"/>
    </row>
    <row r="74" spans="8:13">
      <c r="H74" s="72"/>
      <c r="I74" s="72"/>
      <c r="J74" s="72"/>
      <c r="K74" s="72"/>
      <c r="L74" s="72"/>
      <c r="M74" s="72"/>
    </row>
    <row r="75" spans="8:13">
      <c r="H75" s="72"/>
      <c r="I75" s="72"/>
      <c r="J75" s="72"/>
      <c r="K75" s="72"/>
      <c r="L75" s="72"/>
      <c r="M75" s="72"/>
    </row>
    <row r="76" spans="8:13">
      <c r="H76" s="72"/>
      <c r="I76" s="72"/>
      <c r="J76" s="72"/>
      <c r="K76" s="72"/>
      <c r="L76" s="72"/>
      <c r="M76" s="72"/>
    </row>
    <row r="77" spans="8:13">
      <c r="H77" s="72"/>
      <c r="I77" s="72"/>
      <c r="J77" s="72"/>
      <c r="K77" s="72"/>
      <c r="L77" s="72"/>
      <c r="M77" s="72"/>
    </row>
    <row r="78" spans="8:13">
      <c r="H78" s="72"/>
      <c r="I78" s="72"/>
      <c r="J78" s="72"/>
      <c r="K78" s="72"/>
      <c r="L78" s="72"/>
      <c r="M78" s="72"/>
    </row>
    <row r="79" spans="8:13">
      <c r="H79" s="72"/>
      <c r="I79" s="72"/>
      <c r="J79" s="72"/>
      <c r="K79" s="72"/>
      <c r="L79" s="72"/>
      <c r="M79" s="72"/>
    </row>
    <row r="80" spans="8:13">
      <c r="H80" s="72"/>
      <c r="I80" s="72"/>
      <c r="J80" s="72"/>
      <c r="K80" s="72"/>
      <c r="L80" s="72"/>
      <c r="M80" s="72"/>
    </row>
    <row r="81" spans="8:13">
      <c r="H81" s="72"/>
      <c r="I81" s="72"/>
      <c r="J81" s="72"/>
      <c r="K81" s="72"/>
      <c r="L81" s="72"/>
      <c r="M81" s="72"/>
    </row>
    <row r="82" spans="8:13">
      <c r="H82" s="72"/>
      <c r="I82" s="72"/>
      <c r="J82" s="72"/>
      <c r="K82" s="72"/>
      <c r="L82" s="72"/>
      <c r="M82" s="72"/>
    </row>
  </sheetData>
  <mergeCells count="5">
    <mergeCell ref="A5:F5"/>
    <mergeCell ref="A1:F1"/>
    <mergeCell ref="A2:F2"/>
    <mergeCell ref="A3:F3"/>
    <mergeCell ref="A4:F4"/>
  </mergeCells>
  <phoneticPr fontId="21" type="noConversion"/>
  <printOptions horizontalCentered="1"/>
  <pageMargins left="1" right="1" top="1" bottom="1" header="1" footer="0.5"/>
  <pageSetup scale="80" orientation="landscape" verticalDpi="300" r:id="rId1"/>
  <headerFooter alignWithMargins="0">
    <oddFooter>&amp;RSchedule &amp;A
Page &amp;P of &amp;N</oddFooter>
  </headerFooter>
  <rowBreaks count="3" manualBreakCount="3">
    <brk id="59" max="6" man="1"/>
    <brk id="101" max="6" man="1"/>
    <brk id="141" max="6" man="1"/>
  </row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40">
    <pageSetUpPr fitToPage="1"/>
  </sheetPr>
  <dimension ref="A1:N35"/>
  <sheetViews>
    <sheetView view="pageBreakPreview" zoomScale="80" zoomScaleNormal="100" zoomScaleSheetLayoutView="80" workbookViewId="0">
      <selection sqref="A1:J1"/>
    </sheetView>
  </sheetViews>
  <sheetFormatPr defaultRowHeight="15"/>
  <cols>
    <col min="1" max="1" width="5.5546875" customWidth="1"/>
    <col min="2" max="2" width="9.6640625" customWidth="1"/>
    <col min="3" max="3" width="23.77734375" customWidth="1"/>
    <col min="5" max="5" width="13.44140625" customWidth="1"/>
    <col min="7" max="7" width="3.88671875" customWidth="1"/>
    <col min="9" max="9" width="13.88671875" customWidth="1"/>
    <col min="10" max="10" width="11.44140625" customWidth="1"/>
  </cols>
  <sheetData>
    <row r="1" spans="1:14" ht="15.75" customHeight="1">
      <c r="A1" s="1256" t="str">
        <f>'Table of Contents'!A1:C1</f>
        <v>Atmos Energy Corporation, Kentucky/Mid-States Division</v>
      </c>
      <c r="B1" s="1256"/>
      <c r="C1" s="1256"/>
      <c r="D1" s="1256"/>
      <c r="E1" s="1256"/>
      <c r="F1" s="1256"/>
      <c r="G1" s="1256"/>
      <c r="H1" s="1256"/>
      <c r="I1" s="1256"/>
      <c r="J1" s="1256"/>
    </row>
    <row r="2" spans="1:14" ht="15.75">
      <c r="A2" s="1256" t="str">
        <f>'Table of Contents'!A2:C2</f>
        <v>Kentucky Jurisdiction Case No. 2021-00214</v>
      </c>
      <c r="B2" s="1256"/>
      <c r="C2" s="1256"/>
      <c r="D2" s="1256"/>
      <c r="E2" s="1256"/>
      <c r="F2" s="1256"/>
      <c r="G2" s="1256"/>
      <c r="H2" s="1256"/>
      <c r="I2" s="1256"/>
      <c r="J2" s="1256"/>
    </row>
    <row r="3" spans="1:14" ht="15.75">
      <c r="A3" s="1256" t="s">
        <v>770</v>
      </c>
      <c r="B3" s="1256"/>
      <c r="C3" s="1256"/>
      <c r="D3" s="1256"/>
      <c r="E3" s="1256"/>
      <c r="F3" s="1256"/>
      <c r="G3" s="1256"/>
      <c r="H3" s="1256"/>
      <c r="I3" s="1256"/>
      <c r="J3" s="1256"/>
    </row>
    <row r="4" spans="1:14" ht="15.75">
      <c r="A4" s="1256" t="str">
        <f>'Table of Contents'!A3:C3</f>
        <v>Base Period: Twelve Months Ended September 30, 2021</v>
      </c>
      <c r="B4" s="1256"/>
      <c r="C4" s="1256"/>
      <c r="D4" s="1256"/>
      <c r="E4" s="1256"/>
      <c r="F4" s="1256"/>
      <c r="G4" s="1256"/>
      <c r="H4" s="1256"/>
      <c r="I4" s="1256"/>
      <c r="J4" s="1256"/>
    </row>
    <row r="5" spans="1:14" ht="15.75">
      <c r="A5" s="1256" t="str">
        <f>'Table of Contents'!A4:C4</f>
        <v>Forecasted Test Period: Twelve Months Ended December 31, 2022</v>
      </c>
      <c r="B5" s="1256"/>
      <c r="C5" s="1256"/>
      <c r="D5" s="1256"/>
      <c r="E5" s="1256"/>
      <c r="F5" s="1256"/>
      <c r="G5" s="1256"/>
      <c r="H5" s="1256"/>
      <c r="I5" s="1256"/>
      <c r="J5" s="1256"/>
    </row>
    <row r="6" spans="1:14" ht="15.75">
      <c r="A6" s="84"/>
      <c r="B6" s="12"/>
      <c r="C6" s="84"/>
      <c r="D6" s="84"/>
      <c r="E6" s="84"/>
      <c r="F6" s="84"/>
      <c r="G6" s="84"/>
      <c r="H6" s="84"/>
      <c r="I6" s="84"/>
      <c r="J6" s="84"/>
    </row>
    <row r="7" spans="1:14" ht="15.75">
      <c r="A7" s="84"/>
      <c r="B7" s="12"/>
      <c r="C7" s="12"/>
      <c r="D7" s="84"/>
      <c r="E7" s="84"/>
      <c r="F7" s="84"/>
      <c r="G7" s="84"/>
      <c r="H7" s="84"/>
      <c r="J7" s="84"/>
    </row>
    <row r="8" spans="1:14" ht="15.75">
      <c r="A8" s="60" t="s">
        <v>476</v>
      </c>
      <c r="B8" s="12"/>
      <c r="C8" s="84"/>
      <c r="D8" s="84"/>
      <c r="E8" s="84"/>
      <c r="F8" s="84"/>
      <c r="G8" s="84"/>
      <c r="H8" s="84"/>
      <c r="J8" s="322" t="s">
        <v>1353</v>
      </c>
    </row>
    <row r="9" spans="1:14" ht="15.75">
      <c r="A9" s="60" t="s">
        <v>1104</v>
      </c>
      <c r="B9" s="12"/>
      <c r="C9" s="84"/>
      <c r="D9" s="84"/>
      <c r="E9" s="84"/>
      <c r="F9" s="84"/>
      <c r="G9" s="84"/>
      <c r="H9" s="84"/>
      <c r="J9" s="458" t="s">
        <v>477</v>
      </c>
    </row>
    <row r="10" spans="1:14" ht="15.75">
      <c r="A10" s="60" t="s">
        <v>423</v>
      </c>
      <c r="B10" s="12"/>
      <c r="C10" s="84"/>
      <c r="D10" s="84"/>
      <c r="E10" s="84"/>
      <c r="F10" s="84"/>
      <c r="G10" s="84"/>
      <c r="H10" s="84"/>
      <c r="I10" s="51"/>
      <c r="J10" s="458" t="str">
        <f>F.1!I9</f>
        <v>Witness: Christian</v>
      </c>
    </row>
    <row r="11" spans="1:14" ht="15.75">
      <c r="A11" s="110"/>
      <c r="B11" s="110"/>
      <c r="C11" s="110"/>
      <c r="D11" s="459"/>
      <c r="E11" s="460" t="s">
        <v>322</v>
      </c>
      <c r="F11" s="461"/>
      <c r="G11" s="110"/>
      <c r="H11" s="459"/>
      <c r="I11" s="460" t="s">
        <v>323</v>
      </c>
      <c r="J11" s="461"/>
    </row>
    <row r="12" spans="1:14">
      <c r="A12" s="82" t="s">
        <v>92</v>
      </c>
      <c r="B12" s="84"/>
      <c r="C12" s="92" t="s">
        <v>478</v>
      </c>
      <c r="D12" s="92" t="s">
        <v>95</v>
      </c>
      <c r="E12" s="84"/>
      <c r="F12" s="84"/>
      <c r="G12" s="84"/>
      <c r="H12" s="92" t="s">
        <v>95</v>
      </c>
      <c r="I12" s="84"/>
      <c r="J12" s="84"/>
    </row>
    <row r="13" spans="1:14">
      <c r="A13" s="83" t="s">
        <v>98</v>
      </c>
      <c r="B13" s="93" t="s">
        <v>174</v>
      </c>
      <c r="C13" s="93" t="s">
        <v>289</v>
      </c>
      <c r="D13" s="93" t="s">
        <v>588</v>
      </c>
      <c r="E13" s="93" t="s">
        <v>176</v>
      </c>
      <c r="F13" s="93" t="s">
        <v>589</v>
      </c>
      <c r="G13" s="89"/>
      <c r="H13" s="93" t="s">
        <v>588</v>
      </c>
      <c r="I13" s="93" t="s">
        <v>176</v>
      </c>
      <c r="J13" s="83" t="s">
        <v>589</v>
      </c>
    </row>
    <row r="14" spans="1:14">
      <c r="A14" s="84"/>
      <c r="B14" s="84"/>
      <c r="C14" s="84"/>
      <c r="D14" s="84"/>
      <c r="E14" s="84"/>
      <c r="F14" s="84"/>
      <c r="G14" s="84"/>
      <c r="H14" s="84"/>
      <c r="I14" s="84"/>
      <c r="J14" s="84"/>
    </row>
    <row r="15" spans="1:14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72"/>
      <c r="L15" s="72"/>
      <c r="M15" s="72"/>
      <c r="N15" s="72"/>
    </row>
    <row r="16" spans="1:14">
      <c r="A16" s="82">
        <v>1</v>
      </c>
      <c r="B16" s="82" t="s">
        <v>619</v>
      </c>
      <c r="C16" s="472" t="s">
        <v>72</v>
      </c>
      <c r="D16" s="464">
        <v>0</v>
      </c>
      <c r="E16" s="2" t="s">
        <v>1043</v>
      </c>
      <c r="F16" s="1077">
        <f>D16</f>
        <v>0</v>
      </c>
      <c r="G16" s="84"/>
      <c r="H16" s="1077">
        <f>D16</f>
        <v>0</v>
      </c>
      <c r="I16" s="108" t="s">
        <v>1043</v>
      </c>
      <c r="J16" s="1077">
        <f>H16</f>
        <v>0</v>
      </c>
      <c r="K16" s="72"/>
      <c r="L16" s="72"/>
      <c r="M16" s="72"/>
      <c r="N16" s="72"/>
    </row>
    <row r="17" spans="1:14">
      <c r="A17" s="84"/>
      <c r="B17" s="84"/>
      <c r="C17" s="95" t="s">
        <v>73</v>
      </c>
      <c r="D17" s="95"/>
      <c r="E17" s="84"/>
      <c r="F17" s="84"/>
      <c r="G17" s="84"/>
      <c r="H17" s="84"/>
      <c r="I17" s="84"/>
      <c r="J17" s="84"/>
      <c r="K17" s="72"/>
      <c r="L17" s="72"/>
      <c r="M17" s="72"/>
      <c r="N17" s="72"/>
    </row>
    <row r="18" spans="1:14">
      <c r="A18" s="113">
        <v>2</v>
      </c>
      <c r="B18" s="82" t="s">
        <v>619</v>
      </c>
      <c r="C18" s="472" t="s">
        <v>74</v>
      </c>
      <c r="D18" s="508">
        <v>0</v>
      </c>
      <c r="E18" s="84"/>
      <c r="F18" s="1247">
        <f>D18</f>
        <v>0</v>
      </c>
      <c r="G18" s="1023"/>
      <c r="H18" s="1247">
        <v>0</v>
      </c>
      <c r="I18" s="1023"/>
      <c r="J18" s="1247">
        <f>H18</f>
        <v>0</v>
      </c>
      <c r="K18" s="72"/>
      <c r="L18" s="72"/>
      <c r="M18" s="72"/>
      <c r="N18" s="72"/>
    </row>
    <row r="19" spans="1:14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72"/>
      <c r="L19" s="72"/>
      <c r="M19" s="72"/>
      <c r="N19" s="72"/>
    </row>
    <row r="20" spans="1:14" ht="15.75" thickBot="1">
      <c r="A20" s="114">
        <v>3</v>
      </c>
      <c r="B20" s="84"/>
      <c r="C20" s="82" t="s">
        <v>394</v>
      </c>
      <c r="D20" s="1157">
        <f>SUM(D16:D18)</f>
        <v>0</v>
      </c>
      <c r="E20" s="84"/>
      <c r="F20" s="1157">
        <f>SUM(F16:F18)</f>
        <v>0</v>
      </c>
      <c r="G20" s="84"/>
      <c r="H20" s="1157">
        <f>SUM(H16:H18)</f>
        <v>0</v>
      </c>
      <c r="I20" s="84"/>
      <c r="J20" s="1157">
        <f>SUM(J16:J18)</f>
        <v>0</v>
      </c>
      <c r="K20" s="72"/>
      <c r="L20" s="72"/>
      <c r="M20" s="72"/>
      <c r="N20" s="72"/>
    </row>
    <row r="21" spans="1:14" ht="15.75" thickTop="1">
      <c r="A21" s="84"/>
      <c r="B21" s="84"/>
      <c r="C21" s="84"/>
      <c r="D21" s="84"/>
      <c r="E21" s="84"/>
      <c r="F21" s="84"/>
      <c r="G21" s="84"/>
      <c r="H21" s="84"/>
      <c r="I21" s="84"/>
      <c r="J21" s="84"/>
    </row>
    <row r="22" spans="1:14">
      <c r="A22" s="82" t="s">
        <v>321</v>
      </c>
      <c r="B22" s="84"/>
      <c r="C22" s="84"/>
      <c r="D22" s="84"/>
      <c r="E22" s="84"/>
      <c r="F22" s="84"/>
      <c r="G22" s="84"/>
      <c r="H22" s="84"/>
      <c r="I22" s="84"/>
      <c r="J22" s="84"/>
    </row>
    <row r="23" spans="1:14">
      <c r="A23" s="84"/>
      <c r="B23" s="84"/>
      <c r="C23" s="84"/>
      <c r="D23" s="84"/>
      <c r="E23" s="84"/>
      <c r="F23" s="84"/>
      <c r="G23" s="84"/>
      <c r="H23" s="84"/>
      <c r="I23" s="84"/>
      <c r="J23" s="84"/>
    </row>
    <row r="24" spans="1:14">
      <c r="A24" s="60" t="s">
        <v>1209</v>
      </c>
      <c r="B24" s="84"/>
      <c r="C24" s="84"/>
      <c r="D24" s="84"/>
      <c r="E24" s="84"/>
      <c r="F24" s="84"/>
      <c r="G24" s="84"/>
      <c r="H24" s="84"/>
      <c r="I24" s="84"/>
      <c r="J24" s="84"/>
    </row>
    <row r="25" spans="1:14">
      <c r="A25" s="60" t="s">
        <v>1462</v>
      </c>
      <c r="B25" s="84"/>
      <c r="C25" s="84"/>
      <c r="D25" s="84"/>
      <c r="E25" s="84"/>
      <c r="F25" s="84"/>
      <c r="G25" s="84"/>
      <c r="H25" s="84"/>
      <c r="I25" s="84"/>
      <c r="J25" s="84"/>
    </row>
    <row r="26" spans="1:14">
      <c r="A26" s="84"/>
      <c r="B26" s="84"/>
      <c r="C26" s="84"/>
      <c r="D26" s="84"/>
      <c r="E26" s="84"/>
      <c r="F26" s="84"/>
      <c r="G26" s="84"/>
      <c r="H26" s="84"/>
      <c r="I26" s="84"/>
      <c r="J26" s="84"/>
    </row>
    <row r="27" spans="1:14">
      <c r="A27" s="84"/>
      <c r="B27" s="84"/>
      <c r="C27" s="84"/>
      <c r="D27" s="84"/>
      <c r="E27" s="84"/>
      <c r="F27" s="84"/>
      <c r="G27" s="84"/>
      <c r="H27" s="84"/>
      <c r="I27" s="84"/>
      <c r="J27" s="84"/>
    </row>
    <row r="28" spans="1:14">
      <c r="A28" s="84"/>
      <c r="B28" s="84"/>
      <c r="C28" s="84"/>
      <c r="D28" s="84"/>
      <c r="E28" s="84"/>
      <c r="F28" s="84"/>
      <c r="G28" s="84"/>
      <c r="H28" s="84"/>
      <c r="I28" s="84"/>
      <c r="J28" s="84"/>
    </row>
    <row r="30" spans="1:14">
      <c r="B30" t="s">
        <v>514</v>
      </c>
    </row>
    <row r="35" spans="2:2">
      <c r="B35" s="477"/>
    </row>
  </sheetData>
  <mergeCells count="5">
    <mergeCell ref="A5:J5"/>
    <mergeCell ref="A1:J1"/>
    <mergeCell ref="A2:J2"/>
    <mergeCell ref="A3:J3"/>
    <mergeCell ref="A4:J4"/>
  </mergeCells>
  <phoneticPr fontId="21" type="noConversion"/>
  <pageMargins left="0.8" right="0.62" top="1" bottom="0.5" header="0.5" footer="0.5"/>
  <pageSetup scale="94" orientation="landscape" verticalDpi="300" r:id="rId1"/>
  <headerFooter alignWithMargins="0">
    <oddFooter>&amp;RSchedule &amp;A
Page &amp;P of &amp;N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41">
    <pageSetUpPr fitToPage="1"/>
  </sheetPr>
  <dimension ref="A1:L40"/>
  <sheetViews>
    <sheetView view="pageBreakPreview" zoomScale="80" zoomScaleNormal="100" zoomScaleSheetLayoutView="80" workbookViewId="0">
      <selection sqref="A1:J1"/>
    </sheetView>
  </sheetViews>
  <sheetFormatPr defaultColWidth="8.88671875" defaultRowHeight="15"/>
  <cols>
    <col min="1" max="1" width="4.44140625" style="72" customWidth="1"/>
    <col min="2" max="2" width="10.6640625" style="72" customWidth="1"/>
    <col min="3" max="3" width="35.77734375" style="72" customWidth="1"/>
    <col min="4" max="6" width="12" style="72" bestFit="1" customWidth="1"/>
    <col min="7" max="7" width="4.5546875" style="72" customWidth="1"/>
    <col min="8" max="8" width="11" style="72" bestFit="1" customWidth="1"/>
    <col min="9" max="9" width="11.6640625" style="72" customWidth="1"/>
    <col min="10" max="10" width="12" style="72" bestFit="1" customWidth="1"/>
    <col min="11" max="16384" width="8.88671875" style="72"/>
  </cols>
  <sheetData>
    <row r="1" spans="1:12" ht="15.75">
      <c r="A1" s="1256" t="str">
        <f>'Table of Contents'!A1:C1</f>
        <v>Atmos Energy Corporation, Kentucky/Mid-States Division</v>
      </c>
      <c r="B1" s="1256"/>
      <c r="C1" s="1256"/>
      <c r="D1" s="1256"/>
      <c r="E1" s="1256"/>
      <c r="F1" s="1256"/>
      <c r="G1" s="1256"/>
      <c r="H1" s="1256"/>
      <c r="I1" s="1256"/>
      <c r="J1" s="1256"/>
    </row>
    <row r="2" spans="1:12" ht="15.75">
      <c r="A2" s="1256" t="str">
        <f>'Table of Contents'!A2:C2</f>
        <v>Kentucky Jurisdiction Case No. 2021-00214</v>
      </c>
      <c r="B2" s="1256"/>
      <c r="C2" s="1256"/>
      <c r="D2" s="1256"/>
      <c r="E2" s="1256"/>
      <c r="F2" s="1256"/>
      <c r="G2" s="1256"/>
      <c r="H2" s="1256"/>
      <c r="I2" s="1256"/>
      <c r="J2" s="1256"/>
    </row>
    <row r="3" spans="1:12" ht="15.75">
      <c r="A3" s="1256" t="s">
        <v>605</v>
      </c>
      <c r="B3" s="1256"/>
      <c r="C3" s="1256"/>
      <c r="D3" s="1256"/>
      <c r="E3" s="1256"/>
      <c r="F3" s="1256"/>
      <c r="G3" s="1256"/>
      <c r="H3" s="1256"/>
      <c r="I3" s="1256"/>
      <c r="J3" s="1256"/>
    </row>
    <row r="4" spans="1:12" ht="15.75">
      <c r="A4" s="1256" t="str">
        <f>'Table of Contents'!A3:C3</f>
        <v>Base Period: Twelve Months Ended September 30, 2021</v>
      </c>
      <c r="B4" s="1256"/>
      <c r="C4" s="1256"/>
      <c r="D4" s="1256"/>
      <c r="E4" s="1256"/>
      <c r="F4" s="1256"/>
      <c r="G4" s="1256"/>
      <c r="H4" s="1256"/>
      <c r="I4" s="1256"/>
      <c r="J4" s="1256"/>
    </row>
    <row r="5" spans="1:12" ht="15.75">
      <c r="A5" s="1256" t="str">
        <f>'Table of Contents'!A4:C4</f>
        <v>Forecasted Test Period: Twelve Months Ended December 31, 2022</v>
      </c>
      <c r="B5" s="1256"/>
      <c r="C5" s="1256"/>
      <c r="D5" s="1256"/>
      <c r="E5" s="1256"/>
      <c r="F5" s="1256"/>
      <c r="G5" s="1256"/>
      <c r="H5" s="1256"/>
      <c r="I5" s="1256"/>
      <c r="J5" s="1256"/>
    </row>
    <row r="6" spans="1:12" ht="15.75">
      <c r="A6" s="95"/>
      <c r="B6" s="744"/>
      <c r="C6" s="95"/>
      <c r="D6" s="95"/>
      <c r="E6" s="95"/>
      <c r="F6" s="95"/>
      <c r="G6" s="95"/>
      <c r="H6" s="95"/>
      <c r="I6" s="95"/>
      <c r="J6" s="95"/>
    </row>
    <row r="7" spans="1:12" ht="15.75">
      <c r="A7" s="95"/>
      <c r="B7" s="744"/>
      <c r="C7" s="744"/>
      <c r="D7" s="95"/>
      <c r="E7" s="95"/>
      <c r="F7" s="95"/>
      <c r="G7" s="95"/>
      <c r="H7" s="95"/>
      <c r="J7" s="95"/>
    </row>
    <row r="8" spans="1:12" ht="15.75">
      <c r="A8" s="561" t="s">
        <v>479</v>
      </c>
      <c r="B8" s="744"/>
      <c r="C8" s="95"/>
      <c r="D8" s="95"/>
      <c r="E8" s="95"/>
      <c r="F8" s="95"/>
      <c r="G8" s="95"/>
      <c r="H8" s="95"/>
      <c r="J8" s="150" t="s">
        <v>1353</v>
      </c>
    </row>
    <row r="9" spans="1:12" ht="15.75">
      <c r="A9" s="561" t="s">
        <v>1107</v>
      </c>
      <c r="B9" s="744"/>
      <c r="C9" s="95"/>
      <c r="D9" s="95"/>
      <c r="E9" s="95"/>
      <c r="F9" s="95"/>
      <c r="G9" s="95"/>
      <c r="H9" s="95"/>
      <c r="J9" s="745" t="s">
        <v>480</v>
      </c>
    </row>
    <row r="10" spans="1:12" ht="15.75">
      <c r="A10" s="561" t="s">
        <v>363</v>
      </c>
      <c r="B10" s="744"/>
      <c r="C10" s="95"/>
      <c r="D10" s="95"/>
      <c r="E10" s="95"/>
      <c r="F10" s="95"/>
      <c r="G10" s="95"/>
      <c r="H10" s="95"/>
      <c r="I10" s="746"/>
      <c r="J10" s="745" t="str">
        <f>F.1!$I$9</f>
        <v>Witness: Christian</v>
      </c>
    </row>
    <row r="11" spans="1:12" ht="15.75">
      <c r="A11" s="747"/>
      <c r="B11" s="747"/>
      <c r="C11" s="747"/>
      <c r="D11" s="748"/>
      <c r="E11" s="749" t="s">
        <v>322</v>
      </c>
      <c r="F11" s="750"/>
      <c r="G11" s="747"/>
      <c r="H11" s="748"/>
      <c r="I11" s="749" t="s">
        <v>323</v>
      </c>
      <c r="J11" s="750"/>
    </row>
    <row r="12" spans="1:12">
      <c r="A12" s="112" t="s">
        <v>92</v>
      </c>
      <c r="B12" s="95"/>
      <c r="C12" s="112"/>
      <c r="D12" s="112" t="s">
        <v>95</v>
      </c>
      <c r="E12" s="681" t="s">
        <v>11</v>
      </c>
      <c r="F12" s="619" t="s">
        <v>12</v>
      </c>
      <c r="G12" s="95"/>
      <c r="H12" s="112" t="s">
        <v>95</v>
      </c>
      <c r="I12" s="681" t="s">
        <v>11</v>
      </c>
      <c r="J12" s="619" t="s">
        <v>12</v>
      </c>
    </row>
    <row r="13" spans="1:12">
      <c r="A13" s="527" t="s">
        <v>98</v>
      </c>
      <c r="B13" s="527" t="s">
        <v>174</v>
      </c>
      <c r="C13" s="527" t="s">
        <v>473</v>
      </c>
      <c r="D13" s="527" t="s">
        <v>588</v>
      </c>
      <c r="E13" s="751" t="s">
        <v>96</v>
      </c>
      <c r="F13" s="527" t="s">
        <v>103</v>
      </c>
      <c r="G13" s="752"/>
      <c r="H13" s="527" t="s">
        <v>588</v>
      </c>
      <c r="I13" s="751" t="s">
        <v>96</v>
      </c>
      <c r="J13" s="527" t="s">
        <v>103</v>
      </c>
    </row>
    <row r="14" spans="1:12">
      <c r="A14" s="95"/>
      <c r="B14" s="95"/>
      <c r="C14" s="95"/>
      <c r="D14" s="95"/>
      <c r="E14" s="95"/>
      <c r="F14" s="95"/>
      <c r="G14" s="95"/>
      <c r="H14" s="95"/>
      <c r="I14" s="95"/>
      <c r="J14" s="95"/>
    </row>
    <row r="15" spans="1:12" ht="15.75">
      <c r="A15" s="363">
        <v>1</v>
      </c>
      <c r="C15" s="753" t="s">
        <v>192</v>
      </c>
      <c r="D15" s="557"/>
      <c r="E15" s="363"/>
      <c r="F15" s="342"/>
      <c r="G15" s="646"/>
      <c r="H15" s="754"/>
      <c r="I15" s="363"/>
      <c r="J15" s="342"/>
    </row>
    <row r="16" spans="1:12">
      <c r="A16" s="755">
        <v>2</v>
      </c>
      <c r="B16" s="674" t="s">
        <v>619</v>
      </c>
      <c r="C16" s="756" t="s">
        <v>923</v>
      </c>
      <c r="D16" s="290">
        <v>0</v>
      </c>
      <c r="E16" s="497">
        <v>1</v>
      </c>
      <c r="F16" s="290">
        <f>D16*E16</f>
        <v>0</v>
      </c>
      <c r="G16" s="646"/>
      <c r="H16" s="290">
        <v>0</v>
      </c>
      <c r="I16" s="356">
        <f>E16</f>
        <v>1</v>
      </c>
      <c r="J16" s="290">
        <f>H16*I16</f>
        <v>0</v>
      </c>
      <c r="L16" s="757"/>
    </row>
    <row r="17" spans="1:12">
      <c r="A17" s="363">
        <v>3</v>
      </c>
      <c r="B17" s="674"/>
      <c r="C17" s="756"/>
      <c r="D17" s="354"/>
      <c r="E17" s="758"/>
      <c r="F17" s="354"/>
      <c r="G17" s="646"/>
      <c r="H17" s="354"/>
      <c r="I17" s="497"/>
      <c r="J17" s="354"/>
    </row>
    <row r="18" spans="1:12">
      <c r="A18" s="755">
        <v>4</v>
      </c>
      <c r="B18" s="674"/>
      <c r="C18" s="345" t="s">
        <v>95</v>
      </c>
      <c r="D18" s="290">
        <f>SUM(D16:D17)</f>
        <v>0</v>
      </c>
      <c r="E18" s="646"/>
      <c r="F18" s="290">
        <f>SUM(F16:F17)</f>
        <v>0</v>
      </c>
      <c r="G18" s="646"/>
      <c r="H18" s="290">
        <f>SUM(H16:H17)</f>
        <v>0</v>
      </c>
      <c r="I18" s="497"/>
      <c r="J18" s="290">
        <f>SUM(J16:J17)</f>
        <v>0</v>
      </c>
    </row>
    <row r="19" spans="1:12">
      <c r="A19" s="363">
        <v>5</v>
      </c>
      <c r="B19" s="646"/>
      <c r="C19" s="646"/>
      <c r="D19" s="326"/>
      <c r="E19" s="646"/>
      <c r="F19" s="326"/>
      <c r="G19" s="646"/>
      <c r="H19" s="326"/>
      <c r="I19" s="497"/>
      <c r="J19" s="326"/>
    </row>
    <row r="20" spans="1:12" ht="15.75">
      <c r="A20" s="755">
        <v>6</v>
      </c>
      <c r="C20" s="753" t="s">
        <v>77</v>
      </c>
      <c r="D20" s="759"/>
      <c r="E20" s="760"/>
      <c r="F20" s="761"/>
      <c r="G20" s="762"/>
      <c r="H20" s="759"/>
      <c r="I20" s="497"/>
      <c r="J20" s="761"/>
    </row>
    <row r="21" spans="1:12">
      <c r="A21" s="363">
        <v>7</v>
      </c>
      <c r="B21" s="674" t="s">
        <v>619</v>
      </c>
      <c r="C21" s="756" t="s">
        <v>923</v>
      </c>
      <c r="D21" s="290">
        <f>SUM('[13]Div 91 forecast'!$F$77:$Q$77)</f>
        <v>60781.347841414521</v>
      </c>
      <c r="E21" s="357">
        <f>Allocation!$I$17</f>
        <v>0.50419999999999998</v>
      </c>
      <c r="F21" s="290">
        <f>D21*E21</f>
        <v>30645.955581641199</v>
      </c>
      <c r="G21" s="646"/>
      <c r="H21" s="290">
        <f>SUM('[13]Div 91 forecast'!$U$77:$AF$77)</f>
        <v>60781.347841414528</v>
      </c>
      <c r="I21" s="357">
        <f>Allocation!$E$17</f>
        <v>0.50419999999999998</v>
      </c>
      <c r="J21" s="290">
        <f>H21*I21</f>
        <v>30645.955581641203</v>
      </c>
      <c r="L21" s="557"/>
    </row>
    <row r="22" spans="1:12">
      <c r="A22" s="755">
        <v>8</v>
      </c>
      <c r="B22" s="674"/>
      <c r="C22" s="756"/>
      <c r="D22" s="354"/>
      <c r="E22" s="288"/>
      <c r="F22" s="354"/>
      <c r="G22" s="95"/>
      <c r="H22" s="354"/>
      <c r="I22" s="763"/>
      <c r="J22" s="354"/>
    </row>
    <row r="23" spans="1:12">
      <c r="A23" s="363">
        <v>9</v>
      </c>
      <c r="B23" s="674"/>
      <c r="C23" s="345" t="s">
        <v>95</v>
      </c>
      <c r="D23" s="290">
        <f>SUM(D21:D22)</f>
        <v>60781.347841414521</v>
      </c>
      <c r="E23" s="95"/>
      <c r="F23" s="290">
        <f>SUM(F21:F22)</f>
        <v>30645.955581641199</v>
      </c>
      <c r="G23" s="95"/>
      <c r="H23" s="290">
        <f>SUM(H21:H22)</f>
        <v>60781.347841414528</v>
      </c>
      <c r="I23" s="763"/>
      <c r="J23" s="290">
        <f>SUM(J21:J22)</f>
        <v>30645.955581641203</v>
      </c>
    </row>
    <row r="24" spans="1:12">
      <c r="A24" s="755">
        <v>10</v>
      </c>
      <c r="B24" s="95"/>
      <c r="C24" s="95"/>
      <c r="D24" s="430"/>
      <c r="E24" s="95"/>
      <c r="F24" s="95"/>
      <c r="G24" s="95"/>
      <c r="H24" s="430"/>
      <c r="I24" s="763"/>
      <c r="J24" s="95"/>
    </row>
    <row r="25" spans="1:12" ht="15.75">
      <c r="A25" s="363">
        <v>11</v>
      </c>
      <c r="C25" s="753" t="s">
        <v>75</v>
      </c>
      <c r="D25" s="430"/>
      <c r="E25" s="95"/>
      <c r="F25" s="95"/>
      <c r="G25" s="95"/>
      <c r="H25" s="430"/>
      <c r="I25" s="763"/>
      <c r="J25" s="95"/>
    </row>
    <row r="26" spans="1:12">
      <c r="A26" s="755">
        <v>12</v>
      </c>
      <c r="B26" s="674" t="s">
        <v>619</v>
      </c>
      <c r="C26" s="756" t="s">
        <v>923</v>
      </c>
      <c r="D26" s="290">
        <f>SUM('[13]Div 2 forecast'!$F$57:$Q$57)</f>
        <v>61703.882187248171</v>
      </c>
      <c r="E26" s="357">
        <f>Allocation!$I$14</f>
        <v>4.9714119999999994E-2</v>
      </c>
      <c r="F26" s="290">
        <f>D26*E26</f>
        <v>3067.5542035227177</v>
      </c>
      <c r="H26" s="290">
        <f>SUM('[13]Div 2 forecast'!$U$57:$AF$57)</f>
        <v>61703.882187248171</v>
      </c>
      <c r="I26" s="357">
        <f>Allocation!$E$14</f>
        <v>4.9714119999999994E-2</v>
      </c>
      <c r="J26" s="290">
        <f>H26*I26</f>
        <v>3067.5542035227177</v>
      </c>
      <c r="L26" s="557"/>
    </row>
    <row r="27" spans="1:12">
      <c r="A27" s="363">
        <v>13</v>
      </c>
      <c r="B27" s="674"/>
      <c r="C27" s="756"/>
      <c r="D27" s="354"/>
      <c r="E27" s="288"/>
      <c r="F27" s="354"/>
      <c r="H27" s="354"/>
      <c r="I27" s="763"/>
      <c r="J27" s="354"/>
    </row>
    <row r="28" spans="1:12">
      <c r="A28" s="755">
        <v>14</v>
      </c>
      <c r="B28" s="674"/>
      <c r="C28" s="345" t="s">
        <v>95</v>
      </c>
      <c r="D28" s="290">
        <f>SUM(D26:D27)</f>
        <v>61703.882187248171</v>
      </c>
      <c r="E28" s="288"/>
      <c r="F28" s="290">
        <f>SUM(F26:F27)</f>
        <v>3067.5542035227177</v>
      </c>
      <c r="H28" s="290">
        <f>SUM(H26:H27)</f>
        <v>61703.882187248171</v>
      </c>
      <c r="I28" s="763"/>
      <c r="J28" s="290">
        <f>SUM(J26:J27)</f>
        <v>3067.5542035227177</v>
      </c>
    </row>
    <row r="29" spans="1:12">
      <c r="A29" s="363">
        <v>15</v>
      </c>
      <c r="D29" s="430"/>
      <c r="E29" s="288"/>
      <c r="H29" s="430"/>
      <c r="I29" s="763"/>
    </row>
    <row r="30" spans="1:12" ht="15.75">
      <c r="A30" s="755">
        <v>16</v>
      </c>
      <c r="C30" s="753" t="s">
        <v>76</v>
      </c>
      <c r="D30" s="430"/>
      <c r="E30" s="288"/>
      <c r="H30" s="430"/>
      <c r="I30" s="763"/>
    </row>
    <row r="31" spans="1:12">
      <c r="A31" s="363">
        <v>17</v>
      </c>
      <c r="B31" s="674" t="s">
        <v>619</v>
      </c>
      <c r="C31" s="756" t="s">
        <v>923</v>
      </c>
      <c r="D31" s="290">
        <f>SUM('[13]Div 12 forecast'!$F$40:$Q$43)</f>
        <v>76105.249321848445</v>
      </c>
      <c r="E31" s="357">
        <f>Allocation!$I$15</f>
        <v>5.5573860000000003E-2</v>
      </c>
      <c r="F31" s="290">
        <f>D31*E31</f>
        <v>4229.4624710775006</v>
      </c>
      <c r="H31" s="290">
        <f>SUM('[13]Div 12 forecast'!$U$40:$AF$43)</f>
        <v>76105.249321848416</v>
      </c>
      <c r="I31" s="357">
        <f>Allocation!$E$15</f>
        <v>5.5573860000000003E-2</v>
      </c>
      <c r="J31" s="290">
        <f>H31*I31</f>
        <v>4229.4624710774988</v>
      </c>
      <c r="L31" s="557"/>
    </row>
    <row r="32" spans="1:12">
      <c r="A32" s="755">
        <v>18</v>
      </c>
      <c r="B32" s="674"/>
      <c r="C32" s="756"/>
      <c r="D32" s="354"/>
      <c r="E32" s="288"/>
      <c r="F32" s="354"/>
      <c r="H32" s="354"/>
      <c r="I32" s="763"/>
      <c r="J32" s="354"/>
    </row>
    <row r="33" spans="1:10">
      <c r="A33" s="363">
        <v>19</v>
      </c>
      <c r="B33" s="674"/>
      <c r="C33" s="345" t="s">
        <v>95</v>
      </c>
      <c r="D33" s="290">
        <f>SUM(D31:D32)</f>
        <v>76105.249321848445</v>
      </c>
      <c r="F33" s="290">
        <f>SUM(F31:F32)</f>
        <v>4229.4624710775006</v>
      </c>
      <c r="H33" s="290">
        <f>SUM(H31:H32)</f>
        <v>76105.249321848416</v>
      </c>
      <c r="J33" s="290">
        <f>SUM(J31:J32)</f>
        <v>4229.4624710774988</v>
      </c>
    </row>
    <row r="34" spans="1:10">
      <c r="A34" s="755">
        <v>20</v>
      </c>
      <c r="D34" s="430"/>
    </row>
    <row r="35" spans="1:10" ht="16.5" thickBot="1">
      <c r="A35" s="363">
        <v>21</v>
      </c>
      <c r="C35" s="764" t="s">
        <v>924</v>
      </c>
      <c r="D35" s="1060">
        <f>D33+D28+D23+D18</f>
        <v>198590.47935051116</v>
      </c>
      <c r="F35" s="1060">
        <f>F33+F28+F23+F18</f>
        <v>37942.972256241417</v>
      </c>
      <c r="H35" s="1060">
        <f>H33+H28+H23+H18</f>
        <v>198590.47935051113</v>
      </c>
      <c r="J35" s="1060">
        <f>J33+J28+J23+J18</f>
        <v>37942.972256241417</v>
      </c>
    </row>
    <row r="36" spans="1:10" ht="16.5" thickTop="1">
      <c r="A36" s="363"/>
      <c r="C36" s="764"/>
      <c r="D36" s="287"/>
      <c r="F36" s="287"/>
      <c r="H36" s="287"/>
      <c r="J36" s="287"/>
    </row>
    <row r="37" spans="1:10" ht="15.75">
      <c r="C37" s="764"/>
    </row>
    <row r="39" spans="1:10">
      <c r="B39" s="72" t="s">
        <v>514</v>
      </c>
    </row>
    <row r="40" spans="1:10">
      <c r="B40" s="72" t="s">
        <v>1571</v>
      </c>
    </row>
  </sheetData>
  <mergeCells count="5">
    <mergeCell ref="A5:J5"/>
    <mergeCell ref="A1:J1"/>
    <mergeCell ref="A2:J2"/>
    <mergeCell ref="A3:J3"/>
    <mergeCell ref="A4:J4"/>
  </mergeCells>
  <phoneticPr fontId="21" type="noConversion"/>
  <pageMargins left="0.75" right="0.75" top="1" bottom="1" header="0.5" footer="0.5"/>
  <pageSetup scale="80" orientation="landscape" verticalDpi="300" r:id="rId1"/>
  <headerFooter alignWithMargins="0">
    <oddFooter>&amp;RSchedule &amp;A
Page &amp;P of &amp;N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42">
    <pageSetUpPr fitToPage="1"/>
  </sheetPr>
  <dimension ref="A1:N79"/>
  <sheetViews>
    <sheetView view="pageBreakPreview" topLeftCell="A46" zoomScale="80" zoomScaleNormal="100" zoomScaleSheetLayoutView="80" workbookViewId="0">
      <selection sqref="A1:J1"/>
    </sheetView>
  </sheetViews>
  <sheetFormatPr defaultColWidth="8.88671875" defaultRowHeight="15"/>
  <cols>
    <col min="1" max="1" width="4.109375" style="72" customWidth="1"/>
    <col min="2" max="2" width="8.88671875" style="72"/>
    <col min="3" max="3" width="50.6640625" style="72" customWidth="1"/>
    <col min="4" max="4" width="9.5546875" style="72" bestFit="1" customWidth="1"/>
    <col min="5" max="5" width="11.33203125" style="72" bestFit="1" customWidth="1"/>
    <col min="6" max="6" width="9.5546875" style="72" bestFit="1" customWidth="1"/>
    <col min="7" max="7" width="3.109375" style="72" customWidth="1"/>
    <col min="8" max="8" width="9.5546875" style="72" customWidth="1"/>
    <col min="9" max="9" width="11.21875" style="72" customWidth="1"/>
    <col min="10" max="10" width="9.5546875" style="72" customWidth="1"/>
    <col min="11" max="16384" width="8.88671875" style="72"/>
  </cols>
  <sheetData>
    <row r="1" spans="1:10" ht="15.75">
      <c r="A1" s="1286" t="str">
        <f>'Table of Contents'!A1:C1</f>
        <v>Atmos Energy Corporation, Kentucky/Mid-States Division</v>
      </c>
      <c r="B1" s="1286"/>
      <c r="C1" s="1286"/>
      <c r="D1" s="1286"/>
      <c r="E1" s="1286"/>
      <c r="F1" s="1286"/>
      <c r="G1" s="1286"/>
      <c r="H1" s="1286"/>
      <c r="I1" s="1286"/>
      <c r="J1" s="1286"/>
    </row>
    <row r="2" spans="1:10" ht="15.75">
      <c r="A2" s="1286" t="str">
        <f>'Table of Contents'!A2:C2</f>
        <v>Kentucky Jurisdiction Case No. 2021-00214</v>
      </c>
      <c r="B2" s="1286"/>
      <c r="C2" s="1286"/>
      <c r="D2" s="1286"/>
      <c r="E2" s="1286"/>
      <c r="F2" s="1286"/>
      <c r="G2" s="1286"/>
      <c r="H2" s="1286"/>
      <c r="I2" s="1286"/>
      <c r="J2" s="1286"/>
    </row>
    <row r="3" spans="1:10" ht="15.75">
      <c r="A3" s="1286" t="s">
        <v>1041</v>
      </c>
      <c r="B3" s="1286"/>
      <c r="C3" s="1286"/>
      <c r="D3" s="1286"/>
      <c r="E3" s="1286"/>
      <c r="F3" s="1286"/>
      <c r="G3" s="1286"/>
      <c r="H3" s="1286"/>
      <c r="I3" s="1286"/>
      <c r="J3" s="1286"/>
    </row>
    <row r="4" spans="1:10" ht="15.75">
      <c r="A4" s="1286" t="str">
        <f>'Table of Contents'!A3:C3</f>
        <v>Base Period: Twelve Months Ended September 30, 2021</v>
      </c>
      <c r="B4" s="1286"/>
      <c r="C4" s="1286"/>
      <c r="D4" s="1286"/>
      <c r="E4" s="1286"/>
      <c r="F4" s="1286"/>
      <c r="G4" s="1286"/>
      <c r="H4" s="1286"/>
      <c r="I4" s="1286"/>
      <c r="J4" s="1286"/>
    </row>
    <row r="5" spans="1:10" ht="15.75">
      <c r="A5" s="1286" t="str">
        <f>'Table of Contents'!A4:C4</f>
        <v>Forecasted Test Period: Twelve Months Ended December 31, 2022</v>
      </c>
      <c r="B5" s="1286"/>
      <c r="C5" s="1286"/>
      <c r="D5" s="1286"/>
      <c r="E5" s="1286"/>
      <c r="F5" s="1286"/>
      <c r="G5" s="1286"/>
      <c r="H5" s="1286"/>
      <c r="I5" s="1286"/>
      <c r="J5" s="1286"/>
    </row>
    <row r="6" spans="1:10" ht="15.75">
      <c r="A6" s="95"/>
      <c r="B6" s="744"/>
      <c r="C6" s="95"/>
      <c r="D6" s="891"/>
      <c r="E6" s="95"/>
      <c r="F6" s="95"/>
      <c r="G6" s="95"/>
      <c r="H6" s="95"/>
      <c r="I6" s="95"/>
      <c r="J6" s="95"/>
    </row>
    <row r="7" spans="1:10" ht="15.75">
      <c r="A7" s="95"/>
      <c r="B7" s="744"/>
      <c r="C7" s="744"/>
      <c r="D7" s="95"/>
      <c r="E7" s="95"/>
      <c r="F7" s="95"/>
      <c r="G7" s="95"/>
      <c r="H7" s="95"/>
      <c r="J7" s="95"/>
    </row>
    <row r="8" spans="1:10" ht="15.75">
      <c r="A8" s="561" t="s">
        <v>135</v>
      </c>
      <c r="B8" s="744"/>
      <c r="C8" s="95"/>
      <c r="D8" s="95"/>
      <c r="E8" s="95"/>
      <c r="F8" s="95"/>
      <c r="G8" s="95"/>
      <c r="H8" s="95"/>
      <c r="J8" s="150" t="s">
        <v>1353</v>
      </c>
    </row>
    <row r="9" spans="1:10" ht="15.75">
      <c r="A9" s="561" t="s">
        <v>1106</v>
      </c>
      <c r="B9" s="744"/>
      <c r="C9" s="95"/>
      <c r="D9" s="95"/>
      <c r="E9" s="95"/>
      <c r="F9" s="95"/>
      <c r="G9" s="95"/>
      <c r="H9" s="95"/>
      <c r="J9" s="745" t="s">
        <v>136</v>
      </c>
    </row>
    <row r="10" spans="1:10" ht="15.75">
      <c r="A10" s="561" t="s">
        <v>363</v>
      </c>
      <c r="B10" s="744"/>
      <c r="C10" s="95"/>
      <c r="D10" s="95"/>
      <c r="E10" s="95"/>
      <c r="F10" s="95"/>
      <c r="G10" s="95"/>
      <c r="H10" s="95"/>
      <c r="J10" s="745" t="str">
        <f>F.1!$I$9</f>
        <v>Witness: Christian</v>
      </c>
    </row>
    <row r="11" spans="1:10" ht="15.75">
      <c r="A11" s="747"/>
      <c r="B11" s="747"/>
      <c r="C11" s="747"/>
      <c r="D11" s="748"/>
      <c r="E11" s="749" t="s">
        <v>322</v>
      </c>
      <c r="F11" s="750"/>
      <c r="G11" s="747"/>
      <c r="H11" s="748"/>
      <c r="I11" s="749" t="s">
        <v>323</v>
      </c>
      <c r="J11" s="750"/>
    </row>
    <row r="12" spans="1:10">
      <c r="A12" s="112" t="s">
        <v>92</v>
      </c>
      <c r="B12" s="112" t="s">
        <v>336</v>
      </c>
      <c r="C12" s="95"/>
      <c r="D12" s="112" t="s">
        <v>95</v>
      </c>
      <c r="E12" s="686" t="s">
        <v>11</v>
      </c>
      <c r="F12" s="777" t="s">
        <v>12</v>
      </c>
      <c r="G12" s="95"/>
      <c r="H12" s="112" t="s">
        <v>95</v>
      </c>
      <c r="I12" s="1036" t="str">
        <f>E12</f>
        <v xml:space="preserve">Kentucky </v>
      </c>
      <c r="J12" s="777" t="s">
        <v>968</v>
      </c>
    </row>
    <row r="13" spans="1:10">
      <c r="A13" s="527" t="s">
        <v>98</v>
      </c>
      <c r="B13" s="527" t="s">
        <v>137</v>
      </c>
      <c r="C13" s="527" t="s">
        <v>473</v>
      </c>
      <c r="D13" s="527" t="s">
        <v>588</v>
      </c>
      <c r="E13" s="751" t="s">
        <v>96</v>
      </c>
      <c r="F13" s="527" t="s">
        <v>103</v>
      </c>
      <c r="G13" s="752"/>
      <c r="H13" s="527" t="s">
        <v>588</v>
      </c>
      <c r="I13" s="527" t="str">
        <f>E13</f>
        <v>Jurisdictional</v>
      </c>
      <c r="J13" s="527" t="s">
        <v>103</v>
      </c>
    </row>
    <row r="14" spans="1:10">
      <c r="A14" s="95"/>
      <c r="B14" s="95"/>
      <c r="C14" s="95"/>
      <c r="D14" s="95"/>
      <c r="E14" s="95"/>
      <c r="F14" s="95"/>
      <c r="G14" s="95"/>
      <c r="H14" s="95"/>
      <c r="I14" s="95"/>
      <c r="J14" s="95"/>
    </row>
    <row r="15" spans="1:10" ht="15.75">
      <c r="A15" s="472">
        <v>1</v>
      </c>
      <c r="B15" s="95"/>
      <c r="C15" s="892" t="s">
        <v>563</v>
      </c>
      <c r="D15" s="95"/>
      <c r="E15" s="95"/>
      <c r="F15" s="95"/>
      <c r="G15" s="95"/>
      <c r="H15" s="95"/>
      <c r="I15" s="95"/>
      <c r="J15" s="95"/>
    </row>
    <row r="16" spans="1:10">
      <c r="A16" s="472">
        <v>2</v>
      </c>
      <c r="B16" s="95"/>
      <c r="D16" s="95"/>
      <c r="E16" s="893"/>
      <c r="F16" s="95"/>
      <c r="G16" s="95"/>
      <c r="H16" s="95"/>
      <c r="I16" s="893"/>
      <c r="J16" s="95"/>
    </row>
    <row r="17" spans="1:14" ht="15.75">
      <c r="A17" s="472">
        <v>3</v>
      </c>
      <c r="B17" s="95"/>
      <c r="C17" s="753" t="s">
        <v>192</v>
      </c>
      <c r="D17" s="95"/>
      <c r="E17" s="893"/>
      <c r="F17" s="95"/>
      <c r="G17" s="95"/>
      <c r="H17" s="95"/>
      <c r="I17" s="893"/>
      <c r="J17" s="95"/>
    </row>
    <row r="18" spans="1:14">
      <c r="A18" s="472">
        <v>4</v>
      </c>
      <c r="B18" s="112">
        <v>907</v>
      </c>
      <c r="C18" s="894" t="s">
        <v>964</v>
      </c>
      <c r="D18" s="464">
        <v>0</v>
      </c>
      <c r="E18" s="895">
        <v>1</v>
      </c>
      <c r="F18" s="275">
        <f>D18*E18</f>
        <v>0</v>
      </c>
      <c r="G18" s="95"/>
      <c r="H18" s="464">
        <v>0</v>
      </c>
      <c r="I18" s="1158">
        <f>E18</f>
        <v>1</v>
      </c>
      <c r="J18" s="275">
        <f>H18*I18</f>
        <v>0</v>
      </c>
    </row>
    <row r="19" spans="1:14">
      <c r="A19" s="472">
        <v>5</v>
      </c>
      <c r="B19" s="112">
        <v>908</v>
      </c>
      <c r="C19" s="894" t="s">
        <v>475</v>
      </c>
      <c r="D19" s="508">
        <v>0</v>
      </c>
      <c r="E19" s="394">
        <f>$E$18</f>
        <v>1</v>
      </c>
      <c r="F19" s="307">
        <f>D19*E19</f>
        <v>0</v>
      </c>
      <c r="G19" s="95"/>
      <c r="H19" s="508">
        <v>0</v>
      </c>
      <c r="I19" s="1158">
        <f>E19</f>
        <v>1</v>
      </c>
      <c r="J19" s="307">
        <f>H19*I19</f>
        <v>0</v>
      </c>
    </row>
    <row r="20" spans="1:14">
      <c r="A20" s="472">
        <v>6</v>
      </c>
      <c r="B20" s="112">
        <v>909</v>
      </c>
      <c r="C20" s="894" t="s">
        <v>965</v>
      </c>
      <c r="D20" s="307">
        <f>'C.2.2 B 09'!P95</f>
        <v>170409.79010111588</v>
      </c>
      <c r="E20" s="394">
        <f>$E$18</f>
        <v>1</v>
      </c>
      <c r="F20" s="307">
        <f>D20*E20</f>
        <v>170409.79010111588</v>
      </c>
      <c r="G20" s="95"/>
      <c r="H20" s="307">
        <f>'C.2.2-F 09'!P95</f>
        <v>175015.1084149479</v>
      </c>
      <c r="I20" s="1158">
        <f>E20</f>
        <v>1</v>
      </c>
      <c r="J20" s="307">
        <f>H20*I20</f>
        <v>175015.1084149479</v>
      </c>
    </row>
    <row r="21" spans="1:14">
      <c r="A21" s="472">
        <v>7</v>
      </c>
      <c r="B21" s="896">
        <v>910</v>
      </c>
      <c r="C21" s="894" t="s">
        <v>966</v>
      </c>
      <c r="D21" s="509">
        <v>0</v>
      </c>
      <c r="E21" s="394">
        <f>$E$18</f>
        <v>1</v>
      </c>
      <c r="F21" s="354">
        <f>D21*E21</f>
        <v>0</v>
      </c>
      <c r="G21" s="95"/>
      <c r="H21" s="509">
        <v>0</v>
      </c>
      <c r="I21" s="1158">
        <f>E21</f>
        <v>1</v>
      </c>
      <c r="J21" s="354">
        <f>H21*I21</f>
        <v>0</v>
      </c>
    </row>
    <row r="22" spans="1:14">
      <c r="A22" s="472">
        <v>8</v>
      </c>
      <c r="B22" s="777"/>
      <c r="C22" s="897" t="s">
        <v>95</v>
      </c>
      <c r="D22" s="304">
        <f>SUM(D18:D21)</f>
        <v>170409.79010111588</v>
      </c>
      <c r="E22" s="893"/>
      <c r="F22" s="304">
        <f>SUM(F18:F21)</f>
        <v>170409.79010111588</v>
      </c>
      <c r="G22" s="95"/>
      <c r="H22" s="304">
        <f>SUM(H18:H21)</f>
        <v>175015.1084149479</v>
      </c>
      <c r="I22" s="893"/>
      <c r="J22" s="304">
        <f>SUM(J18:J21)</f>
        <v>175015.1084149479</v>
      </c>
    </row>
    <row r="23" spans="1:14">
      <c r="A23" s="472">
        <v>9</v>
      </c>
      <c r="B23" s="777"/>
      <c r="C23" s="897"/>
      <c r="D23" s="498"/>
      <c r="E23" s="893"/>
      <c r="F23" s="498"/>
      <c r="G23" s="95"/>
      <c r="H23" s="498"/>
      <c r="I23" s="893"/>
      <c r="J23" s="498"/>
    </row>
    <row r="24" spans="1:14" ht="15.75">
      <c r="A24" s="472">
        <v>10</v>
      </c>
      <c r="B24" s="777"/>
      <c r="C24" s="753" t="s">
        <v>77</v>
      </c>
      <c r="D24" s="498"/>
      <c r="E24" s="893"/>
      <c r="F24" s="498"/>
      <c r="G24" s="95"/>
      <c r="H24" s="498"/>
      <c r="I24" s="893"/>
      <c r="J24" s="498"/>
    </row>
    <row r="25" spans="1:14">
      <c r="A25" s="472">
        <v>11</v>
      </c>
      <c r="B25" s="112">
        <v>907</v>
      </c>
      <c r="C25" s="894" t="s">
        <v>964</v>
      </c>
      <c r="D25" s="464">
        <v>0</v>
      </c>
      <c r="E25" s="898">
        <f>Allocation!$I$17</f>
        <v>0.50419999999999998</v>
      </c>
      <c r="F25" s="304">
        <f>D25*E25</f>
        <v>0</v>
      </c>
      <c r="G25" s="95"/>
      <c r="H25" s="464">
        <v>0</v>
      </c>
      <c r="I25" s="898">
        <f>Allocation!$E$17</f>
        <v>0.50419999999999998</v>
      </c>
      <c r="J25" s="304">
        <f>H25*I25</f>
        <v>0</v>
      </c>
    </row>
    <row r="26" spans="1:14">
      <c r="A26" s="472">
        <v>12</v>
      </c>
      <c r="B26" s="112">
        <v>908</v>
      </c>
      <c r="C26" s="894" t="s">
        <v>475</v>
      </c>
      <c r="D26" s="508">
        <v>0</v>
      </c>
      <c r="E26" s="395">
        <f>$E$25</f>
        <v>0.50419999999999998</v>
      </c>
      <c r="F26" s="364">
        <f>D26*E26</f>
        <v>0</v>
      </c>
      <c r="H26" s="508">
        <v>0</v>
      </c>
      <c r="I26" s="898">
        <f>I25</f>
        <v>0.50419999999999998</v>
      </c>
      <c r="J26" s="364">
        <f>H26*I26</f>
        <v>0</v>
      </c>
      <c r="N26" s="714"/>
    </row>
    <row r="27" spans="1:14">
      <c r="A27" s="472">
        <v>13</v>
      </c>
      <c r="B27" s="112">
        <v>909</v>
      </c>
      <c r="C27" s="894" t="s">
        <v>965</v>
      </c>
      <c r="D27" s="508">
        <v>0</v>
      </c>
      <c r="E27" s="395">
        <f>$E$25</f>
        <v>0.50419999999999998</v>
      </c>
      <c r="F27" s="364">
        <f>D27*E27</f>
        <v>0</v>
      </c>
      <c r="H27" s="508">
        <v>0</v>
      </c>
      <c r="I27" s="898">
        <f>I25</f>
        <v>0.50419999999999998</v>
      </c>
      <c r="J27" s="364">
        <f>H27*I27</f>
        <v>0</v>
      </c>
    </row>
    <row r="28" spans="1:14">
      <c r="A28" s="472">
        <v>14</v>
      </c>
      <c r="B28" s="896">
        <v>910</v>
      </c>
      <c r="C28" s="894" t="s">
        <v>966</v>
      </c>
      <c r="D28" s="354">
        <f>'C.2.2 B 91'!P46</f>
        <v>512.17766299470236</v>
      </c>
      <c r="E28" s="395">
        <f>$E$25</f>
        <v>0.50419999999999998</v>
      </c>
      <c r="F28" s="842">
        <f>D28*E28</f>
        <v>258.23997768192891</v>
      </c>
      <c r="H28" s="354">
        <f>'C.2.2-F 91'!P44</f>
        <v>512.17766299470236</v>
      </c>
      <c r="I28" s="898">
        <f>I25</f>
        <v>0.50419999999999998</v>
      </c>
      <c r="J28" s="842">
        <f>H28*I28</f>
        <v>258.23997768192891</v>
      </c>
    </row>
    <row r="29" spans="1:14">
      <c r="A29" s="472">
        <v>15</v>
      </c>
      <c r="B29" s="686"/>
      <c r="C29" s="897" t="s">
        <v>95</v>
      </c>
      <c r="D29" s="304">
        <f>SUM(D25:D28)</f>
        <v>512.17766299470236</v>
      </c>
      <c r="E29" s="893"/>
      <c r="F29" s="304">
        <f>SUM(F25:F28)</f>
        <v>258.23997768192891</v>
      </c>
      <c r="G29" s="95"/>
      <c r="H29" s="304">
        <f>SUM(H25:H28)</f>
        <v>512.17766299470236</v>
      </c>
      <c r="I29" s="893"/>
      <c r="J29" s="304">
        <f>SUM(J25:J28)</f>
        <v>258.23997768192891</v>
      </c>
    </row>
    <row r="30" spans="1:14">
      <c r="A30" s="472">
        <v>16</v>
      </c>
      <c r="B30" s="686"/>
      <c r="C30" s="897"/>
      <c r="D30" s="498"/>
      <c r="E30" s="893"/>
      <c r="F30" s="498"/>
      <c r="G30" s="95"/>
      <c r="H30" s="498"/>
      <c r="I30" s="893"/>
      <c r="J30" s="498"/>
    </row>
    <row r="31" spans="1:14" ht="15.75">
      <c r="A31" s="472">
        <v>17</v>
      </c>
      <c r="B31" s="777"/>
      <c r="C31" s="753" t="s">
        <v>75</v>
      </c>
      <c r="D31" s="498"/>
      <c r="F31" s="498"/>
      <c r="H31" s="498"/>
      <c r="I31" s="898"/>
      <c r="J31" s="498"/>
    </row>
    <row r="32" spans="1:14">
      <c r="A32" s="472">
        <v>18</v>
      </c>
      <c r="B32" s="112">
        <v>907</v>
      </c>
      <c r="C32" s="894" t="s">
        <v>964</v>
      </c>
      <c r="D32" s="464">
        <v>0</v>
      </c>
      <c r="E32" s="395">
        <f>Allocation!$I$14</f>
        <v>4.9714119999999994E-2</v>
      </c>
      <c r="F32" s="304">
        <f>D32*E32</f>
        <v>0</v>
      </c>
      <c r="H32" s="464">
        <v>0</v>
      </c>
      <c r="I32" s="395">
        <f>Allocation!$E$14</f>
        <v>4.9714119999999994E-2</v>
      </c>
      <c r="J32" s="304">
        <f>H32*I32</f>
        <v>0</v>
      </c>
    </row>
    <row r="33" spans="1:10">
      <c r="A33" s="472">
        <v>19</v>
      </c>
      <c r="B33" s="112">
        <v>908</v>
      </c>
      <c r="C33" s="894" t="s">
        <v>475</v>
      </c>
      <c r="D33" s="508">
        <v>0</v>
      </c>
      <c r="E33" s="395">
        <f>$E$32</f>
        <v>4.9714119999999994E-2</v>
      </c>
      <c r="F33" s="364">
        <f>D33*E33</f>
        <v>0</v>
      </c>
      <c r="H33" s="508">
        <v>0</v>
      </c>
      <c r="I33" s="898">
        <f>I32</f>
        <v>4.9714119999999994E-2</v>
      </c>
      <c r="J33" s="364">
        <f>H33*I33</f>
        <v>0</v>
      </c>
    </row>
    <row r="34" spans="1:10">
      <c r="A34" s="472">
        <v>20</v>
      </c>
      <c r="B34" s="112">
        <v>909</v>
      </c>
      <c r="C34" s="894" t="s">
        <v>965</v>
      </c>
      <c r="D34" s="508">
        <v>0</v>
      </c>
      <c r="E34" s="395">
        <f>$E$32</f>
        <v>4.9714119999999994E-2</v>
      </c>
      <c r="F34" s="364">
        <f>D34*E34</f>
        <v>0</v>
      </c>
      <c r="H34" s="508">
        <v>0</v>
      </c>
      <c r="I34" s="898">
        <f>I32</f>
        <v>4.9714119999999994E-2</v>
      </c>
      <c r="J34" s="364">
        <f>H34*I34</f>
        <v>0</v>
      </c>
    </row>
    <row r="35" spans="1:10">
      <c r="A35" s="472">
        <v>21</v>
      </c>
      <c r="B35" s="896">
        <v>910</v>
      </c>
      <c r="C35" s="894" t="s">
        <v>966</v>
      </c>
      <c r="D35" s="354">
        <f>'C.2.2 B 02'!P28</f>
        <v>0</v>
      </c>
      <c r="E35" s="395">
        <f>$E$32</f>
        <v>4.9714119999999994E-2</v>
      </c>
      <c r="F35" s="842">
        <f>D35*E35</f>
        <v>0</v>
      </c>
      <c r="G35" s="95"/>
      <c r="H35" s="354">
        <f>'C.2.2-F 02'!P26:P26</f>
        <v>0</v>
      </c>
      <c r="I35" s="898">
        <f>I32</f>
        <v>4.9714119999999994E-2</v>
      </c>
      <c r="J35" s="842">
        <f>H35*I35</f>
        <v>0</v>
      </c>
    </row>
    <row r="36" spans="1:10">
      <c r="A36" s="472">
        <v>22</v>
      </c>
      <c r="B36" s="112"/>
      <c r="C36" s="897" t="s">
        <v>95</v>
      </c>
      <c r="D36" s="304">
        <f>SUM(D32:D35)</f>
        <v>0</v>
      </c>
      <c r="E36" s="893"/>
      <c r="F36" s="304">
        <f>SUM(F32:F35)</f>
        <v>0</v>
      </c>
      <c r="G36" s="95"/>
      <c r="H36" s="304">
        <f>SUM(H32:H35)</f>
        <v>0</v>
      </c>
      <c r="I36" s="893"/>
      <c r="J36" s="304">
        <f>SUM(J32:J35)</f>
        <v>0</v>
      </c>
    </row>
    <row r="37" spans="1:10">
      <c r="A37" s="472">
        <v>23</v>
      </c>
      <c r="B37" s="112"/>
      <c r="C37" s="897"/>
      <c r="D37" s="498"/>
      <c r="E37" s="893"/>
      <c r="F37" s="498"/>
      <c r="G37" s="95"/>
      <c r="H37" s="498"/>
      <c r="I37" s="893"/>
      <c r="J37" s="498"/>
    </row>
    <row r="38" spans="1:10" ht="15.75">
      <c r="A38" s="472">
        <v>24</v>
      </c>
      <c r="B38" s="777"/>
      <c r="C38" s="753" t="s">
        <v>76</v>
      </c>
      <c r="D38" s="498"/>
      <c r="E38" s="95"/>
      <c r="F38" s="498"/>
      <c r="G38" s="95"/>
      <c r="H38" s="498"/>
      <c r="I38" s="898"/>
      <c r="J38" s="498"/>
    </row>
    <row r="39" spans="1:10">
      <c r="A39" s="472">
        <v>25</v>
      </c>
      <c r="B39" s="112">
        <v>907</v>
      </c>
      <c r="C39" s="894" t="s">
        <v>964</v>
      </c>
      <c r="D39" s="464">
        <v>0</v>
      </c>
      <c r="E39" s="395">
        <f>Allocation!$I$15</f>
        <v>5.5573860000000003E-2</v>
      </c>
      <c r="F39" s="304">
        <f>D39*E39</f>
        <v>0</v>
      </c>
      <c r="G39" s="95"/>
      <c r="H39" s="464">
        <v>0</v>
      </c>
      <c r="I39" s="395">
        <f>Allocation!$E$15</f>
        <v>5.5573860000000003E-2</v>
      </c>
      <c r="J39" s="304">
        <f>H39*I39</f>
        <v>0</v>
      </c>
    </row>
    <row r="40" spans="1:10">
      <c r="A40" s="472">
        <v>26</v>
      </c>
      <c r="B40" s="112">
        <v>908</v>
      </c>
      <c r="C40" s="894" t="s">
        <v>475</v>
      </c>
      <c r="D40" s="508">
        <v>0</v>
      </c>
      <c r="E40" s="395">
        <f>$E$39</f>
        <v>5.5573860000000003E-2</v>
      </c>
      <c r="F40" s="364">
        <f>D40*E40</f>
        <v>0</v>
      </c>
      <c r="G40" s="95"/>
      <c r="H40" s="508">
        <v>0</v>
      </c>
      <c r="I40" s="898">
        <f>I39</f>
        <v>5.5573860000000003E-2</v>
      </c>
      <c r="J40" s="364">
        <f>H40*I40</f>
        <v>0</v>
      </c>
    </row>
    <row r="41" spans="1:10">
      <c r="A41" s="472">
        <v>27</v>
      </c>
      <c r="B41" s="112">
        <v>909</v>
      </c>
      <c r="C41" s="894" t="s">
        <v>965</v>
      </c>
      <c r="D41" s="508">
        <v>0</v>
      </c>
      <c r="E41" s="395">
        <f>$E$39</f>
        <v>5.5573860000000003E-2</v>
      </c>
      <c r="F41" s="364">
        <f>D41*E41</f>
        <v>0</v>
      </c>
      <c r="G41" s="95"/>
      <c r="H41" s="508">
        <v>0</v>
      </c>
      <c r="I41" s="898">
        <f>I39</f>
        <v>5.5573860000000003E-2</v>
      </c>
      <c r="J41" s="364">
        <f>H41*I41</f>
        <v>0</v>
      </c>
    </row>
    <row r="42" spans="1:10">
      <c r="A42" s="472">
        <v>28</v>
      </c>
      <c r="B42" s="896">
        <v>910</v>
      </c>
      <c r="C42" s="894" t="s">
        <v>966</v>
      </c>
      <c r="D42" s="508">
        <v>0</v>
      </c>
      <c r="E42" s="395">
        <f>$E$39</f>
        <v>5.5573860000000003E-2</v>
      </c>
      <c r="F42" s="842">
        <f>D42*E42</f>
        <v>0</v>
      </c>
      <c r="G42" s="95"/>
      <c r="H42" s="508">
        <v>0</v>
      </c>
      <c r="I42" s="898">
        <f>I39</f>
        <v>5.5573860000000003E-2</v>
      </c>
      <c r="J42" s="842">
        <f>H42*I42</f>
        <v>0</v>
      </c>
    </row>
    <row r="43" spans="1:10">
      <c r="A43" s="472">
        <v>29</v>
      </c>
      <c r="B43" s="112"/>
      <c r="C43" s="897" t="s">
        <v>95</v>
      </c>
      <c r="D43" s="304">
        <f>SUM(D39:D42)</f>
        <v>0</v>
      </c>
      <c r="E43" s="893"/>
      <c r="F43" s="304">
        <f>SUM(F39:F42)</f>
        <v>0</v>
      </c>
      <c r="G43" s="95"/>
      <c r="H43" s="304">
        <f>SUM(H39:H42)</f>
        <v>0</v>
      </c>
      <c r="I43" s="893"/>
      <c r="J43" s="304">
        <f>SUM(J39:J42)</f>
        <v>0</v>
      </c>
    </row>
    <row r="44" spans="1:10">
      <c r="A44" s="472">
        <v>30</v>
      </c>
      <c r="B44" s="112"/>
      <c r="C44" s="897"/>
      <c r="D44" s="498"/>
      <c r="E44" s="893"/>
      <c r="F44" s="498"/>
      <c r="G44" s="95"/>
      <c r="H44" s="498"/>
      <c r="I44" s="893"/>
      <c r="J44" s="498"/>
    </row>
    <row r="45" spans="1:10" ht="15.75">
      <c r="A45" s="472">
        <v>31</v>
      </c>
      <c r="B45" s="112"/>
      <c r="C45" s="892" t="s">
        <v>490</v>
      </c>
      <c r="D45" s="498"/>
      <c r="E45" s="893"/>
      <c r="F45" s="498"/>
      <c r="G45" s="95"/>
      <c r="H45" s="498"/>
      <c r="I45" s="893"/>
      <c r="J45" s="498"/>
    </row>
    <row r="46" spans="1:10">
      <c r="A46" s="472">
        <v>32</v>
      </c>
      <c r="B46" s="777"/>
      <c r="D46" s="498"/>
      <c r="E46" s="95"/>
      <c r="F46" s="498" t="s">
        <v>321</v>
      </c>
      <c r="G46" s="95"/>
      <c r="H46" s="498"/>
      <c r="I46" s="95"/>
      <c r="J46" s="498" t="s">
        <v>321</v>
      </c>
    </row>
    <row r="47" spans="1:10" ht="15.75">
      <c r="A47" s="472">
        <v>33</v>
      </c>
      <c r="B47" s="777"/>
      <c r="C47" s="753" t="s">
        <v>192</v>
      </c>
      <c r="D47" s="498"/>
      <c r="E47" s="95"/>
      <c r="F47" s="498"/>
      <c r="G47" s="95"/>
      <c r="H47" s="498"/>
      <c r="I47" s="95"/>
      <c r="J47" s="498"/>
    </row>
    <row r="48" spans="1:10">
      <c r="A48" s="472">
        <v>34</v>
      </c>
      <c r="B48" s="112">
        <v>911</v>
      </c>
      <c r="C48" s="894" t="s">
        <v>474</v>
      </c>
      <c r="D48" s="275">
        <f>'C.2.2 B 09'!P97</f>
        <v>217036.03087186429</v>
      </c>
      <c r="E48" s="394">
        <f>E18</f>
        <v>1</v>
      </c>
      <c r="F48" s="275">
        <f>D48*E48</f>
        <v>217036.03087186429</v>
      </c>
      <c r="G48" s="95"/>
      <c r="H48" s="275">
        <f>'C.2.2-F 09'!P97</f>
        <v>221194.11481836322</v>
      </c>
      <c r="I48" s="394">
        <f>I18</f>
        <v>1</v>
      </c>
      <c r="J48" s="275">
        <f>H48</f>
        <v>221194.11481836322</v>
      </c>
    </row>
    <row r="49" spans="1:10">
      <c r="A49" s="472">
        <v>35</v>
      </c>
      <c r="B49" s="112">
        <v>912</v>
      </c>
      <c r="C49" s="894" t="s">
        <v>967</v>
      </c>
      <c r="D49" s="307">
        <f>'C.2.2 B 09'!P98</f>
        <v>58954.974529856161</v>
      </c>
      <c r="E49" s="394">
        <f t="shared" ref="E49:E72" si="0">E19</f>
        <v>1</v>
      </c>
      <c r="F49" s="307">
        <f>D49*E49</f>
        <v>58954.974529856161</v>
      </c>
      <c r="G49" s="95"/>
      <c r="H49" s="307">
        <f>'C.2.2-F 09'!P98</f>
        <v>58954.974529856147</v>
      </c>
      <c r="I49" s="394">
        <f t="shared" ref="I49:I72" si="1">I19</f>
        <v>1</v>
      </c>
      <c r="J49" s="307">
        <f>H49</f>
        <v>58954.974529856147</v>
      </c>
    </row>
    <row r="50" spans="1:10">
      <c r="A50" s="472">
        <v>36</v>
      </c>
      <c r="B50" s="112">
        <v>913</v>
      </c>
      <c r="C50" s="894" t="s">
        <v>943</v>
      </c>
      <c r="D50" s="307">
        <f>'C.2.2 B 09'!P99</f>
        <v>47524.574822683928</v>
      </c>
      <c r="E50" s="394">
        <f t="shared" si="0"/>
        <v>1</v>
      </c>
      <c r="F50" s="307">
        <f>D50*E50</f>
        <v>47524.574822683928</v>
      </c>
      <c r="G50" s="95"/>
      <c r="H50" s="307">
        <f>'C.2.2-F 09'!P99</f>
        <v>47524.574822683928</v>
      </c>
      <c r="I50" s="394">
        <f t="shared" si="1"/>
        <v>1</v>
      </c>
      <c r="J50" s="307">
        <f>H50</f>
        <v>47524.574822683928</v>
      </c>
    </row>
    <row r="51" spans="1:10">
      <c r="A51" s="472">
        <v>37</v>
      </c>
      <c r="B51" s="896">
        <v>916</v>
      </c>
      <c r="C51" s="894" t="s">
        <v>944</v>
      </c>
      <c r="D51" s="509">
        <v>0</v>
      </c>
      <c r="E51" s="394">
        <f t="shared" si="0"/>
        <v>1</v>
      </c>
      <c r="F51" s="354">
        <f>D51*E51</f>
        <v>0</v>
      </c>
      <c r="G51" s="95"/>
      <c r="H51" s="509">
        <v>0</v>
      </c>
      <c r="I51" s="394">
        <f t="shared" si="1"/>
        <v>1</v>
      </c>
      <c r="J51" s="354">
        <f>H51</f>
        <v>0</v>
      </c>
    </row>
    <row r="52" spans="1:10">
      <c r="A52" s="472">
        <v>38</v>
      </c>
      <c r="B52" s="777"/>
      <c r="C52" s="899" t="s">
        <v>95</v>
      </c>
      <c r="D52" s="304">
        <f>SUM(D48:D51)</f>
        <v>323515.5802244044</v>
      </c>
      <c r="E52" s="296"/>
      <c r="F52" s="304">
        <f>SUM(F48:F51)</f>
        <v>323515.5802244044</v>
      </c>
      <c r="G52" s="95"/>
      <c r="H52" s="304">
        <f>SUM(H48:H51)</f>
        <v>327673.66417090327</v>
      </c>
      <c r="I52" s="296"/>
      <c r="J52" s="304">
        <f>SUM(J48:J51)</f>
        <v>327673.66417090327</v>
      </c>
    </row>
    <row r="53" spans="1:10">
      <c r="A53" s="472">
        <v>39</v>
      </c>
      <c r="B53" s="777"/>
      <c r="C53" s="95"/>
      <c r="D53" s="95"/>
      <c r="E53" s="296"/>
      <c r="F53" s="95"/>
      <c r="G53" s="95"/>
      <c r="H53" s="95"/>
      <c r="I53" s="296"/>
      <c r="J53" s="95"/>
    </row>
    <row r="54" spans="1:10" ht="15.75">
      <c r="A54" s="472">
        <v>40</v>
      </c>
      <c r="B54" s="777"/>
      <c r="C54" s="753" t="s">
        <v>77</v>
      </c>
      <c r="D54" s="95"/>
      <c r="E54" s="296"/>
      <c r="F54" s="95"/>
      <c r="G54" s="95"/>
      <c r="H54" s="95"/>
      <c r="I54" s="296"/>
      <c r="J54" s="95"/>
    </row>
    <row r="55" spans="1:10">
      <c r="A55" s="472">
        <v>41</v>
      </c>
      <c r="B55" s="112">
        <v>911</v>
      </c>
      <c r="C55" s="894" t="s">
        <v>474</v>
      </c>
      <c r="D55" s="304">
        <f>'C.2.2 B 91'!P47</f>
        <v>144610.43803256378</v>
      </c>
      <c r="E55" s="395">
        <f t="shared" si="0"/>
        <v>0.50419999999999998</v>
      </c>
      <c r="F55" s="304">
        <f>D55*E55</f>
        <v>72912.582856018649</v>
      </c>
      <c r="G55" s="95"/>
      <c r="H55" s="304">
        <f>'C.2.2-F 91'!P45</f>
        <v>148399.48553514641</v>
      </c>
      <c r="I55" s="395">
        <f t="shared" si="1"/>
        <v>0.50419999999999998</v>
      </c>
      <c r="J55" s="304">
        <f>H55*I55</f>
        <v>74823.020606820821</v>
      </c>
    </row>
    <row r="56" spans="1:10">
      <c r="A56" s="472">
        <v>42</v>
      </c>
      <c r="B56" s="112">
        <v>912</v>
      </c>
      <c r="C56" s="894" t="s">
        <v>967</v>
      </c>
      <c r="D56" s="95">
        <f>'C.2.2 B 91'!P48</f>
        <v>0</v>
      </c>
      <c r="E56" s="395">
        <f t="shared" si="0"/>
        <v>0.50419999999999998</v>
      </c>
      <c r="F56" s="95">
        <f>D56*E56</f>
        <v>0</v>
      </c>
      <c r="G56" s="95"/>
      <c r="H56" s="95">
        <f>'C.2.2-F 91'!P46</f>
        <v>0</v>
      </c>
      <c r="I56" s="395">
        <f t="shared" si="1"/>
        <v>0.50419999999999998</v>
      </c>
      <c r="J56" s="95">
        <f>H56*I56</f>
        <v>0</v>
      </c>
    </row>
    <row r="57" spans="1:10">
      <c r="A57" s="472">
        <v>43</v>
      </c>
      <c r="B57" s="112">
        <v>913</v>
      </c>
      <c r="C57" s="894" t="s">
        <v>943</v>
      </c>
      <c r="D57" s="95">
        <f>'C.2.2 B 91'!P49</f>
        <v>981.00752518577679</v>
      </c>
      <c r="E57" s="395">
        <f t="shared" si="0"/>
        <v>0.50419999999999998</v>
      </c>
      <c r="F57" s="95">
        <f>D57*E57</f>
        <v>494.62399419866864</v>
      </c>
      <c r="G57" s="95"/>
      <c r="H57" s="95">
        <f>'C.2.2-F 91'!P47</f>
        <v>981.0075251857769</v>
      </c>
      <c r="I57" s="395">
        <f t="shared" si="1"/>
        <v>0.50419999999999998</v>
      </c>
      <c r="J57" s="95">
        <f>H57*I57</f>
        <v>494.6239941986687</v>
      </c>
    </row>
    <row r="58" spans="1:10">
      <c r="A58" s="472">
        <v>44</v>
      </c>
      <c r="B58" s="896">
        <v>916</v>
      </c>
      <c r="C58" s="894" t="s">
        <v>944</v>
      </c>
      <c r="D58" s="779">
        <v>0</v>
      </c>
      <c r="E58" s="395">
        <f t="shared" si="0"/>
        <v>0.50419999999999998</v>
      </c>
      <c r="F58" s="779">
        <f>D58*E58</f>
        <v>0</v>
      </c>
      <c r="G58" s="95"/>
      <c r="H58" s="779">
        <v>0</v>
      </c>
      <c r="I58" s="395">
        <f t="shared" si="1"/>
        <v>0.50419999999999998</v>
      </c>
      <c r="J58" s="779">
        <f>H58*I58</f>
        <v>0</v>
      </c>
    </row>
    <row r="59" spans="1:10">
      <c r="A59" s="472">
        <v>45</v>
      </c>
      <c r="B59" s="777"/>
      <c r="C59" s="899" t="s">
        <v>95</v>
      </c>
      <c r="D59" s="304">
        <f>SUM(D55:D58)</f>
        <v>145591.44555774954</v>
      </c>
      <c r="E59" s="296"/>
      <c r="F59" s="304">
        <f>SUM(F55:F58)</f>
        <v>73407.206850217321</v>
      </c>
      <c r="G59" s="95"/>
      <c r="H59" s="304">
        <f>SUM(H55:H58)</f>
        <v>149380.49306033217</v>
      </c>
      <c r="I59" s="288"/>
      <c r="J59" s="304">
        <f>SUM(J55:J58)</f>
        <v>75317.644601019492</v>
      </c>
    </row>
    <row r="60" spans="1:10">
      <c r="A60" s="472">
        <v>46</v>
      </c>
      <c r="B60" s="900"/>
      <c r="C60" s="95"/>
      <c r="D60" s="95"/>
      <c r="E60" s="288"/>
      <c r="F60" s="95"/>
      <c r="G60" s="95"/>
      <c r="H60" s="95"/>
      <c r="I60" s="288"/>
      <c r="J60" s="95"/>
    </row>
    <row r="61" spans="1:10" ht="15.75">
      <c r="A61" s="472">
        <v>47</v>
      </c>
      <c r="B61" s="777"/>
      <c r="C61" s="753" t="s">
        <v>75</v>
      </c>
      <c r="D61" s="95"/>
      <c r="E61" s="288"/>
      <c r="F61" s="95"/>
      <c r="G61" s="95"/>
      <c r="H61" s="95"/>
      <c r="I61" s="288"/>
      <c r="J61" s="95"/>
    </row>
    <row r="62" spans="1:10">
      <c r="A62" s="472">
        <v>48</v>
      </c>
      <c r="B62" s="112">
        <v>911</v>
      </c>
      <c r="C62" s="894" t="s">
        <v>474</v>
      </c>
      <c r="D62" s="310">
        <v>0</v>
      </c>
      <c r="E62" s="395">
        <f t="shared" si="0"/>
        <v>4.9714119999999994E-2</v>
      </c>
      <c r="F62" s="304">
        <f>D62*E62</f>
        <v>0</v>
      </c>
      <c r="G62" s="95"/>
      <c r="H62" s="310">
        <v>0</v>
      </c>
      <c r="I62" s="395">
        <f t="shared" si="1"/>
        <v>4.9714119999999994E-2</v>
      </c>
      <c r="J62" s="304">
        <f>H62*I62</f>
        <v>0</v>
      </c>
    </row>
    <row r="63" spans="1:10">
      <c r="A63" s="472">
        <v>49</v>
      </c>
      <c r="B63" s="112">
        <v>912</v>
      </c>
      <c r="C63" s="894" t="s">
        <v>967</v>
      </c>
      <c r="D63" s="364">
        <f>'C.2.2 B 02'!P29</f>
        <v>178633.40697462106</v>
      </c>
      <c r="E63" s="395">
        <f t="shared" si="0"/>
        <v>4.9714119999999994E-2</v>
      </c>
      <c r="F63" s="364">
        <f>D63*E63</f>
        <v>8880.6026303451472</v>
      </c>
      <c r="G63" s="95"/>
      <c r="H63" s="364">
        <f>'C.2.2-F 02'!P27</f>
        <v>178633.40697462109</v>
      </c>
      <c r="I63" s="395">
        <f t="shared" si="1"/>
        <v>4.9714119999999994E-2</v>
      </c>
      <c r="J63" s="364">
        <f>H63*I63</f>
        <v>8880.602630345149</v>
      </c>
    </row>
    <row r="64" spans="1:10">
      <c r="A64" s="472">
        <v>50</v>
      </c>
      <c r="B64" s="112">
        <v>913</v>
      </c>
      <c r="C64" s="894" t="s">
        <v>943</v>
      </c>
      <c r="D64" s="498">
        <v>0</v>
      </c>
      <c r="E64" s="395">
        <f t="shared" si="0"/>
        <v>4.9714119999999994E-2</v>
      </c>
      <c r="F64" s="364">
        <f>D64*E64</f>
        <v>0</v>
      </c>
      <c r="G64" s="95"/>
      <c r="H64" s="498">
        <v>0</v>
      </c>
      <c r="I64" s="395">
        <f t="shared" si="1"/>
        <v>4.9714119999999994E-2</v>
      </c>
      <c r="J64" s="364">
        <f>H64*I64</f>
        <v>0</v>
      </c>
    </row>
    <row r="65" spans="1:10">
      <c r="A65" s="472">
        <v>51</v>
      </c>
      <c r="B65" s="896">
        <v>916</v>
      </c>
      <c r="C65" s="894" t="s">
        <v>944</v>
      </c>
      <c r="D65" s="844">
        <v>0</v>
      </c>
      <c r="E65" s="395">
        <f t="shared" si="0"/>
        <v>4.9714119999999994E-2</v>
      </c>
      <c r="F65" s="842">
        <f>D65*E65</f>
        <v>0</v>
      </c>
      <c r="G65" s="95"/>
      <c r="H65" s="844">
        <v>0</v>
      </c>
      <c r="I65" s="395">
        <f t="shared" si="1"/>
        <v>4.9714119999999994E-2</v>
      </c>
      <c r="J65" s="842">
        <f>H65*I65</f>
        <v>0</v>
      </c>
    </row>
    <row r="66" spans="1:10">
      <c r="A66" s="472">
        <v>52</v>
      </c>
      <c r="B66" s="777"/>
      <c r="C66" s="899" t="s">
        <v>95</v>
      </c>
      <c r="D66" s="304">
        <f>SUM(D62:D65)</f>
        <v>178633.40697462106</v>
      </c>
      <c r="E66" s="296"/>
      <c r="F66" s="304">
        <f>SUM(F62:F65)</f>
        <v>8880.6026303451472</v>
      </c>
      <c r="G66" s="95"/>
      <c r="H66" s="304">
        <f>SUM(H62:H65)</f>
        <v>178633.40697462109</v>
      </c>
      <c r="I66" s="288"/>
      <c r="J66" s="304">
        <f>SUM(J62:J65)</f>
        <v>8880.602630345149</v>
      </c>
    </row>
    <row r="67" spans="1:10">
      <c r="A67" s="472">
        <v>53</v>
      </c>
      <c r="B67" s="900"/>
      <c r="C67" s="95"/>
      <c r="D67" s="95"/>
      <c r="E67" s="288"/>
      <c r="F67" s="95"/>
      <c r="G67" s="95"/>
      <c r="H67" s="95"/>
      <c r="I67" s="288"/>
      <c r="J67" s="95"/>
    </row>
    <row r="68" spans="1:10" ht="15.75">
      <c r="A68" s="472">
        <v>54</v>
      </c>
      <c r="B68" s="777"/>
      <c r="C68" s="753" t="s">
        <v>76</v>
      </c>
      <c r="D68" s="95"/>
      <c r="E68" s="288"/>
      <c r="F68" s="95"/>
      <c r="G68" s="95"/>
      <c r="H68" s="95"/>
      <c r="I68" s="288"/>
      <c r="J68" s="95"/>
    </row>
    <row r="69" spans="1:10">
      <c r="A69" s="472">
        <v>55</v>
      </c>
      <c r="B69" s="112">
        <v>911</v>
      </c>
      <c r="C69" s="894" t="s">
        <v>474</v>
      </c>
      <c r="D69" s="310">
        <v>0</v>
      </c>
      <c r="E69" s="395">
        <f t="shared" si="0"/>
        <v>5.5573860000000003E-2</v>
      </c>
      <c r="F69" s="304">
        <f>D69*E69</f>
        <v>0</v>
      </c>
      <c r="G69" s="95"/>
      <c r="H69" s="310">
        <v>0</v>
      </c>
      <c r="I69" s="395">
        <f t="shared" si="1"/>
        <v>5.5573860000000003E-2</v>
      </c>
      <c r="J69" s="304">
        <f>H69*I69</f>
        <v>0</v>
      </c>
    </row>
    <row r="70" spans="1:10">
      <c r="A70" s="472">
        <v>56</v>
      </c>
      <c r="B70" s="112">
        <v>912</v>
      </c>
      <c r="C70" s="894" t="s">
        <v>967</v>
      </c>
      <c r="D70" s="498">
        <v>0</v>
      </c>
      <c r="E70" s="395">
        <f t="shared" si="0"/>
        <v>5.5573860000000003E-2</v>
      </c>
      <c r="F70" s="364">
        <f>D70*E70</f>
        <v>0</v>
      </c>
      <c r="G70" s="95"/>
      <c r="H70" s="498">
        <v>0</v>
      </c>
      <c r="I70" s="395">
        <f t="shared" si="1"/>
        <v>5.5573860000000003E-2</v>
      </c>
      <c r="J70" s="364">
        <f>H70*I70</f>
        <v>0</v>
      </c>
    </row>
    <row r="71" spans="1:10">
      <c r="A71" s="472">
        <v>57</v>
      </c>
      <c r="B71" s="112">
        <v>913</v>
      </c>
      <c r="C71" s="894" t="s">
        <v>943</v>
      </c>
      <c r="D71" s="498">
        <v>0</v>
      </c>
      <c r="E71" s="395">
        <f t="shared" si="0"/>
        <v>5.5573860000000003E-2</v>
      </c>
      <c r="F71" s="364">
        <f>D71*E71</f>
        <v>0</v>
      </c>
      <c r="G71" s="95"/>
      <c r="H71" s="498">
        <v>0</v>
      </c>
      <c r="I71" s="395">
        <f t="shared" si="1"/>
        <v>5.5573860000000003E-2</v>
      </c>
      <c r="J71" s="364">
        <f>H71*I71</f>
        <v>0</v>
      </c>
    </row>
    <row r="72" spans="1:10">
      <c r="A72" s="472">
        <v>58</v>
      </c>
      <c r="B72" s="896">
        <v>916</v>
      </c>
      <c r="C72" s="894" t="s">
        <v>944</v>
      </c>
      <c r="D72" s="844">
        <v>0</v>
      </c>
      <c r="E72" s="395">
        <f t="shared" si="0"/>
        <v>5.5573860000000003E-2</v>
      </c>
      <c r="F72" s="842">
        <f>D72*E72</f>
        <v>0</v>
      </c>
      <c r="G72" s="95"/>
      <c r="H72" s="844">
        <v>0</v>
      </c>
      <c r="I72" s="395">
        <f t="shared" si="1"/>
        <v>5.5573860000000003E-2</v>
      </c>
      <c r="J72" s="842">
        <f>H72*I72</f>
        <v>0</v>
      </c>
    </row>
    <row r="73" spans="1:10">
      <c r="A73" s="472">
        <v>59</v>
      </c>
      <c r="B73" s="95"/>
      <c r="C73" s="899" t="s">
        <v>95</v>
      </c>
      <c r="D73" s="304">
        <f>SUM(D69:D72)</f>
        <v>0</v>
      </c>
      <c r="E73" s="296"/>
      <c r="F73" s="304">
        <f>SUM(F69:F72)</f>
        <v>0</v>
      </c>
      <c r="G73" s="95"/>
      <c r="H73" s="304">
        <f>SUM(H69:H72)</f>
        <v>0</v>
      </c>
      <c r="I73" s="296"/>
      <c r="J73" s="304">
        <f>SUM(J69:J72)</f>
        <v>0</v>
      </c>
    </row>
    <row r="76" spans="1:10">
      <c r="B76" s="512" t="s">
        <v>1069</v>
      </c>
    </row>
    <row r="77" spans="1:10">
      <c r="B77" s="512" t="s">
        <v>1207</v>
      </c>
    </row>
    <row r="79" spans="1:10">
      <c r="C79" s="544"/>
    </row>
  </sheetData>
  <mergeCells count="5">
    <mergeCell ref="A5:J5"/>
    <mergeCell ref="A1:J1"/>
    <mergeCell ref="A2:J2"/>
    <mergeCell ref="A3:J3"/>
    <mergeCell ref="A4:J4"/>
  </mergeCells>
  <phoneticPr fontId="21" type="noConversion"/>
  <pageMargins left="0.75" right="0.67" top="0.76" bottom="0.82" header="0.5" footer="0.33"/>
  <pageSetup scale="58" orientation="portrait" verticalDpi="300" r:id="rId1"/>
  <headerFooter alignWithMargins="0">
    <oddFooter>&amp;RSchedule &amp;A
Page &amp;P of &amp;N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68">
    <pageSetUpPr fitToPage="1"/>
  </sheetPr>
  <dimension ref="A1:L41"/>
  <sheetViews>
    <sheetView view="pageBreakPreview" zoomScale="80" zoomScaleNormal="100" zoomScaleSheetLayoutView="80" workbookViewId="0">
      <selection sqref="A1:K1"/>
    </sheetView>
  </sheetViews>
  <sheetFormatPr defaultColWidth="8.88671875" defaultRowHeight="15"/>
  <cols>
    <col min="1" max="1" width="4.109375" style="72" customWidth="1"/>
    <col min="2" max="2" width="38.33203125" style="72" customWidth="1"/>
    <col min="3" max="6" width="11.6640625" style="72" customWidth="1"/>
    <col min="7" max="7" width="10.109375" style="72" customWidth="1"/>
    <col min="8" max="8" width="4.109375" style="72" customWidth="1"/>
    <col min="9" max="9" width="11.33203125" style="72" customWidth="1"/>
    <col min="10" max="10" width="10.77734375" style="72" customWidth="1"/>
    <col min="11" max="11" width="12.44140625" style="72" bestFit="1" customWidth="1"/>
    <col min="12" max="16384" width="8.88671875" style="72"/>
  </cols>
  <sheetData>
    <row r="1" spans="1:12" ht="15.75">
      <c r="A1" s="1286" t="str">
        <f>'Table of Contents'!A1:C1</f>
        <v>Atmos Energy Corporation, Kentucky/Mid-States Division</v>
      </c>
      <c r="B1" s="1286"/>
      <c r="C1" s="1286"/>
      <c r="D1" s="1286"/>
      <c r="E1" s="1286"/>
      <c r="F1" s="1286"/>
      <c r="G1" s="1286"/>
      <c r="H1" s="1286"/>
      <c r="I1" s="1286"/>
      <c r="J1" s="1286"/>
      <c r="K1" s="1286"/>
      <c r="L1" s="95"/>
    </row>
    <row r="2" spans="1:12" ht="15.75">
      <c r="A2" s="1286" t="str">
        <f>'Table of Contents'!A2:C2</f>
        <v>Kentucky Jurisdiction Case No. 2021-00214</v>
      </c>
      <c r="B2" s="1286"/>
      <c r="C2" s="1286"/>
      <c r="D2" s="1286"/>
      <c r="E2" s="1286"/>
      <c r="F2" s="1286"/>
      <c r="G2" s="1286"/>
      <c r="H2" s="1286"/>
      <c r="I2" s="1286"/>
      <c r="J2" s="1286"/>
      <c r="K2" s="1286"/>
      <c r="L2" s="95"/>
    </row>
    <row r="3" spans="1:12" ht="15.75">
      <c r="A3" s="1286" t="s">
        <v>1208</v>
      </c>
      <c r="B3" s="1286"/>
      <c r="C3" s="1286"/>
      <c r="D3" s="1286"/>
      <c r="E3" s="1286"/>
      <c r="F3" s="1286"/>
      <c r="G3" s="1286"/>
      <c r="H3" s="1286"/>
      <c r="I3" s="1286"/>
      <c r="J3" s="1286"/>
      <c r="K3" s="1286"/>
      <c r="L3" s="544"/>
    </row>
    <row r="4" spans="1:12" ht="15.75">
      <c r="A4" s="1286" t="str">
        <f>'Table of Contents'!A4:C4</f>
        <v>Forecasted Test Period: Twelve Months Ended December 31, 2022</v>
      </c>
      <c r="B4" s="1286"/>
      <c r="C4" s="1286"/>
      <c r="D4" s="1286"/>
      <c r="E4" s="1286"/>
      <c r="F4" s="1286"/>
      <c r="G4" s="1286"/>
      <c r="H4" s="1286"/>
      <c r="I4" s="1286"/>
      <c r="J4" s="1286"/>
      <c r="K4" s="1286"/>
      <c r="L4" s="544"/>
    </row>
    <row r="5" spans="1:12" ht="15.75">
      <c r="A5" s="1286"/>
      <c r="B5" s="1286"/>
      <c r="C5" s="1286"/>
      <c r="D5" s="1286"/>
      <c r="E5" s="1286"/>
      <c r="F5" s="1286"/>
      <c r="G5" s="1286"/>
      <c r="H5" s="1286"/>
      <c r="I5" s="1286"/>
      <c r="J5" s="1286"/>
      <c r="K5" s="1286"/>
      <c r="L5" s="95"/>
    </row>
    <row r="6" spans="1:12" ht="15.75">
      <c r="A6" s="744"/>
      <c r="B6" s="744"/>
      <c r="C6" s="95"/>
      <c r="D6" s="95"/>
      <c r="E6" s="729"/>
      <c r="F6" s="95"/>
      <c r="G6" s="95"/>
      <c r="H6" s="95"/>
      <c r="I6" s="95"/>
      <c r="J6" s="95"/>
      <c r="K6" s="95"/>
      <c r="L6" s="95"/>
    </row>
    <row r="7" spans="1:12" ht="15.75">
      <c r="A7" s="744"/>
      <c r="B7" s="744"/>
      <c r="C7" s="95"/>
      <c r="D7" s="95"/>
      <c r="E7" s="95"/>
      <c r="F7" s="95"/>
      <c r="G7" s="95"/>
      <c r="H7" s="95"/>
      <c r="I7" s="95"/>
      <c r="K7" s="95"/>
      <c r="L7" s="95"/>
    </row>
    <row r="8" spans="1:12">
      <c r="A8" s="561" t="s">
        <v>135</v>
      </c>
      <c r="B8" s="95"/>
      <c r="C8" s="95"/>
      <c r="D8" s="95"/>
      <c r="E8" s="95"/>
      <c r="F8" s="95"/>
      <c r="G8" s="95"/>
      <c r="H8" s="95"/>
      <c r="I8" s="95"/>
      <c r="K8" s="150" t="s">
        <v>1353</v>
      </c>
      <c r="L8" s="95"/>
    </row>
    <row r="9" spans="1:12">
      <c r="A9" s="561" t="s">
        <v>1104</v>
      </c>
      <c r="B9" s="95"/>
      <c r="C9" s="95"/>
      <c r="D9" s="95"/>
      <c r="E9" s="95"/>
      <c r="F9" s="95"/>
      <c r="G9" s="95"/>
      <c r="H9" s="95"/>
      <c r="I9" s="95"/>
      <c r="K9" s="745" t="s">
        <v>1253</v>
      </c>
      <c r="L9" s="95"/>
    </row>
    <row r="10" spans="1:12">
      <c r="A10" s="561" t="s">
        <v>423</v>
      </c>
      <c r="B10" s="95"/>
      <c r="C10" s="95"/>
      <c r="D10" s="95"/>
      <c r="E10" s="95"/>
      <c r="F10" s="95"/>
      <c r="G10" s="95"/>
      <c r="H10" s="95"/>
      <c r="I10" s="95"/>
      <c r="J10" s="650"/>
      <c r="K10" s="745" t="str">
        <f>F.1!$I$9</f>
        <v>Witness: Christian</v>
      </c>
      <c r="L10" s="95"/>
    </row>
    <row r="11" spans="1:12" ht="15.75">
      <c r="A11" s="747"/>
      <c r="B11" s="747"/>
      <c r="C11" s="1287" t="s">
        <v>322</v>
      </c>
      <c r="D11" s="1288"/>
      <c r="E11" s="1288"/>
      <c r="F11" s="1288"/>
      <c r="G11" s="1289"/>
      <c r="H11" s="747"/>
      <c r="I11" s="748"/>
      <c r="J11" s="749" t="s">
        <v>323</v>
      </c>
      <c r="K11" s="750"/>
      <c r="L11" s="95"/>
    </row>
    <row r="12" spans="1:12" ht="15.75">
      <c r="A12" s="646"/>
      <c r="B12" s="646"/>
      <c r="C12" s="363" t="s">
        <v>21</v>
      </c>
      <c r="D12" s="363" t="s">
        <v>1156</v>
      </c>
      <c r="E12" s="646"/>
      <c r="F12" s="901"/>
      <c r="G12" s="646"/>
      <c r="H12" s="646"/>
      <c r="I12" s="363" t="s">
        <v>21</v>
      </c>
      <c r="J12" s="901"/>
      <c r="K12" s="646"/>
      <c r="L12" s="95"/>
    </row>
    <row r="13" spans="1:12">
      <c r="A13" s="112" t="s">
        <v>92</v>
      </c>
      <c r="B13" s="112" t="s">
        <v>566</v>
      </c>
      <c r="C13" s="112" t="s">
        <v>602</v>
      </c>
      <c r="D13" s="112" t="s">
        <v>1157</v>
      </c>
      <c r="E13" s="112" t="s">
        <v>95</v>
      </c>
      <c r="F13" s="686" t="s">
        <v>11</v>
      </c>
      <c r="G13" s="777" t="s">
        <v>12</v>
      </c>
      <c r="H13" s="777"/>
      <c r="I13" s="112" t="s">
        <v>602</v>
      </c>
      <c r="J13" s="1036" t="str">
        <f>F13</f>
        <v xml:space="preserve">Kentucky </v>
      </c>
      <c r="K13" s="777" t="s">
        <v>968</v>
      </c>
      <c r="L13" s="95"/>
    </row>
    <row r="14" spans="1:12">
      <c r="A14" s="527" t="s">
        <v>98</v>
      </c>
      <c r="B14" s="527" t="s">
        <v>1065</v>
      </c>
      <c r="C14" s="367" t="s">
        <v>943</v>
      </c>
      <c r="D14" s="367" t="s">
        <v>943</v>
      </c>
      <c r="E14" s="527" t="s">
        <v>588</v>
      </c>
      <c r="F14" s="751" t="s">
        <v>96</v>
      </c>
      <c r="G14" s="527" t="s">
        <v>103</v>
      </c>
      <c r="H14" s="527"/>
      <c r="I14" s="367" t="s">
        <v>943</v>
      </c>
      <c r="J14" s="527" t="str">
        <f>F14</f>
        <v>Jurisdictional</v>
      </c>
      <c r="K14" s="527" t="s">
        <v>103</v>
      </c>
      <c r="L14" s="95"/>
    </row>
    <row r="15" spans="1:12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1:12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651"/>
    </row>
    <row r="17" spans="1:12" ht="15.75">
      <c r="A17" s="472">
        <v>1</v>
      </c>
      <c r="B17" s="902" t="s">
        <v>192</v>
      </c>
      <c r="C17" s="323"/>
      <c r="D17" s="323"/>
      <c r="E17" s="323"/>
      <c r="F17" s="66"/>
      <c r="G17" s="326"/>
      <c r="H17" s="66"/>
      <c r="I17" s="323"/>
      <c r="J17" s="66"/>
      <c r="K17" s="326"/>
      <c r="L17" s="862"/>
    </row>
    <row r="18" spans="1:12">
      <c r="A18" s="472">
        <v>2</v>
      </c>
      <c r="B18" s="352" t="s">
        <v>794</v>
      </c>
      <c r="C18" s="290">
        <f>'[21]Base Year Advertising Summary'!$P$26</f>
        <v>150929.97000000003</v>
      </c>
      <c r="D18" s="290">
        <f>'[21]Base Year Advertising Summary'!$P$8</f>
        <v>9901.5299999999988</v>
      </c>
      <c r="E18" s="290">
        <f>SUM(C18:D18)</f>
        <v>160831.50000000003</v>
      </c>
      <c r="F18" s="356">
        <v>1</v>
      </c>
      <c r="G18" s="290">
        <f>E18*F18</f>
        <v>160831.50000000003</v>
      </c>
      <c r="H18" s="66"/>
      <c r="I18" s="290">
        <f>C18</f>
        <v>150929.97000000003</v>
      </c>
      <c r="J18" s="356">
        <f>F18</f>
        <v>1</v>
      </c>
      <c r="K18" s="290">
        <f>I18*J18</f>
        <v>150929.97000000003</v>
      </c>
      <c r="L18" s="862"/>
    </row>
    <row r="19" spans="1:12">
      <c r="A19" s="472">
        <v>3</v>
      </c>
      <c r="C19" s="323"/>
      <c r="D19" s="323"/>
      <c r="E19" s="323"/>
      <c r="F19" s="66"/>
      <c r="G19" s="326"/>
      <c r="H19" s="66"/>
      <c r="I19" s="323"/>
      <c r="J19" s="66"/>
      <c r="K19" s="326"/>
      <c r="L19" s="651"/>
    </row>
    <row r="20" spans="1:12" ht="15.75">
      <c r="A20" s="472">
        <v>4</v>
      </c>
      <c r="B20" s="902" t="s">
        <v>77</v>
      </c>
      <c r="C20" s="326"/>
      <c r="D20" s="326"/>
      <c r="E20" s="326"/>
      <c r="F20" s="66"/>
      <c r="G20" s="326"/>
      <c r="H20" s="66"/>
      <c r="I20" s="326"/>
      <c r="J20" s="66"/>
      <c r="K20" s="326"/>
      <c r="L20" s="862"/>
    </row>
    <row r="21" spans="1:12">
      <c r="A21" s="472">
        <v>5</v>
      </c>
      <c r="B21" s="352" t="s">
        <v>794</v>
      </c>
      <c r="C21" s="326">
        <f>'[21]Base Year Advertising Summary'!$P$47</f>
        <v>19551.62</v>
      </c>
      <c r="D21" s="326">
        <f>'[21]Base Year Advertising Summary'!$P$35</f>
        <v>1391.81</v>
      </c>
      <c r="E21" s="326">
        <f>SUM(C21:D21)</f>
        <v>20943.43</v>
      </c>
      <c r="F21" s="395">
        <f>Allocation!$I$17</f>
        <v>0.50419999999999998</v>
      </c>
      <c r="G21" s="326">
        <f>E21*F21</f>
        <v>10559.677405999999</v>
      </c>
      <c r="H21" s="66"/>
      <c r="I21" s="326">
        <f>C21</f>
        <v>19551.62</v>
      </c>
      <c r="J21" s="395">
        <f>Allocation!$E$17</f>
        <v>0.50419999999999998</v>
      </c>
      <c r="K21" s="326">
        <f>I21*J21</f>
        <v>9857.9268039999988</v>
      </c>
      <c r="L21" s="862"/>
    </row>
    <row r="22" spans="1:12">
      <c r="A22" s="472">
        <v>6</v>
      </c>
      <c r="B22" s="862"/>
      <c r="C22" s="498"/>
      <c r="D22" s="498"/>
      <c r="E22" s="498"/>
      <c r="F22" s="95"/>
      <c r="G22" s="498"/>
      <c r="H22" s="95"/>
      <c r="I22" s="498"/>
      <c r="J22" s="95"/>
      <c r="K22" s="95"/>
      <c r="L22" s="862"/>
    </row>
    <row r="23" spans="1:12" ht="15.75">
      <c r="A23" s="472">
        <v>7</v>
      </c>
      <c r="B23" s="902" t="s">
        <v>75</v>
      </c>
      <c r="C23" s="498"/>
      <c r="D23" s="498"/>
      <c r="E23" s="498"/>
      <c r="F23" s="95"/>
      <c r="G23" s="498"/>
      <c r="H23" s="95"/>
      <c r="I23" s="498"/>
      <c r="J23" s="95"/>
      <c r="K23" s="95"/>
      <c r="L23" s="903"/>
    </row>
    <row r="24" spans="1:12">
      <c r="A24" s="472">
        <v>8</v>
      </c>
      <c r="B24" s="352" t="s">
        <v>794</v>
      </c>
      <c r="C24" s="326">
        <f>'[21]Base Year Advertising Summary'!$P$65</f>
        <v>207988.33000000002</v>
      </c>
      <c r="D24" s="326">
        <f>'[21]Base Year Advertising Summary'!$P$54</f>
        <v>27009.82</v>
      </c>
      <c r="E24" s="326">
        <f>SUM(C24:D24)</f>
        <v>234998.15000000002</v>
      </c>
      <c r="F24" s="395">
        <f>Allocation!$I$14</f>
        <v>4.9714119999999994E-2</v>
      </c>
      <c r="G24" s="326">
        <f>E24*F24</f>
        <v>11682.726228878</v>
      </c>
      <c r="H24" s="95"/>
      <c r="I24" s="326">
        <f>C24</f>
        <v>207988.33000000002</v>
      </c>
      <c r="J24" s="395">
        <f>Allocation!$E$14</f>
        <v>4.9714119999999994E-2</v>
      </c>
      <c r="K24" s="326">
        <f>I24*J24</f>
        <v>10339.9567962196</v>
      </c>
      <c r="L24" s="904"/>
    </row>
    <row r="25" spans="1:12">
      <c r="A25" s="472">
        <v>9</v>
      </c>
      <c r="B25" s="903"/>
      <c r="C25" s="498"/>
      <c r="D25" s="498"/>
      <c r="E25" s="498"/>
      <c r="F25" s="95"/>
      <c r="G25" s="498"/>
      <c r="H25" s="95"/>
      <c r="I25" s="498"/>
      <c r="J25" s="95"/>
      <c r="K25" s="95"/>
      <c r="L25" s="95"/>
    </row>
    <row r="26" spans="1:12" ht="15.75">
      <c r="A26" s="472">
        <v>10</v>
      </c>
      <c r="B26" s="902" t="s">
        <v>76</v>
      </c>
      <c r="C26" s="498"/>
      <c r="D26" s="498"/>
      <c r="E26" s="498"/>
      <c r="F26" s="95"/>
      <c r="G26" s="498"/>
      <c r="H26" s="95"/>
      <c r="I26" s="498"/>
      <c r="J26" s="95"/>
      <c r="K26" s="95"/>
      <c r="L26" s="95"/>
    </row>
    <row r="27" spans="1:12">
      <c r="A27" s="472">
        <v>11</v>
      </c>
      <c r="B27" s="352" t="s">
        <v>794</v>
      </c>
      <c r="C27" s="326">
        <f>'[21]Base Year Advertising Summary'!$P$72</f>
        <v>25573.21</v>
      </c>
      <c r="D27" s="945">
        <v>0</v>
      </c>
      <c r="E27" s="326">
        <f>SUM(C27:D27)</f>
        <v>25573.21</v>
      </c>
      <c r="F27" s="395">
        <f>Allocation!$I$15</f>
        <v>5.5573860000000003E-2</v>
      </c>
      <c r="G27" s="326">
        <f>E27*F27</f>
        <v>1421.2019922905999</v>
      </c>
      <c r="H27" s="95"/>
      <c r="I27" s="326">
        <f>C27</f>
        <v>25573.21</v>
      </c>
      <c r="J27" s="395">
        <f>Allocation!$E$15</f>
        <v>5.5573860000000003E-2</v>
      </c>
      <c r="K27" s="326">
        <f>I27*J27</f>
        <v>1421.2019922905999</v>
      </c>
      <c r="L27" s="95"/>
    </row>
    <row r="28" spans="1:12">
      <c r="A28" s="472">
        <v>12</v>
      </c>
      <c r="G28" s="498"/>
    </row>
    <row r="29" spans="1:12" ht="16.5" thickBot="1">
      <c r="A29" s="472">
        <v>13</v>
      </c>
      <c r="B29" s="355" t="s">
        <v>924</v>
      </c>
      <c r="C29" s="1059">
        <f>SUM(C18:C27)</f>
        <v>404043.13000000006</v>
      </c>
      <c r="D29" s="1059">
        <f>SUM(D18:D27)</f>
        <v>38303.159999999996</v>
      </c>
      <c r="E29" s="1059">
        <f>SUM(E18:E27)</f>
        <v>442346.2900000001</v>
      </c>
      <c r="G29" s="1059">
        <f>SUM(G18:G27)</f>
        <v>184495.10562716861</v>
      </c>
      <c r="I29" s="1059">
        <f>SUM(I18:I27)</f>
        <v>404043.13000000006</v>
      </c>
      <c r="K29" s="1059">
        <f>SUM(K18:K27)</f>
        <v>172549.05559251021</v>
      </c>
    </row>
    <row r="30" spans="1:12" ht="15.75" thickTop="1"/>
    <row r="32" spans="1:12">
      <c r="B32" s="905"/>
    </row>
    <row r="33" spans="2:2">
      <c r="B33" s="905"/>
    </row>
    <row r="34" spans="2:2">
      <c r="B34" s="72" t="s">
        <v>514</v>
      </c>
    </row>
    <row r="35" spans="2:2">
      <c r="B35" s="72" t="s">
        <v>1587</v>
      </c>
    </row>
    <row r="39" spans="2:2">
      <c r="B39" s="544"/>
    </row>
    <row r="40" spans="2:2">
      <c r="B40" s="544"/>
    </row>
    <row r="41" spans="2:2">
      <c r="B41" s="544"/>
    </row>
  </sheetData>
  <mergeCells count="6">
    <mergeCell ref="C11:G11"/>
    <mergeCell ref="A5:K5"/>
    <mergeCell ref="A1:K1"/>
    <mergeCell ref="A2:K2"/>
    <mergeCell ref="A3:K3"/>
    <mergeCell ref="A4:K4"/>
  </mergeCells>
  <phoneticPr fontId="21" type="noConversion"/>
  <printOptions horizontalCentered="1"/>
  <pageMargins left="0.83" right="0.73" top="0.81" bottom="0.5" header="0.5" footer="0.5"/>
  <pageSetup scale="73" orientation="landscape" verticalDpi="300" r:id="rId1"/>
  <headerFooter alignWithMargins="0">
    <oddFooter>&amp;RSchedule &amp;A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O31"/>
  <sheetViews>
    <sheetView view="pageBreakPreview" zoomScale="80" zoomScaleNormal="100" zoomScaleSheetLayoutView="80" workbookViewId="0">
      <selection sqref="A1:F1"/>
    </sheetView>
  </sheetViews>
  <sheetFormatPr defaultColWidth="8" defaultRowHeight="15"/>
  <cols>
    <col min="1" max="1" width="7.21875" style="1" customWidth="1"/>
    <col min="2" max="2" width="45.88671875" style="1" customWidth="1"/>
    <col min="3" max="3" width="14.33203125" style="1" customWidth="1"/>
    <col min="4" max="4" width="22.77734375" style="1" customWidth="1"/>
    <col min="5" max="5" width="3.77734375" style="1" customWidth="1"/>
    <col min="6" max="6" width="26.6640625" style="1" customWidth="1"/>
    <col min="7" max="7" width="4.21875" style="1" customWidth="1"/>
    <col min="8" max="8" width="3.77734375" style="1" customWidth="1"/>
    <col min="9" max="9" width="13.109375" style="1" bestFit="1" customWidth="1"/>
    <col min="10" max="10" width="2.77734375" style="1" customWidth="1"/>
    <col min="11" max="11" width="13.109375" style="1" bestFit="1" customWidth="1"/>
    <col min="12" max="12" width="4.33203125" style="1" customWidth="1"/>
    <col min="13" max="13" width="12" style="1" bestFit="1" customWidth="1"/>
    <col min="14" max="14" width="2.109375" style="1" customWidth="1"/>
    <col min="15" max="15" width="12" style="1" bestFit="1" customWidth="1"/>
    <col min="16" max="16384" width="8" style="1"/>
  </cols>
  <sheetData>
    <row r="1" spans="1:15">
      <c r="A1" s="1260" t="str">
        <f>'Table of Contents'!A1:C1</f>
        <v>Atmos Energy Corporation, Kentucky/Mid-States Division</v>
      </c>
      <c r="B1" s="1260"/>
      <c r="C1" s="1260"/>
      <c r="D1" s="1260"/>
      <c r="E1" s="1260"/>
      <c r="F1" s="1260"/>
    </row>
    <row r="2" spans="1:15">
      <c r="A2" s="1260" t="str">
        <f>'Table of Contents'!A2:C2</f>
        <v>Kentucky Jurisdiction Case No. 2021-00214</v>
      </c>
      <c r="B2" s="1260"/>
      <c r="C2" s="1260"/>
      <c r="D2" s="1260"/>
      <c r="E2" s="1260"/>
      <c r="F2" s="1260"/>
    </row>
    <row r="3" spans="1:15">
      <c r="A3" s="1258" t="s">
        <v>1092</v>
      </c>
      <c r="B3" s="1258"/>
      <c r="C3" s="1258"/>
      <c r="D3" s="1258"/>
      <c r="E3" s="1258"/>
      <c r="F3" s="1258"/>
    </row>
    <row r="4" spans="1:15">
      <c r="A4" s="1260" t="str">
        <f>'Table of Contents'!A3:C3</f>
        <v>Base Period: Twelve Months Ended September 30, 2021</v>
      </c>
      <c r="B4" s="1260"/>
      <c r="C4" s="1260"/>
      <c r="D4" s="1260"/>
      <c r="E4" s="1260"/>
      <c r="F4" s="1260"/>
    </row>
    <row r="6" spans="1:15">
      <c r="A6" s="4" t="s">
        <v>377</v>
      </c>
      <c r="F6" s="322" t="s">
        <v>1360</v>
      </c>
    </row>
    <row r="7" spans="1:15">
      <c r="A7" s="82" t="str">
        <f>A.1!A8</f>
        <v>Type of Filing:___X____Original________Updated ________Revised</v>
      </c>
      <c r="F7" s="413" t="s">
        <v>740</v>
      </c>
    </row>
    <row r="8" spans="1:15">
      <c r="A8" s="5" t="s">
        <v>423</v>
      </c>
      <c r="B8" s="6"/>
      <c r="C8" s="6"/>
      <c r="D8" s="6"/>
      <c r="E8" s="29"/>
      <c r="F8" s="453" t="s">
        <v>1620</v>
      </c>
    </row>
    <row r="9" spans="1:15">
      <c r="F9" s="2"/>
    </row>
    <row r="10" spans="1:15">
      <c r="C10" s="2" t="s">
        <v>1166</v>
      </c>
      <c r="D10" s="2" t="s">
        <v>43</v>
      </c>
      <c r="F10" s="2" t="s">
        <v>43</v>
      </c>
      <c r="I10" s="585"/>
      <c r="J10" s="540"/>
      <c r="K10" s="540"/>
      <c r="L10" s="540"/>
      <c r="M10" s="592"/>
      <c r="N10" s="540"/>
      <c r="O10" s="540"/>
    </row>
    <row r="11" spans="1:15">
      <c r="A11" s="2" t="s">
        <v>92</v>
      </c>
      <c r="C11" s="2" t="s">
        <v>57</v>
      </c>
      <c r="D11" s="30" t="s">
        <v>533</v>
      </c>
      <c r="F11" s="2" t="s">
        <v>533</v>
      </c>
      <c r="I11" s="540"/>
      <c r="J11" s="540"/>
      <c r="K11" s="540"/>
      <c r="L11" s="540"/>
      <c r="M11" s="540"/>
      <c r="N11" s="540"/>
      <c r="O11" s="540"/>
    </row>
    <row r="12" spans="1:15">
      <c r="A12" s="9" t="s">
        <v>98</v>
      </c>
      <c r="B12" s="5" t="s">
        <v>1169</v>
      </c>
      <c r="C12" s="9" t="s">
        <v>100</v>
      </c>
      <c r="D12" s="9" t="s">
        <v>315</v>
      </c>
      <c r="E12" s="6"/>
      <c r="F12" s="9" t="s">
        <v>508</v>
      </c>
      <c r="I12" s="585"/>
      <c r="J12" s="540"/>
      <c r="K12" s="540"/>
      <c r="L12" s="540"/>
      <c r="M12" s="540"/>
      <c r="N12" s="540"/>
      <c r="O12" s="540"/>
    </row>
    <row r="13" spans="1:15">
      <c r="D13" s="2"/>
      <c r="F13" s="2"/>
      <c r="I13" s="585"/>
      <c r="J13" s="540"/>
      <c r="K13" s="540"/>
      <c r="L13" s="540"/>
      <c r="M13" s="540"/>
      <c r="N13" s="540"/>
      <c r="O13" s="540"/>
    </row>
    <row r="14" spans="1:15">
      <c r="I14" s="585"/>
      <c r="J14" s="540"/>
      <c r="K14" s="540"/>
      <c r="L14" s="540"/>
      <c r="M14" s="540"/>
      <c r="N14" s="540"/>
      <c r="O14" s="540"/>
    </row>
    <row r="15" spans="1:15">
      <c r="A15" s="2">
        <v>1</v>
      </c>
      <c r="B15" s="4" t="s">
        <v>166</v>
      </c>
      <c r="C15" s="2" t="s">
        <v>681</v>
      </c>
      <c r="D15" s="275">
        <f>'B.2 B'!I266</f>
        <v>833156701.83138514</v>
      </c>
      <c r="E15" s="65"/>
      <c r="F15" s="275">
        <f>'B.2 B'!N266</f>
        <v>811748785.31804383</v>
      </c>
      <c r="G15" s="73"/>
      <c r="H15" s="73"/>
      <c r="I15" s="585"/>
      <c r="J15" s="540"/>
      <c r="K15" s="540"/>
      <c r="L15" s="540"/>
      <c r="M15" s="540"/>
      <c r="N15" s="540"/>
      <c r="O15" s="540"/>
    </row>
    <row r="16" spans="1:15">
      <c r="A16" s="92">
        <f>A15+1</f>
        <v>2</v>
      </c>
      <c r="B16" s="4" t="s">
        <v>487</v>
      </c>
      <c r="C16" s="2" t="s">
        <v>681</v>
      </c>
      <c r="D16" s="307">
        <f>'B.2 B'!I268</f>
        <v>0</v>
      </c>
      <c r="E16" s="65"/>
      <c r="F16" s="100">
        <f>'B.2 B'!N268</f>
        <v>0</v>
      </c>
      <c r="G16" s="73"/>
      <c r="H16" s="73"/>
      <c r="I16" s="1009"/>
      <c r="J16" s="540"/>
      <c r="K16" s="540"/>
      <c r="L16" s="540"/>
      <c r="M16" s="540"/>
      <c r="N16" s="540"/>
      <c r="O16" s="540"/>
    </row>
    <row r="17" spans="1:15">
      <c r="A17" s="92">
        <f>A16+1</f>
        <v>3</v>
      </c>
      <c r="B17" s="4" t="s">
        <v>524</v>
      </c>
      <c r="C17" s="2" t="s">
        <v>682</v>
      </c>
      <c r="D17" s="101">
        <f>-'B.3 B'!I264</f>
        <v>-185508667.31563732</v>
      </c>
      <c r="E17" s="65"/>
      <c r="F17" s="101">
        <f>-'B.3 B'!N264</f>
        <v>-183424493.12494141</v>
      </c>
      <c r="G17" s="73"/>
      <c r="H17" s="73"/>
      <c r="I17" s="585"/>
      <c r="J17" s="540"/>
      <c r="K17" s="540"/>
      <c r="L17" s="540"/>
      <c r="M17" s="540"/>
      <c r="N17" s="540"/>
      <c r="O17" s="540"/>
    </row>
    <row r="18" spans="1:15">
      <c r="A18" s="582"/>
      <c r="B18" s="4"/>
      <c r="C18" s="582"/>
      <c r="D18" s="69"/>
      <c r="E18" s="65"/>
      <c r="F18" s="69"/>
      <c r="G18" s="73"/>
      <c r="H18" s="73"/>
      <c r="I18" s="585"/>
      <c r="J18" s="540"/>
      <c r="K18" s="540"/>
      <c r="L18" s="540"/>
      <c r="M18" s="540"/>
      <c r="N18" s="540"/>
      <c r="O18" s="540"/>
    </row>
    <row r="19" spans="1:15">
      <c r="A19" s="92">
        <f>+A17+1</f>
        <v>4</v>
      </c>
      <c r="B19" s="4" t="s">
        <v>155</v>
      </c>
      <c r="D19" s="275">
        <f>SUM(D15:D17)</f>
        <v>647648034.51574779</v>
      </c>
      <c r="E19" s="65"/>
      <c r="F19" s="275">
        <f>SUM(F15:F17)</f>
        <v>628324292.19310236</v>
      </c>
      <c r="G19" s="73"/>
      <c r="H19" s="73"/>
      <c r="I19" s="585"/>
      <c r="J19" s="540"/>
      <c r="K19" s="540"/>
      <c r="L19" s="540"/>
      <c r="M19" s="540"/>
      <c r="N19" s="540"/>
      <c r="O19" s="540"/>
    </row>
    <row r="20" spans="1:15">
      <c r="A20" s="2"/>
      <c r="B20" s="4"/>
      <c r="D20" s="65"/>
      <c r="E20" s="65"/>
      <c r="F20" s="65"/>
      <c r="G20" s="73"/>
      <c r="H20" s="73"/>
      <c r="I20" s="585"/>
      <c r="J20" s="540"/>
      <c r="K20" s="540"/>
      <c r="L20" s="540"/>
      <c r="M20" s="540"/>
      <c r="N20" s="540"/>
      <c r="O20" s="540"/>
    </row>
    <row r="21" spans="1:15">
      <c r="A21" s="92">
        <f>A19+1</f>
        <v>5</v>
      </c>
      <c r="B21" s="4" t="s">
        <v>779</v>
      </c>
      <c r="C21" s="2" t="s">
        <v>683</v>
      </c>
      <c r="D21" s="275">
        <f>+'B.4 B'!E14</f>
        <v>-3207972.8857776322</v>
      </c>
      <c r="E21" s="65"/>
      <c r="F21" s="275">
        <f>+D21</f>
        <v>-3207972.8857776322</v>
      </c>
      <c r="G21" s="544"/>
      <c r="H21" s="544"/>
      <c r="I21" s="585"/>
      <c r="J21" s="540"/>
      <c r="K21" s="540"/>
      <c r="L21" s="540"/>
      <c r="M21" s="540"/>
      <c r="N21" s="540"/>
      <c r="O21" s="540"/>
    </row>
    <row r="22" spans="1:15">
      <c r="A22" s="92">
        <f>+A21+1</f>
        <v>6</v>
      </c>
      <c r="B22" s="4" t="s">
        <v>1042</v>
      </c>
      <c r="C22" s="2" t="s">
        <v>684</v>
      </c>
      <c r="D22" s="307">
        <f>+'B.4.1 B'!F37</f>
        <v>11208559.943770591</v>
      </c>
      <c r="E22" s="65"/>
      <c r="F22" s="307">
        <f>+'B.4.1 B'!K37</f>
        <v>7069959.3091374841</v>
      </c>
      <c r="G22" s="73"/>
      <c r="H22" s="73"/>
      <c r="I22" s="585"/>
      <c r="J22" s="540"/>
      <c r="K22" s="540"/>
      <c r="L22" s="540"/>
      <c r="M22" s="540"/>
      <c r="N22" s="540"/>
      <c r="O22" s="540"/>
    </row>
    <row r="23" spans="1:15">
      <c r="A23" s="92">
        <f>+A22+1</f>
        <v>7</v>
      </c>
      <c r="B23" s="4" t="s">
        <v>628</v>
      </c>
      <c r="C23" s="2" t="s">
        <v>685</v>
      </c>
      <c r="D23" s="100">
        <f>'B.6 B'!G24</f>
        <v>-683775.07499999995</v>
      </c>
      <c r="E23" s="73"/>
      <c r="F23" s="100">
        <f>'B.6 B'!L24</f>
        <v>-681896.28461538465</v>
      </c>
      <c r="G23" s="73"/>
      <c r="H23" s="73"/>
      <c r="I23" s="585"/>
      <c r="J23" s="540"/>
      <c r="K23" s="540"/>
      <c r="L23" s="540"/>
      <c r="M23" s="540"/>
      <c r="N23" s="540"/>
      <c r="O23" s="540"/>
    </row>
    <row r="24" spans="1:15">
      <c r="A24" s="92">
        <f t="shared" ref="A24:A25" si="0">+A23+1</f>
        <v>8</v>
      </c>
      <c r="B24" s="4" t="s">
        <v>1524</v>
      </c>
      <c r="C24" s="647" t="s">
        <v>1652</v>
      </c>
      <c r="D24" s="307">
        <f>'WP B.5 B1'!D22+F.6!C136</f>
        <v>-30716496.993259784</v>
      </c>
      <c r="E24" s="503"/>
      <c r="F24" s="307">
        <f>'WP B.5 B1'!D23+(SUM(F.6!C124:C136)/13)</f>
        <v>-31392162.78301223</v>
      </c>
      <c r="G24" s="73"/>
      <c r="H24" s="73"/>
      <c r="I24" s="585"/>
      <c r="J24" s="540"/>
      <c r="K24" s="540"/>
      <c r="L24" s="540"/>
      <c r="M24" s="540"/>
      <c r="N24" s="540"/>
      <c r="O24" s="540"/>
    </row>
    <row r="25" spans="1:15">
      <c r="A25" s="92">
        <f t="shared" si="0"/>
        <v>9</v>
      </c>
      <c r="B25" s="80" t="s">
        <v>1655</v>
      </c>
      <c r="C25" s="108" t="s">
        <v>686</v>
      </c>
      <c r="D25" s="361">
        <f>'B.5 B'!G49</f>
        <v>-45438894.079232216</v>
      </c>
      <c r="E25" s="73"/>
      <c r="F25" s="361">
        <f>'B.5 B'!L49</f>
        <v>-52378721.863844134</v>
      </c>
      <c r="G25" s="73"/>
      <c r="H25" s="73"/>
      <c r="I25" s="585"/>
      <c r="J25" s="540"/>
      <c r="K25" s="540"/>
      <c r="L25" s="540"/>
      <c r="M25" s="540"/>
      <c r="N25" s="540"/>
      <c r="O25" s="540"/>
    </row>
    <row r="26" spans="1:15">
      <c r="A26" s="647"/>
      <c r="E26" s="73"/>
      <c r="G26" s="73"/>
      <c r="H26" s="73"/>
      <c r="I26" s="585"/>
      <c r="J26" s="540"/>
      <c r="K26" s="540"/>
      <c r="L26" s="540"/>
      <c r="M26" s="540"/>
      <c r="N26" s="540"/>
      <c r="O26" s="540"/>
    </row>
    <row r="27" spans="1:15" ht="15.75" thickBot="1">
      <c r="A27" s="92">
        <f>+A25+1</f>
        <v>10</v>
      </c>
      <c r="B27" s="4" t="s">
        <v>156</v>
      </c>
      <c r="D27" s="1057">
        <f>SUM(D19:D25)</f>
        <v>578809455.42624879</v>
      </c>
      <c r="E27" s="10"/>
      <c r="F27" s="1057">
        <f>SUM(F19:F25)</f>
        <v>547733497.68499041</v>
      </c>
      <c r="G27" s="73"/>
      <c r="H27" s="73"/>
      <c r="I27" s="585"/>
      <c r="J27" s="540"/>
      <c r="K27" s="540"/>
      <c r="L27" s="540"/>
      <c r="M27" s="540"/>
      <c r="N27" s="540"/>
      <c r="O27" s="540"/>
    </row>
    <row r="28" spans="1:15" ht="15.75" thickTop="1">
      <c r="A28" s="2"/>
      <c r="D28" s="10"/>
      <c r="E28" s="10"/>
      <c r="F28" s="10"/>
      <c r="G28" s="73"/>
      <c r="H28" s="73"/>
    </row>
    <row r="29" spans="1:15">
      <c r="B29" s="82"/>
      <c r="D29" s="73"/>
      <c r="E29" s="73"/>
      <c r="F29" s="73"/>
      <c r="G29" s="73"/>
      <c r="H29" s="73"/>
    </row>
    <row r="30" spans="1:15">
      <c r="D30" s="65"/>
      <c r="E30" s="73"/>
      <c r="F30" s="65"/>
      <c r="G30" s="73"/>
      <c r="H30" s="73"/>
    </row>
    <row r="31" spans="1:15">
      <c r="D31" s="65"/>
      <c r="E31" s="65"/>
      <c r="F31" s="65"/>
      <c r="G31" s="73"/>
      <c r="H31" s="73"/>
    </row>
  </sheetData>
  <mergeCells count="4">
    <mergeCell ref="A1:F1"/>
    <mergeCell ref="A2:F2"/>
    <mergeCell ref="A3:F3"/>
    <mergeCell ref="A4:F4"/>
  </mergeCells>
  <phoneticPr fontId="21" type="noConversion"/>
  <printOptions horizontalCentered="1"/>
  <pageMargins left="0.5" right="0.5" top="0.79" bottom="0.5" header="0.5" footer="0.5"/>
  <pageSetup scale="86" orientation="landscape" verticalDpi="300" r:id="rId1"/>
  <headerFooter alignWithMargins="0">
    <oddFooter>&amp;RSchedule &amp;A
Page &amp;P of &amp;N</oddFooter>
  </headerFooter>
  <colBreaks count="1" manualBreakCount="1">
    <brk id="6" max="54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44">
    <pageSetUpPr fitToPage="1"/>
  </sheetPr>
  <dimension ref="A1:L43"/>
  <sheetViews>
    <sheetView view="pageBreakPreview" zoomScale="80" zoomScaleNormal="100" zoomScaleSheetLayoutView="80" workbookViewId="0">
      <selection sqref="A1:I1"/>
    </sheetView>
  </sheetViews>
  <sheetFormatPr defaultColWidth="8.88671875" defaultRowHeight="15"/>
  <cols>
    <col min="1" max="1" width="5.88671875" style="72" customWidth="1"/>
    <col min="2" max="2" width="34.6640625" style="72" customWidth="1"/>
    <col min="3" max="3" width="13.5546875" style="72" bestFit="1" customWidth="1"/>
    <col min="4" max="4" width="11.109375" style="72" customWidth="1"/>
    <col min="5" max="5" width="11.77734375" style="72" customWidth="1"/>
    <col min="6" max="6" width="4.21875" style="72" customWidth="1"/>
    <col min="7" max="7" width="12" style="72" bestFit="1" customWidth="1"/>
    <col min="8" max="8" width="12" style="72" customWidth="1"/>
    <col min="9" max="9" width="13.109375" style="72" bestFit="1" customWidth="1"/>
    <col min="10" max="16384" width="8.88671875" style="72"/>
  </cols>
  <sheetData>
    <row r="1" spans="1:12" ht="15.75">
      <c r="A1" s="1256" t="str">
        <f>'Table of Contents'!A1:C1</f>
        <v>Atmos Energy Corporation, Kentucky/Mid-States Division</v>
      </c>
      <c r="B1" s="1256"/>
      <c r="C1" s="1256"/>
      <c r="D1" s="1256"/>
      <c r="E1" s="1256"/>
      <c r="F1" s="1256"/>
      <c r="G1" s="1256"/>
      <c r="H1" s="1256"/>
      <c r="I1" s="1256"/>
    </row>
    <row r="2" spans="1:12" ht="15.75">
      <c r="A2" s="1256" t="str">
        <f>'Table of Contents'!A2:C2</f>
        <v>Kentucky Jurisdiction Case No. 2021-00214</v>
      </c>
      <c r="B2" s="1256" t="s">
        <v>321</v>
      </c>
      <c r="C2" s="1256"/>
      <c r="D2" s="1256"/>
      <c r="E2" s="1256"/>
      <c r="F2" s="1256"/>
      <c r="G2" s="1256"/>
      <c r="H2" s="1256"/>
      <c r="I2" s="1256"/>
      <c r="J2" s="95"/>
    </row>
    <row r="3" spans="1:12" ht="15.75">
      <c r="A3" s="1256" t="s">
        <v>417</v>
      </c>
      <c r="B3" s="1256"/>
      <c r="C3" s="1256"/>
      <c r="D3" s="1256"/>
      <c r="E3" s="1256"/>
      <c r="F3" s="1256"/>
      <c r="G3" s="1256"/>
      <c r="H3" s="1256"/>
      <c r="I3" s="1256"/>
      <c r="J3" s="95"/>
    </row>
    <row r="4" spans="1:12" ht="15.75">
      <c r="A4" s="1256" t="str">
        <f>'Table of Contents'!A3:C3</f>
        <v>Base Period: Twelve Months Ended September 30, 2021</v>
      </c>
      <c r="B4" s="1256"/>
      <c r="C4" s="1256"/>
      <c r="D4" s="1256"/>
      <c r="E4" s="1256"/>
      <c r="F4" s="1256"/>
      <c r="G4" s="1256"/>
      <c r="H4" s="1256"/>
      <c r="I4" s="1256"/>
      <c r="J4" s="95"/>
    </row>
    <row r="5" spans="1:12" ht="15.75">
      <c r="A5" s="1256" t="str">
        <f>'Table of Contents'!A4:C4</f>
        <v>Forecasted Test Period: Twelve Months Ended December 31, 2022</v>
      </c>
      <c r="B5" s="1256"/>
      <c r="C5" s="1256"/>
      <c r="D5" s="1256"/>
      <c r="E5" s="1256"/>
      <c r="F5" s="1256"/>
      <c r="G5" s="1256"/>
      <c r="H5" s="1256"/>
      <c r="I5" s="1256"/>
      <c r="J5" s="95"/>
    </row>
    <row r="6" spans="1:12" ht="15.75">
      <c r="A6" s="95"/>
      <c r="B6" s="744"/>
      <c r="C6" s="744"/>
      <c r="D6" s="95"/>
      <c r="E6" s="95"/>
      <c r="F6" s="95"/>
      <c r="G6" s="95"/>
      <c r="H6" s="95"/>
      <c r="I6" s="95"/>
      <c r="J6" s="95"/>
    </row>
    <row r="7" spans="1:12" ht="15.75">
      <c r="A7" s="561" t="s">
        <v>135</v>
      </c>
      <c r="B7" s="95"/>
      <c r="C7" s="744"/>
      <c r="D7" s="95"/>
      <c r="E7" s="95"/>
      <c r="F7" s="95"/>
      <c r="G7" s="95"/>
      <c r="I7" s="150" t="s">
        <v>1353</v>
      </c>
      <c r="J7" s="95"/>
    </row>
    <row r="8" spans="1:12" ht="15.75">
      <c r="A8" s="561" t="s">
        <v>1105</v>
      </c>
      <c r="B8" s="95"/>
      <c r="C8" s="744"/>
      <c r="D8" s="95"/>
      <c r="E8" s="95"/>
      <c r="F8" s="95"/>
      <c r="G8" s="95"/>
      <c r="I8" s="745" t="s">
        <v>567</v>
      </c>
      <c r="J8" s="95"/>
    </row>
    <row r="9" spans="1:12" ht="15.75">
      <c r="A9" s="561" t="s">
        <v>363</v>
      </c>
      <c r="B9" s="95"/>
      <c r="C9" s="744"/>
      <c r="D9" s="95"/>
      <c r="E9" s="95"/>
      <c r="F9" s="95"/>
      <c r="G9" s="95"/>
      <c r="I9" s="745" t="str">
        <f>F.1!$I$9</f>
        <v>Witness: Christian</v>
      </c>
      <c r="J9" s="95"/>
    </row>
    <row r="10" spans="1:12" ht="15.75">
      <c r="A10" s="747"/>
      <c r="B10" s="747"/>
      <c r="C10" s="748"/>
      <c r="D10" s="749" t="s">
        <v>322</v>
      </c>
      <c r="E10" s="750"/>
      <c r="F10" s="747"/>
      <c r="G10" s="748"/>
      <c r="H10" s="749" t="s">
        <v>323</v>
      </c>
      <c r="I10" s="750"/>
      <c r="J10" s="95"/>
    </row>
    <row r="11" spans="1:12">
      <c r="A11" s="112" t="s">
        <v>92</v>
      </c>
      <c r="B11" s="95"/>
      <c r="C11" s="112" t="s">
        <v>95</v>
      </c>
      <c r="D11" s="686" t="s">
        <v>11</v>
      </c>
      <c r="E11" s="777" t="s">
        <v>12</v>
      </c>
      <c r="F11" s="95"/>
      <c r="G11" s="112" t="s">
        <v>95</v>
      </c>
      <c r="H11" s="1036" t="str">
        <f>D11</f>
        <v xml:space="preserve">Kentucky </v>
      </c>
      <c r="I11" s="777" t="s">
        <v>968</v>
      </c>
      <c r="J11" s="95"/>
    </row>
    <row r="12" spans="1:12">
      <c r="A12" s="527" t="s">
        <v>98</v>
      </c>
      <c r="B12" s="527" t="s">
        <v>972</v>
      </c>
      <c r="C12" s="527" t="s">
        <v>588</v>
      </c>
      <c r="D12" s="751" t="s">
        <v>96</v>
      </c>
      <c r="E12" s="527" t="s">
        <v>103</v>
      </c>
      <c r="F12" s="752"/>
      <c r="G12" s="527" t="s">
        <v>588</v>
      </c>
      <c r="H12" s="527" t="str">
        <f>D12</f>
        <v>Jurisdictional</v>
      </c>
      <c r="I12" s="527" t="s">
        <v>103</v>
      </c>
      <c r="J12" s="95"/>
    </row>
    <row r="13" spans="1:12">
      <c r="A13" s="95"/>
      <c r="B13" s="95"/>
      <c r="C13" s="95"/>
      <c r="D13" s="95"/>
      <c r="E13" s="95"/>
      <c r="F13" s="95"/>
      <c r="G13" s="95"/>
      <c r="H13" s="95"/>
      <c r="I13" s="95"/>
      <c r="J13" s="95"/>
    </row>
    <row r="14" spans="1:12" ht="15.75">
      <c r="A14" s="777"/>
      <c r="B14" s="791" t="s">
        <v>1214</v>
      </c>
      <c r="C14" s="729"/>
      <c r="D14" s="95"/>
      <c r="E14" s="95"/>
      <c r="F14" s="95"/>
      <c r="G14" s="95"/>
      <c r="H14" s="95"/>
      <c r="I14" s="95"/>
      <c r="J14" s="95"/>
    </row>
    <row r="15" spans="1:12" ht="15.75">
      <c r="A15" s="112">
        <v>1</v>
      </c>
      <c r="B15" s="472"/>
      <c r="C15" s="906"/>
      <c r="D15" s="472"/>
      <c r="E15" s="472"/>
      <c r="F15" s="472"/>
      <c r="G15" s="95"/>
      <c r="H15" s="775"/>
      <c r="I15" s="472"/>
      <c r="J15" s="95"/>
    </row>
    <row r="16" spans="1:12">
      <c r="A16" s="1036">
        <f>A15+1</f>
        <v>2</v>
      </c>
      <c r="B16" s="651" t="s">
        <v>192</v>
      </c>
      <c r="D16" s="758"/>
      <c r="F16" s="342"/>
      <c r="G16" s="363"/>
      <c r="H16" s="342"/>
      <c r="I16" s="342"/>
      <c r="L16" s="544"/>
    </row>
    <row r="17" spans="1:10">
      <c r="A17" s="1036">
        <f t="shared" ref="A17:A34" si="0">A16+1</f>
        <v>3</v>
      </c>
      <c r="B17" s="862" t="s">
        <v>969</v>
      </c>
      <c r="C17" s="1159">
        <f>SUM('[13]Div 9 forecast'!$F$502:$Q$502)</f>
        <v>162745.00758649959</v>
      </c>
      <c r="D17" s="758">
        <v>1</v>
      </c>
      <c r="E17" s="1159">
        <f>C17*D17</f>
        <v>162745.00758649959</v>
      </c>
      <c r="F17" s="342"/>
      <c r="G17" s="1159">
        <f>SUM('[13]Div 9 forecast'!$U$502:$AF$502)</f>
        <v>162745.00758649953</v>
      </c>
      <c r="H17" s="1160">
        <f>D17</f>
        <v>1</v>
      </c>
      <c r="I17" s="1159">
        <f>G17*H17</f>
        <v>162745.00758649953</v>
      </c>
    </row>
    <row r="18" spans="1:10">
      <c r="A18" s="1036">
        <f t="shared" si="0"/>
        <v>4</v>
      </c>
      <c r="B18" s="862" t="s">
        <v>970</v>
      </c>
      <c r="C18" s="1159">
        <f>SUM('[13]Div 9 forecast'!$F$508:$Q$508)</f>
        <v>94556.810434555722</v>
      </c>
      <c r="D18" s="1160">
        <f>D17</f>
        <v>1</v>
      </c>
      <c r="E18" s="1161">
        <f>C18*D18</f>
        <v>94556.810434555722</v>
      </c>
      <c r="F18" s="342"/>
      <c r="G18" s="1159">
        <f>SUM('[13]Div 9 forecast'!$U$508:$AF$508)</f>
        <v>94556.810434555722</v>
      </c>
      <c r="H18" s="1160">
        <f>D18</f>
        <v>1</v>
      </c>
      <c r="I18" s="1161">
        <f>G18*H18</f>
        <v>94556.810434555722</v>
      </c>
    </row>
    <row r="19" spans="1:10">
      <c r="A19" s="1036">
        <f t="shared" si="0"/>
        <v>5</v>
      </c>
      <c r="B19" s="903" t="s">
        <v>484</v>
      </c>
      <c r="C19" s="1162">
        <f>SUM(C16:C18)</f>
        <v>257301.81802105531</v>
      </c>
      <c r="D19" s="758"/>
      <c r="E19" s="1159">
        <f>SUM(E16:E18)</f>
        <v>257301.81802105531</v>
      </c>
      <c r="F19" s="342"/>
      <c r="G19" s="1162">
        <f>SUM(G16:G18)</f>
        <v>257301.81802105525</v>
      </c>
      <c r="H19" s="342"/>
      <c r="I19" s="1159">
        <f>SUM(I16:I18)</f>
        <v>257301.81802105525</v>
      </c>
    </row>
    <row r="20" spans="1:10">
      <c r="A20" s="1036">
        <f t="shared" si="0"/>
        <v>6</v>
      </c>
      <c r="B20" s="904"/>
      <c r="C20" s="907"/>
      <c r="D20" s="497"/>
      <c r="E20" s="907"/>
      <c r="F20" s="646"/>
      <c r="G20" s="907"/>
      <c r="H20" s="646"/>
      <c r="I20" s="907"/>
      <c r="J20" s="95"/>
    </row>
    <row r="21" spans="1:10">
      <c r="A21" s="1036">
        <f t="shared" si="0"/>
        <v>7</v>
      </c>
      <c r="B21" s="651" t="s">
        <v>77</v>
      </c>
      <c r="C21" s="327"/>
      <c r="D21" s="908"/>
      <c r="E21" s="327"/>
      <c r="F21" s="761"/>
      <c r="G21" s="327"/>
      <c r="H21" s="761"/>
      <c r="I21" s="327"/>
      <c r="J21" s="95"/>
    </row>
    <row r="22" spans="1:10">
      <c r="A22" s="1036">
        <f t="shared" si="0"/>
        <v>8</v>
      </c>
      <c r="B22" s="862" t="s">
        <v>969</v>
      </c>
      <c r="C22" s="1159">
        <f>SUM('[13]Div 91 forecast'!$F$310:$Q$310)</f>
        <v>27967.810005422489</v>
      </c>
      <c r="D22" s="908">
        <f>Allocation!$I$17</f>
        <v>0.50419999999999998</v>
      </c>
      <c r="E22" s="1159">
        <f>C22*D22</f>
        <v>14101.369804734019</v>
      </c>
      <c r="F22" s="761"/>
      <c r="G22" s="1159">
        <f>SUM('[13]Div 91 forecast'!$U$310:$AF$310)</f>
        <v>27967.810005422489</v>
      </c>
      <c r="H22" s="908">
        <f>Allocation!$E$17</f>
        <v>0.50419999999999998</v>
      </c>
      <c r="I22" s="1159">
        <f>G22*H22</f>
        <v>14101.369804734019</v>
      </c>
      <c r="J22" s="95"/>
    </row>
    <row r="23" spans="1:10">
      <c r="A23" s="1036">
        <f t="shared" si="0"/>
        <v>9</v>
      </c>
      <c r="B23" s="862" t="s">
        <v>970</v>
      </c>
      <c r="C23" s="1159">
        <f>SUM('[13]Div 91 forecast'!$F$314:$Q$314)</f>
        <v>118823.45199011205</v>
      </c>
      <c r="D23" s="908">
        <f>D22</f>
        <v>0.50419999999999998</v>
      </c>
      <c r="E23" s="1161">
        <f>C23*D23</f>
        <v>59910.784493414496</v>
      </c>
      <c r="F23" s="761"/>
      <c r="G23" s="1159">
        <f>SUM('[13]Div 91 forecast'!$U$314:$AF$314)</f>
        <v>118823.45199011205</v>
      </c>
      <c r="H23" s="908">
        <f>H22</f>
        <v>0.50419999999999998</v>
      </c>
      <c r="I23" s="1161">
        <f>G23*H23</f>
        <v>59910.784493414496</v>
      </c>
      <c r="J23" s="95"/>
    </row>
    <row r="24" spans="1:10">
      <c r="A24" s="1036">
        <f t="shared" si="0"/>
        <v>10</v>
      </c>
      <c r="B24" s="903" t="s">
        <v>484</v>
      </c>
      <c r="C24" s="1162">
        <f>SUM(C22:C23)</f>
        <v>146791.26199553453</v>
      </c>
      <c r="D24" s="908"/>
      <c r="E24" s="1159">
        <f>SUM(E22:E23)</f>
        <v>74012.154298148511</v>
      </c>
      <c r="F24" s="761"/>
      <c r="G24" s="1162">
        <f>SUM(G22:G23)</f>
        <v>146791.26199553453</v>
      </c>
      <c r="H24" s="909"/>
      <c r="I24" s="1159">
        <f>SUM(I22:I23)</f>
        <v>74012.154298148511</v>
      </c>
      <c r="J24" s="95"/>
    </row>
    <row r="25" spans="1:10">
      <c r="A25" s="1036">
        <f t="shared" si="0"/>
        <v>11</v>
      </c>
      <c r="B25" s="904"/>
      <c r="C25" s="907"/>
      <c r="D25" s="763"/>
      <c r="E25" s="907"/>
      <c r="F25" s="646"/>
      <c r="G25" s="907"/>
      <c r="H25" s="910"/>
      <c r="I25" s="907"/>
      <c r="J25" s="95"/>
    </row>
    <row r="26" spans="1:10">
      <c r="A26" s="1036">
        <f t="shared" si="0"/>
        <v>12</v>
      </c>
      <c r="B26" s="904" t="s">
        <v>75</v>
      </c>
      <c r="C26" s="907"/>
      <c r="D26" s="288"/>
      <c r="E26" s="907"/>
      <c r="F26" s="95"/>
      <c r="G26" s="907"/>
      <c r="H26" s="815"/>
      <c r="I26" s="907"/>
      <c r="J26" s="95"/>
    </row>
    <row r="27" spans="1:10">
      <c r="A27" s="1036">
        <f t="shared" si="0"/>
        <v>13</v>
      </c>
      <c r="B27" s="862" t="s">
        <v>969</v>
      </c>
      <c r="C27" s="1159">
        <f>SUM('[13]Div 2 forecast'!$F$266:$Q$266)</f>
        <v>19504987.407613844</v>
      </c>
      <c r="D27" s="395">
        <f>Allocation!$I$14</f>
        <v>4.9714119999999994E-2</v>
      </c>
      <c r="E27" s="1159">
        <f>C27*D27</f>
        <v>969673.28458060336</v>
      </c>
      <c r="F27" s="95"/>
      <c r="G27" s="1159">
        <f>SUM('[13]Div 2 forecast'!$U$266:$AF$266)</f>
        <v>19504987.40761384</v>
      </c>
      <c r="H27" s="395">
        <f>Allocation!$E$14</f>
        <v>4.9714119999999994E-2</v>
      </c>
      <c r="I27" s="1159">
        <f>G27*H27</f>
        <v>969673.28458060324</v>
      </c>
      <c r="J27" s="95"/>
    </row>
    <row r="28" spans="1:10">
      <c r="A28" s="1036">
        <f t="shared" si="0"/>
        <v>14</v>
      </c>
      <c r="B28" s="862" t="s">
        <v>970</v>
      </c>
      <c r="C28" s="1159">
        <f>SUM('[13]Div 2 forecast'!$F$273:$Q$273)</f>
        <v>2274461.7143897712</v>
      </c>
      <c r="D28" s="357">
        <f>D27</f>
        <v>4.9714119999999994E-2</v>
      </c>
      <c r="E28" s="1163">
        <f>C28*D28</f>
        <v>113072.8626045788</v>
      </c>
      <c r="F28" s="95"/>
      <c r="G28" s="1159">
        <f>SUM('[13]Div 2 forecast'!$U$273:$AF$273)</f>
        <v>2274461.7143897712</v>
      </c>
      <c r="H28" s="908">
        <f>H27</f>
        <v>4.9714119999999994E-2</v>
      </c>
      <c r="I28" s="1163">
        <f>G28*H28</f>
        <v>113072.8626045788</v>
      </c>
      <c r="J28" s="95"/>
    </row>
    <row r="29" spans="1:10">
      <c r="A29" s="1036">
        <f t="shared" si="0"/>
        <v>15</v>
      </c>
      <c r="B29" s="903" t="s">
        <v>484</v>
      </c>
      <c r="C29" s="1162">
        <f>SUM(C27:C28)</f>
        <v>21779449.122003615</v>
      </c>
      <c r="D29" s="288"/>
      <c r="E29" s="1159">
        <f>SUM(E27:E28)</f>
        <v>1082746.1471851822</v>
      </c>
      <c r="F29" s="95"/>
      <c r="G29" s="1162">
        <f>SUM(G27:G28)</f>
        <v>21779449.122003611</v>
      </c>
      <c r="H29" s="815"/>
      <c r="I29" s="1159">
        <f>SUM(I27:I28)</f>
        <v>1082746.147185182</v>
      </c>
      <c r="J29" s="95"/>
    </row>
    <row r="30" spans="1:10">
      <c r="A30" s="1036">
        <f t="shared" si="0"/>
        <v>16</v>
      </c>
      <c r="B30" s="904"/>
      <c r="C30" s="907"/>
      <c r="D30" s="288"/>
      <c r="E30" s="907"/>
      <c r="F30" s="95"/>
      <c r="G30" s="907"/>
      <c r="H30" s="815"/>
      <c r="I30" s="907"/>
      <c r="J30" s="95"/>
    </row>
    <row r="31" spans="1:10">
      <c r="A31" s="1036">
        <f t="shared" si="0"/>
        <v>17</v>
      </c>
      <c r="B31" s="904" t="s">
        <v>76</v>
      </c>
      <c r="C31" s="907"/>
      <c r="D31" s="288"/>
      <c r="E31" s="907"/>
      <c r="G31" s="907"/>
      <c r="H31" s="911"/>
      <c r="I31" s="907"/>
    </row>
    <row r="32" spans="1:10">
      <c r="A32" s="1036">
        <f t="shared" si="0"/>
        <v>18</v>
      </c>
      <c r="B32" s="862" t="s">
        <v>969</v>
      </c>
      <c r="C32" s="304">
        <f>SUM('[13]Div 12 forecast'!$F$158:$Q$158)</f>
        <v>783420.03506365244</v>
      </c>
      <c r="D32" s="395">
        <f>Allocation!$I$15</f>
        <v>5.5573860000000003E-2</v>
      </c>
      <c r="E32" s="304">
        <f>C32*D32</f>
        <v>43537.675349822515</v>
      </c>
      <c r="G32" s="304">
        <f>SUM('[13]Div 12 forecast'!$U$158:$AF$158)</f>
        <v>783420.03506365221</v>
      </c>
      <c r="H32" s="395">
        <f>Allocation!$E$15</f>
        <v>5.5573860000000003E-2</v>
      </c>
      <c r="I32" s="304">
        <f>G32*H32</f>
        <v>43537.675349822501</v>
      </c>
    </row>
    <row r="33" spans="1:11">
      <c r="A33" s="1036">
        <f t="shared" si="0"/>
        <v>19</v>
      </c>
      <c r="B33" s="862" t="s">
        <v>970</v>
      </c>
      <c r="C33" s="304">
        <f>SUM('[13]Div 12 forecast'!$F$160:$Q$160)</f>
        <v>11395.588517306036</v>
      </c>
      <c r="D33" s="395">
        <f>D32</f>
        <v>5.5573860000000003E-2</v>
      </c>
      <c r="E33" s="1164">
        <f>C33*D33</f>
        <v>633.29684087837325</v>
      </c>
      <c r="G33" s="304">
        <f>SUM('[13]Div 12 forecast'!$U$160:$AF$160)</f>
        <v>11395.588517306034</v>
      </c>
      <c r="H33" s="908">
        <f>H32</f>
        <v>5.5573860000000003E-2</v>
      </c>
      <c r="I33" s="1164">
        <f>G33*H33</f>
        <v>633.29684087837313</v>
      </c>
      <c r="K33" s="557"/>
    </row>
    <row r="34" spans="1:11">
      <c r="A34" s="1036">
        <f t="shared" si="0"/>
        <v>20</v>
      </c>
      <c r="B34" s="903" t="s">
        <v>484</v>
      </c>
      <c r="C34" s="1099">
        <f>SUM(C32:C33)</f>
        <v>794815.62358095846</v>
      </c>
      <c r="E34" s="304">
        <f>SUM(E32:E33)</f>
        <v>44170.972190700886</v>
      </c>
      <c r="G34" s="1099">
        <f>SUM(G32:G33)</f>
        <v>794815.62358095823</v>
      </c>
      <c r="H34" s="911"/>
      <c r="I34" s="304">
        <f>SUM(I32:I33)</f>
        <v>44170.972190700872</v>
      </c>
    </row>
    <row r="37" spans="1:11">
      <c r="A37" s="88" t="s">
        <v>402</v>
      </c>
    </row>
    <row r="40" spans="1:11" ht="15.75">
      <c r="C40" s="729"/>
    </row>
    <row r="42" spans="1:11">
      <c r="B42" s="72" t="s">
        <v>514</v>
      </c>
      <c r="D42" s="72" t="s">
        <v>321</v>
      </c>
    </row>
    <row r="43" spans="1:11">
      <c r="B43" s="72" t="s">
        <v>1571</v>
      </c>
    </row>
  </sheetData>
  <mergeCells count="5">
    <mergeCell ref="A5:I5"/>
    <mergeCell ref="A1:I1"/>
    <mergeCell ref="A2:I2"/>
    <mergeCell ref="A3:I3"/>
    <mergeCell ref="A4:I4"/>
  </mergeCells>
  <phoneticPr fontId="21" type="noConversion"/>
  <pageMargins left="0.89" right="0.71" top="0.76" bottom="0.5" header="0.57999999999999996" footer="0.5"/>
  <pageSetup scale="84" orientation="landscape" verticalDpi="300" r:id="rId1"/>
  <headerFooter alignWithMargins="0">
    <oddFooter>&amp;RSchedule &amp;A
Page &amp;P of &amp;N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45"/>
  <dimension ref="A1:T185"/>
  <sheetViews>
    <sheetView view="pageBreakPreview" topLeftCell="A157" zoomScale="80" zoomScaleNormal="100" zoomScaleSheetLayoutView="80" workbookViewId="0">
      <selection sqref="A1:E1"/>
    </sheetView>
  </sheetViews>
  <sheetFormatPr defaultRowHeight="15"/>
  <cols>
    <col min="1" max="1" width="6.33203125" customWidth="1"/>
    <col min="2" max="2" width="44.21875" customWidth="1"/>
    <col min="3" max="3" width="11.77734375" customWidth="1"/>
    <col min="4" max="4" width="11.6640625" style="639" customWidth="1"/>
    <col min="5" max="5" width="12.44140625" bestFit="1" customWidth="1"/>
    <col min="7" max="7" width="9.6640625" customWidth="1"/>
    <col min="8" max="8" width="9" customWidth="1"/>
    <col min="9" max="9" width="20.33203125" customWidth="1"/>
    <col min="10" max="10" width="20.21875" customWidth="1"/>
    <col min="12" max="12" width="13.33203125" customWidth="1"/>
    <col min="13" max="13" width="23.109375" customWidth="1"/>
    <col min="14" max="14" width="23.33203125" customWidth="1"/>
    <col min="15" max="15" width="8.21875" customWidth="1"/>
    <col min="16" max="16" width="8.21875" style="639" customWidth="1"/>
    <col min="17" max="17" width="16.77734375" bestFit="1" customWidth="1"/>
    <col min="18" max="18" width="15" bestFit="1" customWidth="1"/>
    <col min="19" max="19" width="4.109375" bestFit="1" customWidth="1"/>
  </cols>
  <sheetData>
    <row r="1" spans="1:20" ht="15.75">
      <c r="A1" s="1286" t="str">
        <f>'Table of Contents'!A1:C1</f>
        <v>Atmos Energy Corporation, Kentucky/Mid-States Division</v>
      </c>
      <c r="B1" s="1286"/>
      <c r="C1" s="1286"/>
      <c r="D1" s="1286"/>
      <c r="E1" s="1286"/>
      <c r="F1" s="565"/>
      <c r="G1" s="1"/>
      <c r="H1" s="1"/>
      <c r="I1" s="1"/>
      <c r="J1" s="1"/>
    </row>
    <row r="2" spans="1:20" ht="15.75">
      <c r="A2" s="1286" t="str">
        <f>'Table of Contents'!A2:C2</f>
        <v>Kentucky Jurisdiction Case No. 2021-00214</v>
      </c>
      <c r="B2" s="1286"/>
      <c r="C2" s="1286"/>
      <c r="D2" s="1286"/>
      <c r="E2" s="1286"/>
      <c r="F2" s="613"/>
      <c r="G2" s="73"/>
      <c r="H2" s="73"/>
      <c r="I2" s="73"/>
      <c r="J2" s="1"/>
    </row>
    <row r="3" spans="1:20" ht="15.75">
      <c r="A3" s="1286" t="s">
        <v>219</v>
      </c>
      <c r="B3" s="1286"/>
      <c r="C3" s="1286"/>
      <c r="D3" s="1286"/>
      <c r="E3" s="1286"/>
      <c r="F3" s="1227"/>
      <c r="G3" s="73"/>
      <c r="H3" s="73"/>
      <c r="I3" s="73"/>
      <c r="J3" s="1"/>
      <c r="K3" s="639"/>
      <c r="L3" s="639"/>
      <c r="M3" s="639"/>
      <c r="N3" s="639"/>
      <c r="O3" s="639"/>
      <c r="Q3" s="639"/>
      <c r="R3" s="639"/>
      <c r="S3" s="639"/>
      <c r="T3" s="639"/>
    </row>
    <row r="4" spans="1:20" ht="15.75">
      <c r="A4" s="12"/>
      <c r="B4" s="1"/>
      <c r="C4" s="1"/>
      <c r="D4" s="1"/>
      <c r="E4" s="1"/>
      <c r="F4" s="1227"/>
      <c r="G4" s="73"/>
      <c r="H4" s="73"/>
      <c r="I4" s="73"/>
      <c r="J4" s="1"/>
      <c r="K4" s="639"/>
      <c r="L4" s="639"/>
      <c r="M4" s="639"/>
      <c r="N4" s="639"/>
      <c r="O4" s="639"/>
      <c r="Q4" s="639"/>
      <c r="R4" s="639"/>
      <c r="S4" s="639"/>
      <c r="T4" s="639"/>
    </row>
    <row r="5" spans="1:20" ht="15.75">
      <c r="A5" s="12"/>
      <c r="B5" s="1"/>
      <c r="C5" s="1"/>
      <c r="D5" s="1"/>
      <c r="E5" s="1"/>
      <c r="F5" s="1227"/>
      <c r="G5" s="73"/>
      <c r="I5" s="73"/>
      <c r="J5" s="1"/>
      <c r="K5" s="639"/>
      <c r="L5" s="639"/>
      <c r="M5" s="639"/>
      <c r="N5" s="639"/>
      <c r="O5" s="639"/>
      <c r="Q5" s="639"/>
      <c r="R5" s="639"/>
      <c r="S5" s="639"/>
      <c r="T5" s="639"/>
    </row>
    <row r="6" spans="1:20" ht="15.75">
      <c r="A6" s="12"/>
      <c r="B6" s="1"/>
      <c r="C6" s="1"/>
      <c r="D6" s="1"/>
      <c r="F6" s="1227"/>
      <c r="G6" s="73"/>
      <c r="I6" s="73"/>
      <c r="J6" s="1"/>
      <c r="K6" s="639"/>
      <c r="L6" s="639"/>
      <c r="M6" s="639"/>
      <c r="N6" s="639"/>
      <c r="O6" s="639"/>
      <c r="Q6" s="639"/>
      <c r="R6" s="639"/>
      <c r="S6" s="639"/>
      <c r="T6" s="639"/>
    </row>
    <row r="7" spans="1:20" ht="15.75">
      <c r="A7" s="60" t="s">
        <v>560</v>
      </c>
      <c r="C7" s="1"/>
      <c r="D7" s="1"/>
      <c r="E7" s="462" t="s">
        <v>1353</v>
      </c>
      <c r="F7" s="1227"/>
      <c r="G7" s="73"/>
      <c r="I7" s="73"/>
      <c r="J7" s="1"/>
      <c r="K7" s="639"/>
      <c r="L7" s="639"/>
      <c r="M7" s="639"/>
      <c r="N7" s="639"/>
      <c r="O7" s="639"/>
      <c r="Q7" s="639"/>
      <c r="R7" s="639"/>
      <c r="S7" s="639"/>
      <c r="T7" s="639"/>
    </row>
    <row r="8" spans="1:20" ht="15.75">
      <c r="A8" s="60" t="s">
        <v>610</v>
      </c>
      <c r="C8" s="1"/>
      <c r="D8" s="1"/>
      <c r="E8" s="413" t="s">
        <v>71</v>
      </c>
      <c r="F8" s="1227"/>
      <c r="G8" s="73"/>
      <c r="I8" s="73"/>
      <c r="J8" s="1"/>
      <c r="K8" s="639"/>
      <c r="L8" s="639"/>
      <c r="M8" s="639"/>
      <c r="N8" s="639"/>
      <c r="O8" s="639"/>
      <c r="Q8" s="639"/>
      <c r="R8" s="639"/>
      <c r="S8" s="639"/>
      <c r="T8" s="639"/>
    </row>
    <row r="9" spans="1:20" ht="15.75">
      <c r="A9" s="463" t="s">
        <v>423</v>
      </c>
      <c r="B9" s="46"/>
      <c r="C9" s="29"/>
      <c r="D9" s="29"/>
      <c r="E9" s="1165" t="str">
        <f>F.1!$I$9</f>
        <v>Witness: Christian</v>
      </c>
      <c r="F9" s="565"/>
      <c r="G9" s="615"/>
      <c r="H9" s="73"/>
      <c r="I9" s="73"/>
      <c r="J9" s="1"/>
    </row>
    <row r="10" spans="1:20" ht="15.75">
      <c r="B10" s="23"/>
      <c r="C10" s="1"/>
      <c r="D10" s="1"/>
      <c r="E10" s="117"/>
      <c r="F10" s="73"/>
      <c r="G10" s="544"/>
    </row>
    <row r="11" spans="1:20">
      <c r="A11" s="92" t="s">
        <v>92</v>
      </c>
      <c r="B11" s="84"/>
      <c r="C11" s="1"/>
      <c r="D11" s="1"/>
      <c r="E11" s="117"/>
      <c r="F11" s="73"/>
      <c r="G11" s="544"/>
    </row>
    <row r="12" spans="1:20">
      <c r="A12" s="93" t="s">
        <v>98</v>
      </c>
      <c r="B12" s="93" t="s">
        <v>972</v>
      </c>
      <c r="C12" s="29"/>
      <c r="D12" s="29"/>
      <c r="E12" s="344" t="s">
        <v>103</v>
      </c>
      <c r="F12" s="73"/>
      <c r="G12" s="544"/>
    </row>
    <row r="13" spans="1:20">
      <c r="A13" s="341"/>
      <c r="B13" s="341"/>
      <c r="C13" s="1"/>
      <c r="D13" s="1"/>
      <c r="E13" s="1"/>
      <c r="F13" s="1"/>
      <c r="G13" s="477"/>
    </row>
    <row r="14" spans="1:20" ht="15.75">
      <c r="A14" s="47">
        <v>1</v>
      </c>
      <c r="B14" s="131" t="s">
        <v>220</v>
      </c>
      <c r="F14" s="1"/>
      <c r="G14" s="614"/>
    </row>
    <row r="15" spans="1:20">
      <c r="A15" s="91">
        <f t="shared" ref="A15:A31" si="0">A14+1</f>
        <v>2</v>
      </c>
      <c r="B15" s="281" t="s">
        <v>925</v>
      </c>
      <c r="D15" s="1167">
        <f>[22]F.6!$D$15</f>
        <v>22990</v>
      </c>
      <c r="E15" s="130"/>
      <c r="F15" s="1"/>
      <c r="G15" s="477"/>
      <c r="K15" s="639"/>
    </row>
    <row r="16" spans="1:20">
      <c r="A16" s="91">
        <f t="shared" si="0"/>
        <v>3</v>
      </c>
      <c r="B16" s="281" t="s">
        <v>1569</v>
      </c>
      <c r="D16" s="1168">
        <f>[22]F.6!$D$16</f>
        <v>82440.530000000013</v>
      </c>
      <c r="E16" s="130"/>
      <c r="F16" s="1"/>
      <c r="K16" s="639"/>
    </row>
    <row r="17" spans="1:11">
      <c r="A17" s="91">
        <f t="shared" si="0"/>
        <v>4</v>
      </c>
      <c r="B17" s="281" t="s">
        <v>1679</v>
      </c>
      <c r="D17" s="1169">
        <f>[22]F.6!$D$17</f>
        <v>45856.94</v>
      </c>
      <c r="E17" s="130"/>
      <c r="F17" s="1"/>
      <c r="G17" s="477"/>
      <c r="K17" s="639"/>
    </row>
    <row r="18" spans="1:11">
      <c r="A18" s="91">
        <f t="shared" si="0"/>
        <v>5</v>
      </c>
      <c r="B18" s="132" t="s">
        <v>398</v>
      </c>
      <c r="D18" s="130"/>
      <c r="E18" s="1167">
        <f>SUM(D15:D17)</f>
        <v>151287.47000000003</v>
      </c>
      <c r="F18" s="1"/>
      <c r="K18" s="639"/>
    </row>
    <row r="19" spans="1:11">
      <c r="A19" s="91">
        <f t="shared" si="0"/>
        <v>6</v>
      </c>
      <c r="B19" s="132"/>
      <c r="D19" s="130"/>
      <c r="E19" s="130"/>
      <c r="F19" s="1"/>
      <c r="K19" s="639"/>
    </row>
    <row r="20" spans="1:11" ht="15.75">
      <c r="A20" s="91">
        <f t="shared" si="0"/>
        <v>7</v>
      </c>
      <c r="B20" s="131" t="s">
        <v>399</v>
      </c>
      <c r="D20" s="130"/>
      <c r="K20" s="639"/>
    </row>
    <row r="21" spans="1:11">
      <c r="A21" s="91">
        <f t="shared" si="0"/>
        <v>8</v>
      </c>
      <c r="B21" s="132" t="s">
        <v>400</v>
      </c>
      <c r="D21" s="130"/>
      <c r="E21" s="130">
        <f>[22]F.6!$E$21</f>
        <v>132354.12</v>
      </c>
      <c r="F21" s="127"/>
      <c r="K21" s="639"/>
    </row>
    <row r="22" spans="1:11">
      <c r="A22" s="91">
        <f t="shared" si="0"/>
        <v>9</v>
      </c>
      <c r="B22" s="132" t="s">
        <v>321</v>
      </c>
      <c r="D22" s="130"/>
      <c r="E22" s="130"/>
      <c r="F22" s="127"/>
      <c r="G22" s="84"/>
      <c r="K22" s="639"/>
    </row>
    <row r="23" spans="1:11" ht="15.75">
      <c r="A23" s="91">
        <f t="shared" si="0"/>
        <v>10</v>
      </c>
      <c r="B23" s="131" t="s">
        <v>401</v>
      </c>
      <c r="D23" s="130"/>
      <c r="E23" s="130"/>
      <c r="F23" s="126"/>
      <c r="K23" s="639"/>
    </row>
    <row r="24" spans="1:11">
      <c r="A24" s="91">
        <f t="shared" si="0"/>
        <v>11</v>
      </c>
      <c r="B24" s="132" t="s">
        <v>403</v>
      </c>
      <c r="D24" s="130"/>
      <c r="E24" s="1168">
        <f>[22]F.6!$E$24</f>
        <v>21617</v>
      </c>
      <c r="G24" s="127"/>
      <c r="K24" s="639"/>
    </row>
    <row r="25" spans="1:11">
      <c r="A25" s="91">
        <f t="shared" si="0"/>
        <v>12</v>
      </c>
      <c r="B25" s="132"/>
      <c r="D25" s="130"/>
      <c r="E25" s="130"/>
      <c r="K25" s="639"/>
    </row>
    <row r="26" spans="1:11" ht="15.75">
      <c r="A26" s="91">
        <f t="shared" si="0"/>
        <v>13</v>
      </c>
      <c r="B26" s="131" t="s">
        <v>404</v>
      </c>
      <c r="D26" s="130"/>
      <c r="E26" s="130"/>
      <c r="G26" s="126"/>
      <c r="K26" s="639"/>
    </row>
    <row r="27" spans="1:11">
      <c r="A27" s="91">
        <f t="shared" si="0"/>
        <v>14</v>
      </c>
      <c r="B27" s="132" t="s">
        <v>405</v>
      </c>
      <c r="D27" s="130"/>
      <c r="E27" s="1169">
        <f>[22]F.6!$E$27</f>
        <v>93838</v>
      </c>
      <c r="G27" s="126"/>
    </row>
    <row r="28" spans="1:11">
      <c r="A28" s="91">
        <f t="shared" si="0"/>
        <v>15</v>
      </c>
      <c r="B28" s="132"/>
      <c r="D28" s="130"/>
      <c r="E28" s="130"/>
      <c r="G28" s="126"/>
    </row>
    <row r="29" spans="1:11" ht="16.5" thickBot="1">
      <c r="A29" s="91">
        <f t="shared" si="0"/>
        <v>16</v>
      </c>
      <c r="B29" s="131" t="s">
        <v>946</v>
      </c>
      <c r="D29" s="130"/>
      <c r="E29" s="1172">
        <f>SUM(E14:E27)</f>
        <v>399096.59</v>
      </c>
      <c r="G29" s="126"/>
    </row>
    <row r="30" spans="1:11" ht="15.75" thickTop="1">
      <c r="A30" s="91">
        <f t="shared" si="0"/>
        <v>17</v>
      </c>
      <c r="D30" s="130"/>
      <c r="E30" s="130"/>
      <c r="G30" s="128"/>
    </row>
    <row r="31" spans="1:11" ht="16.5" thickBot="1">
      <c r="A31" s="91">
        <f t="shared" si="0"/>
        <v>18</v>
      </c>
      <c r="B31" s="131" t="s">
        <v>1548</v>
      </c>
      <c r="D31" s="109"/>
      <c r="E31" s="1082">
        <f>E29/3</f>
        <v>133032.19666666668</v>
      </c>
      <c r="K31" s="639"/>
    </row>
    <row r="32" spans="1:11" ht="15.75" thickTop="1">
      <c r="A32" s="1248">
        <f>A31+1</f>
        <v>19</v>
      </c>
      <c r="D32" s="109"/>
      <c r="K32" s="639"/>
    </row>
    <row r="33" spans="1:11" ht="15.75">
      <c r="A33" s="1248">
        <f t="shared" ref="A33:A96" si="1">A32+1</f>
        <v>20</v>
      </c>
      <c r="B33" s="1233" t="s">
        <v>1538</v>
      </c>
      <c r="C33" s="1296" t="s">
        <v>1537</v>
      </c>
      <c r="D33" s="1296"/>
      <c r="G33" s="129"/>
      <c r="K33" s="639"/>
    </row>
    <row r="34" spans="1:11" s="1231" customFormat="1" ht="45">
      <c r="A34" s="1248">
        <f t="shared" si="1"/>
        <v>21</v>
      </c>
      <c r="C34" s="1232" t="s">
        <v>1386</v>
      </c>
      <c r="D34" s="1230" t="s">
        <v>1387</v>
      </c>
    </row>
    <row r="35" spans="1:11">
      <c r="A35" s="1248">
        <f t="shared" si="1"/>
        <v>22</v>
      </c>
      <c r="B35" s="680">
        <v>44075</v>
      </c>
      <c r="C35" s="84">
        <v>168651.83499999996</v>
      </c>
      <c r="D35" s="84">
        <f>337303.67/36</f>
        <v>9369.546388888888</v>
      </c>
      <c r="E35" s="639"/>
      <c r="K35" s="639"/>
    </row>
    <row r="36" spans="1:11">
      <c r="A36" s="1248">
        <f t="shared" si="1"/>
        <v>23</v>
      </c>
      <c r="B36" s="1166">
        <f t="shared" ref="B36:B47" si="2">EOMONTH(B35,0)+1</f>
        <v>44105</v>
      </c>
      <c r="C36" s="84">
        <f t="shared" ref="C36:C47" si="3">C35-D36</f>
        <v>159282.28861111109</v>
      </c>
      <c r="D36" s="84">
        <f t="shared" ref="D36:D47" si="4">337303.67/36</f>
        <v>9369.546388888888</v>
      </c>
      <c r="E36" s="639"/>
      <c r="K36" s="639"/>
    </row>
    <row r="37" spans="1:11">
      <c r="A37" s="1248">
        <f t="shared" si="1"/>
        <v>24</v>
      </c>
      <c r="B37" s="1166">
        <f t="shared" si="2"/>
        <v>44136</v>
      </c>
      <c r="C37" s="84">
        <f t="shared" si="3"/>
        <v>149912.74222222221</v>
      </c>
      <c r="D37" s="84">
        <f t="shared" si="4"/>
        <v>9369.546388888888</v>
      </c>
      <c r="E37" s="639"/>
      <c r="K37" s="639"/>
    </row>
    <row r="38" spans="1:11">
      <c r="A38" s="1248">
        <f t="shared" si="1"/>
        <v>25</v>
      </c>
      <c r="B38" s="1166">
        <f t="shared" si="2"/>
        <v>44166</v>
      </c>
      <c r="C38" s="84">
        <f t="shared" si="3"/>
        <v>140543.19583333333</v>
      </c>
      <c r="D38" s="84">
        <f t="shared" si="4"/>
        <v>9369.546388888888</v>
      </c>
      <c r="E38" s="639"/>
      <c r="K38" s="639"/>
    </row>
    <row r="39" spans="1:11">
      <c r="A39" s="1248">
        <f t="shared" si="1"/>
        <v>26</v>
      </c>
      <c r="B39" s="1166">
        <f t="shared" si="2"/>
        <v>44197</v>
      </c>
      <c r="C39" s="84">
        <f t="shared" si="3"/>
        <v>131173.64944444445</v>
      </c>
      <c r="D39" s="84">
        <f t="shared" si="4"/>
        <v>9369.546388888888</v>
      </c>
      <c r="E39" s="639"/>
      <c r="K39" s="639"/>
    </row>
    <row r="40" spans="1:11">
      <c r="A40" s="1248">
        <f t="shared" si="1"/>
        <v>27</v>
      </c>
      <c r="B40" s="1166">
        <f t="shared" si="2"/>
        <v>44228</v>
      </c>
      <c r="C40" s="84">
        <f t="shared" si="3"/>
        <v>121804.10305555556</v>
      </c>
      <c r="D40" s="84">
        <f t="shared" si="4"/>
        <v>9369.546388888888</v>
      </c>
      <c r="E40" s="639"/>
      <c r="K40" s="639"/>
    </row>
    <row r="41" spans="1:11">
      <c r="A41" s="1248">
        <f t="shared" si="1"/>
        <v>28</v>
      </c>
      <c r="B41" s="1166">
        <f t="shared" si="2"/>
        <v>44256</v>
      </c>
      <c r="C41" s="84">
        <f t="shared" si="3"/>
        <v>112434.55666666667</v>
      </c>
      <c r="D41" s="84">
        <f t="shared" si="4"/>
        <v>9369.546388888888</v>
      </c>
      <c r="E41" s="639"/>
      <c r="K41" s="639"/>
    </row>
    <row r="42" spans="1:11">
      <c r="A42" s="1248">
        <f t="shared" si="1"/>
        <v>29</v>
      </c>
      <c r="B42" s="1166">
        <f t="shared" si="2"/>
        <v>44287</v>
      </c>
      <c r="C42" s="84">
        <f t="shared" si="3"/>
        <v>103065.01027777778</v>
      </c>
      <c r="D42" s="84">
        <f t="shared" si="4"/>
        <v>9369.546388888888</v>
      </c>
      <c r="E42" s="639"/>
      <c r="K42" s="639"/>
    </row>
    <row r="43" spans="1:11">
      <c r="A43" s="1248">
        <f t="shared" si="1"/>
        <v>30</v>
      </c>
      <c r="B43" s="1166">
        <f t="shared" si="2"/>
        <v>44317</v>
      </c>
      <c r="C43" s="84">
        <f t="shared" si="3"/>
        <v>93695.463888888888</v>
      </c>
      <c r="D43" s="84">
        <f t="shared" si="4"/>
        <v>9369.546388888888</v>
      </c>
      <c r="E43" s="639"/>
      <c r="K43" s="639"/>
    </row>
    <row r="44" spans="1:11">
      <c r="A44" s="1248">
        <f t="shared" si="1"/>
        <v>31</v>
      </c>
      <c r="B44" s="1166">
        <f t="shared" si="2"/>
        <v>44348</v>
      </c>
      <c r="C44" s="84">
        <f t="shared" si="3"/>
        <v>84325.917499999996</v>
      </c>
      <c r="D44" s="84">
        <f t="shared" si="4"/>
        <v>9369.546388888888</v>
      </c>
      <c r="E44" s="639"/>
      <c r="K44" s="639"/>
    </row>
    <row r="45" spans="1:11">
      <c r="A45" s="1248">
        <f t="shared" si="1"/>
        <v>32</v>
      </c>
      <c r="B45" s="1166">
        <f t="shared" si="2"/>
        <v>44378</v>
      </c>
      <c r="C45" s="84">
        <f t="shared" si="3"/>
        <v>74956.371111111104</v>
      </c>
      <c r="D45" s="84">
        <f t="shared" si="4"/>
        <v>9369.546388888888</v>
      </c>
      <c r="E45" s="639"/>
      <c r="K45" s="639"/>
    </row>
    <row r="46" spans="1:11">
      <c r="A46" s="1248">
        <f t="shared" si="1"/>
        <v>33</v>
      </c>
      <c r="B46" s="1166">
        <f t="shared" si="2"/>
        <v>44409</v>
      </c>
      <c r="C46" s="84">
        <f t="shared" si="3"/>
        <v>65586.824722222213</v>
      </c>
      <c r="D46" s="84">
        <f t="shared" si="4"/>
        <v>9369.546388888888</v>
      </c>
      <c r="E46" s="639"/>
      <c r="K46" s="639"/>
    </row>
    <row r="47" spans="1:11">
      <c r="A47" s="1248">
        <f t="shared" si="1"/>
        <v>34</v>
      </c>
      <c r="B47" s="1166">
        <f t="shared" si="2"/>
        <v>44440</v>
      </c>
      <c r="C47" s="1170">
        <f t="shared" si="3"/>
        <v>56217.278333333321</v>
      </c>
      <c r="D47" s="1170">
        <f t="shared" si="4"/>
        <v>9369.546388888888</v>
      </c>
      <c r="E47" s="639"/>
      <c r="F47" s="1"/>
      <c r="K47" s="639"/>
    </row>
    <row r="48" spans="1:11">
      <c r="A48" s="1248">
        <f t="shared" si="1"/>
        <v>35</v>
      </c>
      <c r="B48" s="639"/>
      <c r="C48" s="646">
        <f>AVERAGE(C35:C47)</f>
        <v>112434.55666666666</v>
      </c>
      <c r="D48" s="646">
        <f>SUM(D35:D47)</f>
        <v>121804.10305555558</v>
      </c>
      <c r="E48" s="639"/>
      <c r="F48" s="1"/>
      <c r="K48" s="639"/>
    </row>
    <row r="49" spans="1:11">
      <c r="A49" s="1248">
        <f t="shared" si="1"/>
        <v>36</v>
      </c>
      <c r="B49" s="639"/>
      <c r="C49" s="950" t="s">
        <v>1388</v>
      </c>
      <c r="D49"/>
      <c r="E49" s="639"/>
      <c r="F49" s="1"/>
      <c r="K49" s="639"/>
    </row>
    <row r="50" spans="1:11">
      <c r="A50" s="1248">
        <f t="shared" si="1"/>
        <v>37</v>
      </c>
      <c r="B50" s="639"/>
      <c r="D50" s="1"/>
      <c r="E50" s="639"/>
      <c r="F50" s="1"/>
      <c r="K50" s="639"/>
    </row>
    <row r="51" spans="1:11">
      <c r="A51" s="1248">
        <f t="shared" si="1"/>
        <v>38</v>
      </c>
      <c r="B51" s="639"/>
      <c r="D51" s="1"/>
      <c r="E51" s="639"/>
      <c r="F51" s="1"/>
    </row>
    <row r="52" spans="1:11">
      <c r="A52" s="1248">
        <f t="shared" si="1"/>
        <v>39</v>
      </c>
      <c r="B52" s="1166">
        <f>EOMONTH(B47,0)+1</f>
        <v>44470</v>
      </c>
      <c r="C52" s="84">
        <f>C47-D52</f>
        <v>46847.731944444429</v>
      </c>
      <c r="D52" s="84">
        <f t="shared" ref="D52:D57" si="5">337303.67/36</f>
        <v>9369.546388888888</v>
      </c>
      <c r="E52" s="639"/>
      <c r="F52" s="1"/>
    </row>
    <row r="53" spans="1:11">
      <c r="A53" s="1248">
        <f t="shared" si="1"/>
        <v>40</v>
      </c>
      <c r="B53" s="1166">
        <f t="shared" ref="B53:B75" si="6">EOMONTH(B52,0)+1</f>
        <v>44501</v>
      </c>
      <c r="C53" s="84">
        <f>C52-D53</f>
        <v>37478.185555555538</v>
      </c>
      <c r="D53" s="84">
        <f t="shared" si="5"/>
        <v>9369.546388888888</v>
      </c>
      <c r="E53" s="639"/>
      <c r="F53" s="1"/>
      <c r="G53" s="477"/>
    </row>
    <row r="54" spans="1:11">
      <c r="A54" s="1248">
        <f t="shared" si="1"/>
        <v>41</v>
      </c>
      <c r="B54" s="1166">
        <f t="shared" si="6"/>
        <v>44531</v>
      </c>
      <c r="C54" s="84">
        <f>C53-D54</f>
        <v>28108.63916666665</v>
      </c>
      <c r="D54" s="84">
        <f t="shared" si="5"/>
        <v>9369.546388888888</v>
      </c>
      <c r="E54" s="639"/>
      <c r="F54" s="1"/>
    </row>
    <row r="55" spans="1:11">
      <c r="A55" s="1248">
        <f t="shared" si="1"/>
        <v>42</v>
      </c>
      <c r="B55" s="1166">
        <f t="shared" si="6"/>
        <v>44562</v>
      </c>
      <c r="C55" s="84">
        <f>C54-D55</f>
        <v>18739.092777777762</v>
      </c>
      <c r="D55" s="84">
        <f t="shared" si="5"/>
        <v>9369.546388888888</v>
      </c>
      <c r="E55" s="639"/>
    </row>
    <row r="56" spans="1:11">
      <c r="A56" s="1248">
        <f t="shared" si="1"/>
        <v>43</v>
      </c>
      <c r="B56" s="1166">
        <f t="shared" si="6"/>
        <v>44593</v>
      </c>
      <c r="C56" s="84">
        <f>C55-D56</f>
        <v>9369.5463888888735</v>
      </c>
      <c r="D56" s="84">
        <f t="shared" si="5"/>
        <v>9369.546388888888</v>
      </c>
      <c r="E56" s="639"/>
    </row>
    <row r="57" spans="1:11">
      <c r="A57" s="1248">
        <f t="shared" si="1"/>
        <v>44</v>
      </c>
      <c r="B57" s="1166">
        <f t="shared" si="6"/>
        <v>44621</v>
      </c>
      <c r="C57" s="84">
        <f>ROUND(C56-D57,0)</f>
        <v>0</v>
      </c>
      <c r="D57" s="84">
        <f t="shared" si="5"/>
        <v>9369.546388888888</v>
      </c>
      <c r="E57" s="639"/>
    </row>
    <row r="58" spans="1:11">
      <c r="A58" s="1248">
        <f t="shared" si="1"/>
        <v>45</v>
      </c>
      <c r="B58" s="1166">
        <f t="shared" si="6"/>
        <v>44652</v>
      </c>
      <c r="C58" s="84">
        <f t="shared" ref="C58:C75" si="7">C57-D58</f>
        <v>0</v>
      </c>
      <c r="D58" s="84">
        <v>0</v>
      </c>
      <c r="E58" s="639"/>
    </row>
    <row r="59" spans="1:11">
      <c r="A59" s="1248">
        <f t="shared" si="1"/>
        <v>46</v>
      </c>
      <c r="B59" s="1166">
        <f t="shared" si="6"/>
        <v>44682</v>
      </c>
      <c r="C59" s="84">
        <f t="shared" si="7"/>
        <v>0</v>
      </c>
      <c r="D59" s="84">
        <v>0</v>
      </c>
      <c r="E59" s="639"/>
    </row>
    <row r="60" spans="1:11">
      <c r="A60" s="1248">
        <f t="shared" si="1"/>
        <v>47</v>
      </c>
      <c r="B60" s="1166">
        <f t="shared" si="6"/>
        <v>44713</v>
      </c>
      <c r="C60" s="84">
        <f t="shared" si="7"/>
        <v>0</v>
      </c>
      <c r="D60" s="84">
        <v>0</v>
      </c>
      <c r="E60" s="639"/>
    </row>
    <row r="61" spans="1:11">
      <c r="A61" s="1248">
        <f t="shared" si="1"/>
        <v>48</v>
      </c>
      <c r="B61" s="1166">
        <f t="shared" si="6"/>
        <v>44743</v>
      </c>
      <c r="C61" s="84">
        <f t="shared" si="7"/>
        <v>0</v>
      </c>
      <c r="D61" s="84">
        <v>0</v>
      </c>
      <c r="E61" s="639"/>
    </row>
    <row r="62" spans="1:11">
      <c r="A62" s="1248">
        <f t="shared" si="1"/>
        <v>49</v>
      </c>
      <c r="B62" s="1166">
        <f t="shared" si="6"/>
        <v>44774</v>
      </c>
      <c r="C62" s="84">
        <f t="shared" si="7"/>
        <v>0</v>
      </c>
      <c r="D62" s="84">
        <v>0</v>
      </c>
      <c r="E62" s="639"/>
    </row>
    <row r="63" spans="1:11">
      <c r="A63" s="1248">
        <f t="shared" si="1"/>
        <v>50</v>
      </c>
      <c r="B63" s="1166">
        <f t="shared" si="6"/>
        <v>44805</v>
      </c>
      <c r="C63" s="84">
        <f t="shared" si="7"/>
        <v>0</v>
      </c>
      <c r="D63" s="84">
        <v>0</v>
      </c>
      <c r="E63" s="639"/>
    </row>
    <row r="64" spans="1:11">
      <c r="A64" s="1248">
        <f t="shared" si="1"/>
        <v>51</v>
      </c>
      <c r="B64" s="1166">
        <f t="shared" si="6"/>
        <v>44835</v>
      </c>
      <c r="C64" s="84">
        <f t="shared" si="7"/>
        <v>0</v>
      </c>
      <c r="D64" s="84">
        <v>0</v>
      </c>
      <c r="E64" s="639"/>
    </row>
    <row r="65" spans="1:5">
      <c r="A65" s="1248">
        <f t="shared" si="1"/>
        <v>52</v>
      </c>
      <c r="B65" s="1166">
        <f t="shared" si="6"/>
        <v>44866</v>
      </c>
      <c r="C65" s="84">
        <f t="shared" si="7"/>
        <v>0</v>
      </c>
      <c r="D65" s="84">
        <v>0</v>
      </c>
      <c r="E65" s="639"/>
    </row>
    <row r="66" spans="1:5">
      <c r="A66" s="1248">
        <f t="shared" si="1"/>
        <v>53</v>
      </c>
      <c r="B66" s="1166">
        <f t="shared" si="6"/>
        <v>44896</v>
      </c>
      <c r="C66" s="84">
        <f t="shared" si="7"/>
        <v>0</v>
      </c>
      <c r="D66" s="84">
        <v>0</v>
      </c>
      <c r="E66" s="639"/>
    </row>
    <row r="67" spans="1:5">
      <c r="A67" s="1248">
        <f t="shared" si="1"/>
        <v>54</v>
      </c>
      <c r="B67" s="1166">
        <f t="shared" si="6"/>
        <v>44927</v>
      </c>
      <c r="C67" s="84">
        <f t="shared" si="7"/>
        <v>0</v>
      </c>
      <c r="D67" s="84">
        <v>0</v>
      </c>
      <c r="E67" s="639"/>
    </row>
    <row r="68" spans="1:5">
      <c r="A68" s="1248">
        <f t="shared" si="1"/>
        <v>55</v>
      </c>
      <c r="B68" s="1166">
        <f t="shared" si="6"/>
        <v>44958</v>
      </c>
      <c r="C68" s="84">
        <f t="shared" si="7"/>
        <v>0</v>
      </c>
      <c r="D68" s="84">
        <v>0</v>
      </c>
      <c r="E68" s="639"/>
    </row>
    <row r="69" spans="1:5">
      <c r="A69" s="1248">
        <f t="shared" si="1"/>
        <v>56</v>
      </c>
      <c r="B69" s="1166">
        <f t="shared" si="6"/>
        <v>44986</v>
      </c>
      <c r="C69" s="84">
        <f t="shared" si="7"/>
        <v>0</v>
      </c>
      <c r="D69" s="84">
        <v>0</v>
      </c>
      <c r="E69" s="639"/>
    </row>
    <row r="70" spans="1:5">
      <c r="A70" s="1248">
        <f t="shared" si="1"/>
        <v>57</v>
      </c>
      <c r="B70" s="1166">
        <f t="shared" si="6"/>
        <v>45017</v>
      </c>
      <c r="C70" s="84">
        <f t="shared" si="7"/>
        <v>0</v>
      </c>
      <c r="D70" s="84">
        <v>0</v>
      </c>
      <c r="E70" s="639"/>
    </row>
    <row r="71" spans="1:5">
      <c r="A71" s="1248">
        <f t="shared" si="1"/>
        <v>58</v>
      </c>
      <c r="B71" s="1166">
        <f t="shared" si="6"/>
        <v>45047</v>
      </c>
      <c r="C71" s="84">
        <f t="shared" si="7"/>
        <v>0</v>
      </c>
      <c r="D71" s="84">
        <v>0</v>
      </c>
      <c r="E71" s="639"/>
    </row>
    <row r="72" spans="1:5">
      <c r="A72" s="1248">
        <f t="shared" si="1"/>
        <v>59</v>
      </c>
      <c r="B72" s="1166">
        <f t="shared" si="6"/>
        <v>45078</v>
      </c>
      <c r="C72" s="84">
        <f t="shared" si="7"/>
        <v>0</v>
      </c>
      <c r="D72" s="84">
        <v>0</v>
      </c>
      <c r="E72" s="639"/>
    </row>
    <row r="73" spans="1:5">
      <c r="A73" s="1248">
        <f t="shared" si="1"/>
        <v>60</v>
      </c>
      <c r="B73" s="1166">
        <f t="shared" si="6"/>
        <v>45108</v>
      </c>
      <c r="C73" s="84">
        <f t="shared" si="7"/>
        <v>0</v>
      </c>
      <c r="D73" s="84">
        <v>0</v>
      </c>
      <c r="E73" s="639"/>
    </row>
    <row r="74" spans="1:5">
      <c r="A74" s="1248">
        <f t="shared" si="1"/>
        <v>61</v>
      </c>
      <c r="B74" s="1166">
        <f t="shared" si="6"/>
        <v>45139</v>
      </c>
      <c r="C74" s="84">
        <f t="shared" si="7"/>
        <v>0</v>
      </c>
      <c r="D74" s="84">
        <v>0</v>
      </c>
      <c r="E74" s="639"/>
    </row>
    <row r="75" spans="1:5">
      <c r="A75" s="1248">
        <f t="shared" si="1"/>
        <v>62</v>
      </c>
      <c r="B75" s="1166">
        <f t="shared" si="6"/>
        <v>45170</v>
      </c>
      <c r="C75" s="84">
        <f t="shared" si="7"/>
        <v>0</v>
      </c>
      <c r="D75" s="84">
        <v>0</v>
      </c>
      <c r="E75" s="639"/>
    </row>
    <row r="76" spans="1:5">
      <c r="A76" s="1248">
        <f t="shared" si="1"/>
        <v>63</v>
      </c>
      <c r="D76"/>
      <c r="E76" s="639"/>
    </row>
    <row r="77" spans="1:5" ht="15.75">
      <c r="A77" s="1248">
        <f t="shared" si="1"/>
        <v>64</v>
      </c>
      <c r="B77" s="1233" t="s">
        <v>1538</v>
      </c>
      <c r="C77" s="1297" t="s">
        <v>1588</v>
      </c>
      <c r="D77" s="1297"/>
      <c r="E77" s="639"/>
    </row>
    <row r="78" spans="1:5" s="1231" customFormat="1" ht="45">
      <c r="A78" s="1248">
        <f t="shared" si="1"/>
        <v>65</v>
      </c>
      <c r="C78" s="1232" t="s">
        <v>1386</v>
      </c>
      <c r="D78" s="1230" t="s">
        <v>1387</v>
      </c>
    </row>
    <row r="79" spans="1:5">
      <c r="A79" s="1248">
        <f t="shared" si="1"/>
        <v>66</v>
      </c>
      <c r="B79" s="680">
        <v>44531</v>
      </c>
      <c r="C79" s="84">
        <f>0</f>
        <v>0</v>
      </c>
      <c r="D79" s="84">
        <f>0</f>
        <v>0</v>
      </c>
      <c r="E79" s="639"/>
    </row>
    <row r="80" spans="1:5">
      <c r="A80" s="1248">
        <f t="shared" si="1"/>
        <v>67</v>
      </c>
      <c r="B80" s="1166">
        <f>EOMONTH(B79,0)+1</f>
        <v>44562</v>
      </c>
      <c r="C80" s="84">
        <f>E29-D80</f>
        <v>388010.57361111115</v>
      </c>
      <c r="D80" s="84">
        <f>E29/36</f>
        <v>11086.016388888889</v>
      </c>
      <c r="E80" s="639"/>
    </row>
    <row r="81" spans="1:5">
      <c r="A81" s="1248">
        <f t="shared" si="1"/>
        <v>68</v>
      </c>
      <c r="B81" s="1166">
        <f t="shared" ref="B81:B91" si="8">EOMONTH(B80,0)+1</f>
        <v>44593</v>
      </c>
      <c r="C81" s="84">
        <f t="shared" ref="C81:C91" si="9">C80-D81</f>
        <v>376924.55722222227</v>
      </c>
      <c r="D81" s="84">
        <f t="shared" ref="D81:D91" si="10">$D$80</f>
        <v>11086.016388888889</v>
      </c>
      <c r="E81" s="639"/>
    </row>
    <row r="82" spans="1:5">
      <c r="A82" s="1248">
        <f t="shared" si="1"/>
        <v>69</v>
      </c>
      <c r="B82" s="1166">
        <f t="shared" si="8"/>
        <v>44621</v>
      </c>
      <c r="C82" s="84">
        <f t="shared" si="9"/>
        <v>365838.54083333339</v>
      </c>
      <c r="D82" s="84">
        <f t="shared" si="10"/>
        <v>11086.016388888889</v>
      </c>
      <c r="E82" s="639"/>
    </row>
    <row r="83" spans="1:5">
      <c r="A83" s="1248">
        <f t="shared" si="1"/>
        <v>70</v>
      </c>
      <c r="B83" s="1166">
        <f t="shared" si="8"/>
        <v>44652</v>
      </c>
      <c r="C83" s="84">
        <f t="shared" si="9"/>
        <v>354752.52444444451</v>
      </c>
      <c r="D83" s="84">
        <f t="shared" si="10"/>
        <v>11086.016388888889</v>
      </c>
      <c r="E83" s="639"/>
    </row>
    <row r="84" spans="1:5">
      <c r="A84" s="1248">
        <f t="shared" si="1"/>
        <v>71</v>
      </c>
      <c r="B84" s="1166">
        <f t="shared" si="8"/>
        <v>44682</v>
      </c>
      <c r="C84" s="84">
        <f t="shared" si="9"/>
        <v>343666.50805555563</v>
      </c>
      <c r="D84" s="84">
        <f t="shared" si="10"/>
        <v>11086.016388888889</v>
      </c>
      <c r="E84" s="639"/>
    </row>
    <row r="85" spans="1:5">
      <c r="A85" s="1248">
        <f t="shared" si="1"/>
        <v>72</v>
      </c>
      <c r="B85" s="1166">
        <f t="shared" si="8"/>
        <v>44713</v>
      </c>
      <c r="C85" s="84">
        <f t="shared" si="9"/>
        <v>332580.49166666676</v>
      </c>
      <c r="D85" s="84">
        <f t="shared" si="10"/>
        <v>11086.016388888889</v>
      </c>
      <c r="E85" s="639"/>
    </row>
    <row r="86" spans="1:5">
      <c r="A86" s="1248">
        <f t="shared" si="1"/>
        <v>73</v>
      </c>
      <c r="B86" s="1166">
        <f t="shared" si="8"/>
        <v>44743</v>
      </c>
      <c r="C86" s="84">
        <f t="shared" si="9"/>
        <v>321494.47527777788</v>
      </c>
      <c r="D86" s="84">
        <f t="shared" si="10"/>
        <v>11086.016388888889</v>
      </c>
      <c r="E86" s="639"/>
    </row>
    <row r="87" spans="1:5">
      <c r="A87" s="1248">
        <f t="shared" si="1"/>
        <v>74</v>
      </c>
      <c r="B87" s="1166">
        <f t="shared" si="8"/>
        <v>44774</v>
      </c>
      <c r="C87" s="84">
        <f t="shared" si="9"/>
        <v>310408.458888889</v>
      </c>
      <c r="D87" s="84">
        <f t="shared" si="10"/>
        <v>11086.016388888889</v>
      </c>
      <c r="E87" s="639"/>
    </row>
    <row r="88" spans="1:5">
      <c r="A88" s="1248">
        <f t="shared" si="1"/>
        <v>75</v>
      </c>
      <c r="B88" s="1166">
        <f t="shared" si="8"/>
        <v>44805</v>
      </c>
      <c r="C88" s="84">
        <f t="shared" si="9"/>
        <v>299322.44250000012</v>
      </c>
      <c r="D88" s="84">
        <f t="shared" si="10"/>
        <v>11086.016388888889</v>
      </c>
      <c r="E88" s="639"/>
    </row>
    <row r="89" spans="1:5">
      <c r="A89" s="1248">
        <f t="shared" si="1"/>
        <v>76</v>
      </c>
      <c r="B89" s="1166">
        <f t="shared" si="8"/>
        <v>44835</v>
      </c>
      <c r="C89" s="84">
        <f t="shared" si="9"/>
        <v>288236.42611111124</v>
      </c>
      <c r="D89" s="84">
        <f t="shared" si="10"/>
        <v>11086.016388888889</v>
      </c>
      <c r="E89" s="639"/>
    </row>
    <row r="90" spans="1:5">
      <c r="A90" s="1248">
        <f t="shared" si="1"/>
        <v>77</v>
      </c>
      <c r="B90" s="1166">
        <f t="shared" si="8"/>
        <v>44866</v>
      </c>
      <c r="C90" s="84">
        <f t="shared" si="9"/>
        <v>277150.40972222236</v>
      </c>
      <c r="D90" s="84">
        <f t="shared" si="10"/>
        <v>11086.016388888889</v>
      </c>
      <c r="E90" s="639"/>
    </row>
    <row r="91" spans="1:5">
      <c r="A91" s="1248">
        <f t="shared" si="1"/>
        <v>78</v>
      </c>
      <c r="B91" s="1166">
        <f t="shared" si="8"/>
        <v>44896</v>
      </c>
      <c r="C91" s="1170">
        <f t="shared" si="9"/>
        <v>266064.39333333349</v>
      </c>
      <c r="D91" s="1170">
        <f t="shared" si="10"/>
        <v>11086.016388888889</v>
      </c>
      <c r="E91" s="639"/>
    </row>
    <row r="92" spans="1:5">
      <c r="A92" s="1248">
        <f t="shared" si="1"/>
        <v>79</v>
      </c>
      <c r="B92" s="639"/>
      <c r="C92" s="646">
        <f>AVERAGE(C79:C91)</f>
        <v>301880.75397435908</v>
      </c>
      <c r="D92" s="646">
        <f>SUM(D79:D91)</f>
        <v>133032.19666666668</v>
      </c>
      <c r="E92" s="639"/>
    </row>
    <row r="93" spans="1:5">
      <c r="A93" s="1248">
        <f t="shared" si="1"/>
        <v>80</v>
      </c>
      <c r="B93" s="639"/>
      <c r="C93" s="950" t="s">
        <v>1388</v>
      </c>
      <c r="D93"/>
      <c r="E93" s="639"/>
    </row>
    <row r="94" spans="1:5">
      <c r="A94" s="1248">
        <f t="shared" si="1"/>
        <v>81</v>
      </c>
      <c r="B94" s="639"/>
      <c r="D94"/>
      <c r="E94" s="639"/>
    </row>
    <row r="95" spans="1:5">
      <c r="A95" s="1248">
        <f t="shared" si="1"/>
        <v>82</v>
      </c>
      <c r="B95" s="639"/>
      <c r="D95"/>
      <c r="E95" s="639"/>
    </row>
    <row r="96" spans="1:5">
      <c r="A96" s="1248">
        <f t="shared" si="1"/>
        <v>83</v>
      </c>
      <c r="B96" s="1166">
        <f>EOMONTH(B91,0)+1</f>
        <v>44927</v>
      </c>
      <c r="C96" s="84">
        <f>C91-D96</f>
        <v>254978.37694444461</v>
      </c>
      <c r="D96" s="85">
        <f t="shared" ref="D96:D119" si="11">$D$80</f>
        <v>11086.016388888889</v>
      </c>
      <c r="E96" s="639"/>
    </row>
    <row r="97" spans="1:5">
      <c r="A97" s="1248">
        <f t="shared" ref="A97:A160" si="12">A96+1</f>
        <v>84</v>
      </c>
      <c r="B97" s="1166">
        <f t="shared" ref="B97:B119" si="13">EOMONTH(B96,0)+1</f>
        <v>44958</v>
      </c>
      <c r="C97" s="84">
        <f t="shared" ref="C97:C119" si="14">C96-D96</f>
        <v>243892.36055555573</v>
      </c>
      <c r="D97" s="85">
        <f t="shared" si="11"/>
        <v>11086.016388888889</v>
      </c>
      <c r="E97" s="639"/>
    </row>
    <row r="98" spans="1:5">
      <c r="A98" s="1248">
        <f t="shared" si="12"/>
        <v>85</v>
      </c>
      <c r="B98" s="1166">
        <f t="shared" si="13"/>
        <v>44986</v>
      </c>
      <c r="C98" s="84">
        <f t="shared" si="14"/>
        <v>232806.34416666685</v>
      </c>
      <c r="D98" s="85">
        <f t="shared" si="11"/>
        <v>11086.016388888889</v>
      </c>
      <c r="E98" s="639"/>
    </row>
    <row r="99" spans="1:5">
      <c r="A99" s="1248">
        <f t="shared" si="12"/>
        <v>86</v>
      </c>
      <c r="B99" s="1166">
        <f t="shared" si="13"/>
        <v>45017</v>
      </c>
      <c r="C99" s="84">
        <f t="shared" si="14"/>
        <v>221720.32777777797</v>
      </c>
      <c r="D99" s="85">
        <f t="shared" si="11"/>
        <v>11086.016388888889</v>
      </c>
      <c r="E99" s="639"/>
    </row>
    <row r="100" spans="1:5">
      <c r="A100" s="1248">
        <f t="shared" si="12"/>
        <v>87</v>
      </c>
      <c r="B100" s="1166">
        <f t="shared" si="13"/>
        <v>45047</v>
      </c>
      <c r="C100" s="84">
        <f t="shared" si="14"/>
        <v>210634.31138888909</v>
      </c>
      <c r="D100" s="85">
        <f t="shared" si="11"/>
        <v>11086.016388888889</v>
      </c>
      <c r="E100" s="639"/>
    </row>
    <row r="101" spans="1:5">
      <c r="A101" s="1248">
        <f t="shared" si="12"/>
        <v>88</v>
      </c>
      <c r="B101" s="1166">
        <f t="shared" si="13"/>
        <v>45078</v>
      </c>
      <c r="C101" s="84">
        <f t="shared" si="14"/>
        <v>199548.29500000022</v>
      </c>
      <c r="D101" s="85">
        <f t="shared" si="11"/>
        <v>11086.016388888889</v>
      </c>
      <c r="E101" s="639"/>
    </row>
    <row r="102" spans="1:5">
      <c r="A102" s="1248">
        <f t="shared" si="12"/>
        <v>89</v>
      </c>
      <c r="B102" s="1166">
        <f t="shared" si="13"/>
        <v>45108</v>
      </c>
      <c r="C102" s="84">
        <f t="shared" si="14"/>
        <v>188462.27861111134</v>
      </c>
      <c r="D102" s="85">
        <f t="shared" si="11"/>
        <v>11086.016388888889</v>
      </c>
      <c r="E102" s="639"/>
    </row>
    <row r="103" spans="1:5">
      <c r="A103" s="1248">
        <f t="shared" si="12"/>
        <v>90</v>
      </c>
      <c r="B103" s="1166">
        <f t="shared" si="13"/>
        <v>45139</v>
      </c>
      <c r="C103" s="84">
        <f t="shared" si="14"/>
        <v>177376.26222222246</v>
      </c>
      <c r="D103" s="85">
        <f t="shared" si="11"/>
        <v>11086.016388888889</v>
      </c>
      <c r="E103" s="639"/>
    </row>
    <row r="104" spans="1:5">
      <c r="A104" s="1248">
        <f t="shared" si="12"/>
        <v>91</v>
      </c>
      <c r="B104" s="1166">
        <f t="shared" si="13"/>
        <v>45170</v>
      </c>
      <c r="C104" s="84">
        <f t="shared" si="14"/>
        <v>166290.24583333358</v>
      </c>
      <c r="D104" s="85">
        <f t="shared" si="11"/>
        <v>11086.016388888889</v>
      </c>
      <c r="E104" s="639"/>
    </row>
    <row r="105" spans="1:5">
      <c r="A105" s="1248">
        <f t="shared" si="12"/>
        <v>92</v>
      </c>
      <c r="B105" s="1166">
        <f t="shared" si="13"/>
        <v>45200</v>
      </c>
      <c r="C105" s="84">
        <f t="shared" si="14"/>
        <v>155204.2294444447</v>
      </c>
      <c r="D105" s="85">
        <f t="shared" si="11"/>
        <v>11086.016388888889</v>
      </c>
      <c r="E105" s="639"/>
    </row>
    <row r="106" spans="1:5">
      <c r="A106" s="1248">
        <f t="shared" si="12"/>
        <v>93</v>
      </c>
      <c r="B106" s="1166">
        <f t="shared" si="13"/>
        <v>45231</v>
      </c>
      <c r="C106" s="84">
        <f t="shared" si="14"/>
        <v>144118.21305555583</v>
      </c>
      <c r="D106" s="85">
        <f t="shared" si="11"/>
        <v>11086.016388888889</v>
      </c>
      <c r="E106" s="639"/>
    </row>
    <row r="107" spans="1:5">
      <c r="A107" s="1248">
        <f t="shared" si="12"/>
        <v>94</v>
      </c>
      <c r="B107" s="1166">
        <f t="shared" si="13"/>
        <v>45261</v>
      </c>
      <c r="C107" s="84">
        <f t="shared" si="14"/>
        <v>133032.19666666695</v>
      </c>
      <c r="D107" s="85">
        <f t="shared" si="11"/>
        <v>11086.016388888889</v>
      </c>
      <c r="E107" s="639"/>
    </row>
    <row r="108" spans="1:5">
      <c r="A108" s="1248">
        <f t="shared" si="12"/>
        <v>95</v>
      </c>
      <c r="B108" s="1166">
        <f t="shared" si="13"/>
        <v>45292</v>
      </c>
      <c r="C108" s="84">
        <f t="shared" si="14"/>
        <v>121946.18027777805</v>
      </c>
      <c r="D108" s="85">
        <f t="shared" si="11"/>
        <v>11086.016388888889</v>
      </c>
      <c r="E108" s="639"/>
    </row>
    <row r="109" spans="1:5">
      <c r="A109" s="1248">
        <f t="shared" si="12"/>
        <v>96</v>
      </c>
      <c r="B109" s="1166">
        <f t="shared" si="13"/>
        <v>45323</v>
      </c>
      <c r="C109" s="84">
        <f t="shared" si="14"/>
        <v>110860.16388888916</v>
      </c>
      <c r="D109" s="85">
        <f t="shared" si="11"/>
        <v>11086.016388888889</v>
      </c>
      <c r="E109" s="639"/>
    </row>
    <row r="110" spans="1:5">
      <c r="A110" s="1248">
        <f t="shared" si="12"/>
        <v>97</v>
      </c>
      <c r="B110" s="1166">
        <f t="shared" si="13"/>
        <v>45352</v>
      </c>
      <c r="C110" s="84">
        <f t="shared" si="14"/>
        <v>99774.147500000268</v>
      </c>
      <c r="D110" s="85">
        <f t="shared" si="11"/>
        <v>11086.016388888889</v>
      </c>
      <c r="E110" s="639"/>
    </row>
    <row r="111" spans="1:5">
      <c r="A111" s="1248">
        <f t="shared" si="12"/>
        <v>98</v>
      </c>
      <c r="B111" s="1166">
        <f t="shared" si="13"/>
        <v>45383</v>
      </c>
      <c r="C111" s="84">
        <f t="shared" si="14"/>
        <v>88688.131111111376</v>
      </c>
      <c r="D111" s="85">
        <f t="shared" si="11"/>
        <v>11086.016388888889</v>
      </c>
      <c r="E111" s="639"/>
    </row>
    <row r="112" spans="1:5">
      <c r="A112" s="1248">
        <f t="shared" si="12"/>
        <v>99</v>
      </c>
      <c r="B112" s="1166">
        <f t="shared" si="13"/>
        <v>45413</v>
      </c>
      <c r="C112" s="84">
        <f t="shared" si="14"/>
        <v>77602.114722222483</v>
      </c>
      <c r="D112" s="85">
        <f t="shared" si="11"/>
        <v>11086.016388888889</v>
      </c>
      <c r="E112" s="639"/>
    </row>
    <row r="113" spans="1:5">
      <c r="A113" s="1248">
        <f t="shared" si="12"/>
        <v>100</v>
      </c>
      <c r="B113" s="1166">
        <f t="shared" si="13"/>
        <v>45444</v>
      </c>
      <c r="C113" s="84">
        <f t="shared" si="14"/>
        <v>66516.09833333359</v>
      </c>
      <c r="D113" s="85">
        <f t="shared" si="11"/>
        <v>11086.016388888889</v>
      </c>
      <c r="E113" s="639"/>
    </row>
    <row r="114" spans="1:5">
      <c r="A114" s="1248">
        <f t="shared" si="12"/>
        <v>101</v>
      </c>
      <c r="B114" s="1166">
        <f t="shared" si="13"/>
        <v>45474</v>
      </c>
      <c r="C114" s="84">
        <f t="shared" si="14"/>
        <v>55430.081944444697</v>
      </c>
      <c r="D114" s="85">
        <f t="shared" si="11"/>
        <v>11086.016388888889</v>
      </c>
      <c r="E114" s="639"/>
    </row>
    <row r="115" spans="1:5">
      <c r="A115" s="1248">
        <f t="shared" si="12"/>
        <v>102</v>
      </c>
      <c r="B115" s="1166">
        <f t="shared" si="13"/>
        <v>45505</v>
      </c>
      <c r="C115" s="84">
        <f t="shared" si="14"/>
        <v>44344.065555555804</v>
      </c>
      <c r="D115" s="85">
        <f t="shared" si="11"/>
        <v>11086.016388888889</v>
      </c>
      <c r="E115" s="639"/>
    </row>
    <row r="116" spans="1:5">
      <c r="A116" s="1248">
        <f t="shared" si="12"/>
        <v>103</v>
      </c>
      <c r="B116" s="1166">
        <f t="shared" si="13"/>
        <v>45536</v>
      </c>
      <c r="C116" s="84">
        <f t="shared" si="14"/>
        <v>33258.049166666911</v>
      </c>
      <c r="D116" s="85">
        <f t="shared" si="11"/>
        <v>11086.016388888889</v>
      </c>
      <c r="E116" s="639"/>
    </row>
    <row r="117" spans="1:5">
      <c r="A117" s="1248">
        <f t="shared" si="12"/>
        <v>104</v>
      </c>
      <c r="B117" s="1166">
        <f t="shared" si="13"/>
        <v>45566</v>
      </c>
      <c r="C117" s="84">
        <f t="shared" si="14"/>
        <v>22172.032777778022</v>
      </c>
      <c r="D117" s="85">
        <f t="shared" si="11"/>
        <v>11086.016388888889</v>
      </c>
      <c r="E117" s="639"/>
    </row>
    <row r="118" spans="1:5">
      <c r="A118" s="1248">
        <f t="shared" si="12"/>
        <v>105</v>
      </c>
      <c r="B118" s="1166">
        <f t="shared" si="13"/>
        <v>45597</v>
      </c>
      <c r="C118" s="84">
        <f t="shared" si="14"/>
        <v>11086.016388889133</v>
      </c>
      <c r="D118" s="85">
        <f t="shared" si="11"/>
        <v>11086.016388888889</v>
      </c>
      <c r="E118" s="639"/>
    </row>
    <row r="119" spans="1:5">
      <c r="A119" s="1248">
        <f t="shared" si="12"/>
        <v>106</v>
      </c>
      <c r="B119" s="1166">
        <f t="shared" si="13"/>
        <v>45627</v>
      </c>
      <c r="C119" s="84">
        <f t="shared" si="14"/>
        <v>2.4374458007514477E-10</v>
      </c>
      <c r="D119" s="85">
        <f t="shared" si="11"/>
        <v>11086.016388888889</v>
      </c>
      <c r="E119" s="639"/>
    </row>
    <row r="120" spans="1:5">
      <c r="A120" s="1248">
        <f t="shared" si="12"/>
        <v>107</v>
      </c>
      <c r="D120"/>
      <c r="E120" s="639"/>
    </row>
    <row r="121" spans="1:5">
      <c r="A121" s="1248">
        <f t="shared" si="12"/>
        <v>108</v>
      </c>
      <c r="D121"/>
      <c r="E121" s="639"/>
    </row>
    <row r="122" spans="1:5" ht="15.75">
      <c r="A122" s="1248">
        <f t="shared" si="12"/>
        <v>109</v>
      </c>
      <c r="B122" s="1233" t="s">
        <v>1538</v>
      </c>
      <c r="C122" s="1296" t="s">
        <v>1680</v>
      </c>
      <c r="D122" s="1296"/>
      <c r="E122" s="639"/>
    </row>
    <row r="123" spans="1:5" s="1231" customFormat="1" ht="30">
      <c r="A123" s="1248">
        <f t="shared" si="12"/>
        <v>110</v>
      </c>
      <c r="C123" s="1232" t="s">
        <v>1539</v>
      </c>
      <c r="D123" s="1230" t="s">
        <v>1540</v>
      </c>
    </row>
    <row r="124" spans="1:5">
      <c r="A124" s="1248">
        <f t="shared" si="12"/>
        <v>111</v>
      </c>
      <c r="B124" s="680">
        <v>44075</v>
      </c>
      <c r="C124" s="84">
        <f t="shared" ref="C124:D136" si="15">C35</f>
        <v>168651.83499999996</v>
      </c>
      <c r="D124" s="84">
        <f t="shared" si="15"/>
        <v>9369.546388888888</v>
      </c>
      <c r="E124" s="639"/>
    </row>
    <row r="125" spans="1:5" ht="15" customHeight="1">
      <c r="A125" s="1248">
        <f t="shared" si="12"/>
        <v>112</v>
      </c>
      <c r="B125" s="1104">
        <f>EOMONTH(B124,0)+1</f>
        <v>44105</v>
      </c>
      <c r="C125" s="84">
        <f t="shared" si="15"/>
        <v>159282.28861111109</v>
      </c>
      <c r="D125" s="84">
        <f t="shared" si="15"/>
        <v>9369.546388888888</v>
      </c>
      <c r="E125" s="1293" t="s">
        <v>314</v>
      </c>
    </row>
    <row r="126" spans="1:5">
      <c r="A126" s="1248">
        <f t="shared" si="12"/>
        <v>113</v>
      </c>
      <c r="B126" s="1104">
        <f t="shared" ref="B126:B136" si="16">EOMONTH(B125,0)+1</f>
        <v>44136</v>
      </c>
      <c r="C126" s="84">
        <f t="shared" si="15"/>
        <v>149912.74222222221</v>
      </c>
      <c r="D126" s="84">
        <f t="shared" si="15"/>
        <v>9369.546388888888</v>
      </c>
      <c r="E126" s="1294"/>
    </row>
    <row r="127" spans="1:5">
      <c r="A127" s="1248">
        <f t="shared" si="12"/>
        <v>114</v>
      </c>
      <c r="B127" s="1104">
        <f t="shared" si="16"/>
        <v>44166</v>
      </c>
      <c r="C127" s="84">
        <f t="shared" si="15"/>
        <v>140543.19583333333</v>
      </c>
      <c r="D127" s="84">
        <f t="shared" si="15"/>
        <v>9369.546388888888</v>
      </c>
      <c r="E127" s="1294"/>
    </row>
    <row r="128" spans="1:5">
      <c r="A128" s="1248">
        <f t="shared" si="12"/>
        <v>115</v>
      </c>
      <c r="B128" s="1104">
        <f t="shared" si="16"/>
        <v>44197</v>
      </c>
      <c r="C128" s="84">
        <f t="shared" si="15"/>
        <v>131173.64944444445</v>
      </c>
      <c r="D128" s="84">
        <f t="shared" si="15"/>
        <v>9369.546388888888</v>
      </c>
      <c r="E128" s="1294"/>
    </row>
    <row r="129" spans="1:5">
      <c r="A129" s="1248">
        <f t="shared" si="12"/>
        <v>116</v>
      </c>
      <c r="B129" s="1104">
        <f t="shared" si="16"/>
        <v>44228</v>
      </c>
      <c r="C129" s="84">
        <f t="shared" si="15"/>
        <v>121804.10305555556</v>
      </c>
      <c r="D129" s="84">
        <f t="shared" si="15"/>
        <v>9369.546388888888</v>
      </c>
      <c r="E129" s="1294"/>
    </row>
    <row r="130" spans="1:5">
      <c r="A130" s="1248">
        <f t="shared" si="12"/>
        <v>117</v>
      </c>
      <c r="B130" s="1104">
        <f t="shared" si="16"/>
        <v>44256</v>
      </c>
      <c r="C130" s="84">
        <f t="shared" si="15"/>
        <v>112434.55666666667</v>
      </c>
      <c r="D130" s="84">
        <f t="shared" si="15"/>
        <v>9369.546388888888</v>
      </c>
      <c r="E130" s="1294"/>
    </row>
    <row r="131" spans="1:5">
      <c r="A131" s="1248">
        <f t="shared" si="12"/>
        <v>118</v>
      </c>
      <c r="B131" s="1104">
        <f t="shared" si="16"/>
        <v>44287</v>
      </c>
      <c r="C131" s="84">
        <f t="shared" si="15"/>
        <v>103065.01027777778</v>
      </c>
      <c r="D131" s="84">
        <f t="shared" si="15"/>
        <v>9369.546388888888</v>
      </c>
      <c r="E131" s="1294"/>
    </row>
    <row r="132" spans="1:5">
      <c r="A132" s="1248">
        <f t="shared" si="12"/>
        <v>119</v>
      </c>
      <c r="B132" s="1104">
        <f t="shared" si="16"/>
        <v>44317</v>
      </c>
      <c r="C132" s="84">
        <f t="shared" si="15"/>
        <v>93695.463888888888</v>
      </c>
      <c r="D132" s="84">
        <f t="shared" si="15"/>
        <v>9369.546388888888</v>
      </c>
      <c r="E132" s="1294"/>
    </row>
    <row r="133" spans="1:5">
      <c r="A133" s="1248">
        <f t="shared" si="12"/>
        <v>120</v>
      </c>
      <c r="B133" s="1104">
        <f t="shared" si="16"/>
        <v>44348</v>
      </c>
      <c r="C133" s="84">
        <f t="shared" si="15"/>
        <v>84325.917499999996</v>
      </c>
      <c r="D133" s="84">
        <f t="shared" si="15"/>
        <v>9369.546388888888</v>
      </c>
      <c r="E133" s="1294"/>
    </row>
    <row r="134" spans="1:5">
      <c r="A134" s="1248">
        <f t="shared" si="12"/>
        <v>121</v>
      </c>
      <c r="B134" s="1104">
        <f t="shared" si="16"/>
        <v>44378</v>
      </c>
      <c r="C134" s="84">
        <f t="shared" si="15"/>
        <v>74956.371111111104</v>
      </c>
      <c r="D134" s="84">
        <f t="shared" si="15"/>
        <v>9369.546388888888</v>
      </c>
      <c r="E134" s="1294"/>
    </row>
    <row r="135" spans="1:5">
      <c r="A135" s="1248">
        <f t="shared" si="12"/>
        <v>122</v>
      </c>
      <c r="B135" s="1104">
        <f t="shared" si="16"/>
        <v>44409</v>
      </c>
      <c r="C135" s="84">
        <f t="shared" si="15"/>
        <v>65586.824722222213</v>
      </c>
      <c r="D135" s="84">
        <f t="shared" si="15"/>
        <v>9369.546388888888</v>
      </c>
      <c r="E135" s="1294"/>
    </row>
    <row r="136" spans="1:5">
      <c r="A136" s="1248">
        <f t="shared" si="12"/>
        <v>123</v>
      </c>
      <c r="B136" s="1229">
        <f t="shared" si="16"/>
        <v>44440</v>
      </c>
      <c r="C136" s="87">
        <f t="shared" si="15"/>
        <v>56217.278333333321</v>
      </c>
      <c r="D136" s="1171">
        <f t="shared" si="15"/>
        <v>9369.546388888888</v>
      </c>
      <c r="E136" s="1295"/>
    </row>
    <row r="137" spans="1:5">
      <c r="A137" s="1248">
        <f t="shared" si="12"/>
        <v>124</v>
      </c>
      <c r="B137" s="1104">
        <f>EOMONTH(B136,0)+1</f>
        <v>44470</v>
      </c>
      <c r="C137" s="84">
        <f>C52</f>
        <v>46847.731944444429</v>
      </c>
      <c r="D137" s="84">
        <f>D52</f>
        <v>9369.546388888888</v>
      </c>
      <c r="E137" s="639"/>
    </row>
    <row r="138" spans="1:5">
      <c r="A138" s="1248">
        <f t="shared" si="12"/>
        <v>125</v>
      </c>
      <c r="B138" s="1104">
        <f t="shared" ref="B138:B178" si="17">EOMONTH(B137,0)+1</f>
        <v>44501</v>
      </c>
      <c r="C138" s="84">
        <f>C53</f>
        <v>37478.185555555538</v>
      </c>
      <c r="D138" s="84">
        <f>D53</f>
        <v>9369.546388888888</v>
      </c>
      <c r="E138" s="639"/>
    </row>
    <row r="139" spans="1:5">
      <c r="A139" s="1248">
        <f t="shared" si="12"/>
        <v>126</v>
      </c>
      <c r="B139" s="1229">
        <f t="shared" si="17"/>
        <v>44531</v>
      </c>
      <c r="C139" s="87">
        <f t="shared" ref="C139:D151" si="18">C54+C79</f>
        <v>28108.63916666665</v>
      </c>
      <c r="D139" s="87">
        <f t="shared" si="18"/>
        <v>9369.546388888888</v>
      </c>
      <c r="E139" s="639"/>
    </row>
    <row r="140" spans="1:5" ht="15" customHeight="1">
      <c r="A140" s="1248">
        <f t="shared" si="12"/>
        <v>127</v>
      </c>
      <c r="B140" s="1104">
        <f t="shared" si="17"/>
        <v>44562</v>
      </c>
      <c r="C140" s="84">
        <f t="shared" si="18"/>
        <v>406749.6663888889</v>
      </c>
      <c r="D140" s="84">
        <f t="shared" si="18"/>
        <v>20455.562777777777</v>
      </c>
      <c r="E140" s="1290" t="s">
        <v>1197</v>
      </c>
    </row>
    <row r="141" spans="1:5">
      <c r="A141" s="1248">
        <f t="shared" si="12"/>
        <v>128</v>
      </c>
      <c r="B141" s="1104">
        <f t="shared" si="17"/>
        <v>44593</v>
      </c>
      <c r="C141" s="84">
        <f t="shared" si="18"/>
        <v>386294.10361111112</v>
      </c>
      <c r="D141" s="84">
        <f t="shared" si="18"/>
        <v>20455.562777777777</v>
      </c>
      <c r="E141" s="1291"/>
    </row>
    <row r="142" spans="1:5">
      <c r="A142" s="1248">
        <f t="shared" si="12"/>
        <v>129</v>
      </c>
      <c r="B142" s="1104">
        <f t="shared" si="17"/>
        <v>44621</v>
      </c>
      <c r="C142" s="84">
        <f t="shared" si="18"/>
        <v>365838.54083333339</v>
      </c>
      <c r="D142" s="84">
        <f t="shared" si="18"/>
        <v>20455.562777777777</v>
      </c>
      <c r="E142" s="1291"/>
    </row>
    <row r="143" spans="1:5">
      <c r="A143" s="1248">
        <f t="shared" si="12"/>
        <v>130</v>
      </c>
      <c r="B143" s="1104">
        <f t="shared" si="17"/>
        <v>44652</v>
      </c>
      <c r="C143" s="84">
        <f t="shared" si="18"/>
        <v>354752.52444444451</v>
      </c>
      <c r="D143" s="84">
        <f t="shared" si="18"/>
        <v>11086.016388888889</v>
      </c>
      <c r="E143" s="1291"/>
    </row>
    <row r="144" spans="1:5">
      <c r="A144" s="1248">
        <f t="shared" si="12"/>
        <v>131</v>
      </c>
      <c r="B144" s="1104">
        <f t="shared" si="17"/>
        <v>44682</v>
      </c>
      <c r="C144" s="84">
        <f t="shared" si="18"/>
        <v>343666.50805555563</v>
      </c>
      <c r="D144" s="84">
        <f t="shared" si="18"/>
        <v>11086.016388888889</v>
      </c>
      <c r="E144" s="1291"/>
    </row>
    <row r="145" spans="1:5">
      <c r="A145" s="1248">
        <f t="shared" si="12"/>
        <v>132</v>
      </c>
      <c r="B145" s="1104">
        <f t="shared" si="17"/>
        <v>44713</v>
      </c>
      <c r="C145" s="84">
        <f t="shared" si="18"/>
        <v>332580.49166666676</v>
      </c>
      <c r="D145" s="84">
        <f t="shared" si="18"/>
        <v>11086.016388888889</v>
      </c>
      <c r="E145" s="1291"/>
    </row>
    <row r="146" spans="1:5">
      <c r="A146" s="1248">
        <f t="shared" si="12"/>
        <v>133</v>
      </c>
      <c r="B146" s="1104">
        <f t="shared" si="17"/>
        <v>44743</v>
      </c>
      <c r="C146" s="84">
        <f t="shared" si="18"/>
        <v>321494.47527777788</v>
      </c>
      <c r="D146" s="84">
        <f t="shared" si="18"/>
        <v>11086.016388888889</v>
      </c>
      <c r="E146" s="1291"/>
    </row>
    <row r="147" spans="1:5">
      <c r="A147" s="1248">
        <f t="shared" si="12"/>
        <v>134</v>
      </c>
      <c r="B147" s="1104">
        <f t="shared" si="17"/>
        <v>44774</v>
      </c>
      <c r="C147" s="84">
        <f t="shared" si="18"/>
        <v>310408.458888889</v>
      </c>
      <c r="D147" s="84">
        <f t="shared" si="18"/>
        <v>11086.016388888889</v>
      </c>
      <c r="E147" s="1291"/>
    </row>
    <row r="148" spans="1:5">
      <c r="A148" s="1248">
        <f t="shared" si="12"/>
        <v>135</v>
      </c>
      <c r="B148" s="1104">
        <f t="shared" si="17"/>
        <v>44805</v>
      </c>
      <c r="C148" s="84">
        <f t="shared" si="18"/>
        <v>299322.44250000012</v>
      </c>
      <c r="D148" s="84">
        <f t="shared" si="18"/>
        <v>11086.016388888889</v>
      </c>
      <c r="E148" s="1291"/>
    </row>
    <row r="149" spans="1:5">
      <c r="A149" s="1248">
        <f t="shared" si="12"/>
        <v>136</v>
      </c>
      <c r="B149" s="1104">
        <f t="shared" si="17"/>
        <v>44835</v>
      </c>
      <c r="C149" s="84">
        <f t="shared" si="18"/>
        <v>288236.42611111124</v>
      </c>
      <c r="D149" s="84">
        <f t="shared" si="18"/>
        <v>11086.016388888889</v>
      </c>
      <c r="E149" s="1291"/>
    </row>
    <row r="150" spans="1:5">
      <c r="A150" s="1248">
        <f t="shared" si="12"/>
        <v>137</v>
      </c>
      <c r="B150" s="1104">
        <f t="shared" si="17"/>
        <v>44866</v>
      </c>
      <c r="C150" s="84">
        <f t="shared" si="18"/>
        <v>277150.40972222236</v>
      </c>
      <c r="D150" s="84">
        <f t="shared" si="18"/>
        <v>11086.016388888889</v>
      </c>
      <c r="E150" s="1291"/>
    </row>
    <row r="151" spans="1:5">
      <c r="A151" s="1248">
        <f t="shared" si="12"/>
        <v>138</v>
      </c>
      <c r="B151" s="1104">
        <f t="shared" si="17"/>
        <v>44896</v>
      </c>
      <c r="C151" s="1170">
        <f t="shared" si="18"/>
        <v>266064.39333333349</v>
      </c>
      <c r="D151" s="1171">
        <f t="shared" si="18"/>
        <v>11086.016388888889</v>
      </c>
      <c r="E151" s="1292"/>
    </row>
    <row r="152" spans="1:5">
      <c r="A152" s="1248">
        <f t="shared" si="12"/>
        <v>139</v>
      </c>
      <c r="B152" s="680"/>
      <c r="C152" s="646">
        <f>AVERAGE(C139:C151)</f>
        <v>306205.16000000009</v>
      </c>
      <c r="D152" s="646">
        <f>SUM(D140:D151)</f>
        <v>161140.83583333332</v>
      </c>
      <c r="E152" s="639"/>
    </row>
    <row r="153" spans="1:5">
      <c r="A153" s="1248">
        <f t="shared" si="12"/>
        <v>140</v>
      </c>
      <c r="B153" s="680"/>
      <c r="C153" s="639" t="s">
        <v>1388</v>
      </c>
      <c r="D153" s="950" t="s">
        <v>1570</v>
      </c>
      <c r="E153" s="639"/>
    </row>
    <row r="154" spans="1:5">
      <c r="A154" s="1248">
        <f t="shared" si="12"/>
        <v>141</v>
      </c>
      <c r="B154" s="680"/>
      <c r="C154" s="477"/>
      <c r="D154" s="477"/>
      <c r="E154" s="639"/>
    </row>
    <row r="155" spans="1:5">
      <c r="A155" s="1248">
        <f t="shared" si="12"/>
        <v>142</v>
      </c>
      <c r="B155" s="1166">
        <f>EOMONTH(B151,0)+1</f>
        <v>44927</v>
      </c>
      <c r="C155" s="84">
        <f t="shared" ref="C155:D163" si="19">C96+C67</f>
        <v>254978.37694444461</v>
      </c>
      <c r="D155" s="84">
        <f t="shared" si="19"/>
        <v>11086.016388888889</v>
      </c>
      <c r="E155" s="639"/>
    </row>
    <row r="156" spans="1:5">
      <c r="A156" s="1248">
        <f t="shared" si="12"/>
        <v>143</v>
      </c>
      <c r="B156" s="1166">
        <f t="shared" si="17"/>
        <v>44958</v>
      </c>
      <c r="C156" s="84">
        <f t="shared" si="19"/>
        <v>243892.36055555573</v>
      </c>
      <c r="D156" s="84">
        <f t="shared" si="19"/>
        <v>11086.016388888889</v>
      </c>
      <c r="E156" s="639"/>
    </row>
    <row r="157" spans="1:5">
      <c r="A157" s="1248">
        <f t="shared" si="12"/>
        <v>144</v>
      </c>
      <c r="B157" s="1166">
        <f t="shared" si="17"/>
        <v>44986</v>
      </c>
      <c r="C157" s="84">
        <f t="shared" si="19"/>
        <v>232806.34416666685</v>
      </c>
      <c r="D157" s="84">
        <f t="shared" si="19"/>
        <v>11086.016388888889</v>
      </c>
      <c r="E157" s="639"/>
    </row>
    <row r="158" spans="1:5">
      <c r="A158" s="1248">
        <f t="shared" si="12"/>
        <v>145</v>
      </c>
      <c r="B158" s="1166">
        <f t="shared" si="17"/>
        <v>45017</v>
      </c>
      <c r="C158" s="84">
        <f t="shared" si="19"/>
        <v>221720.32777777797</v>
      </c>
      <c r="D158" s="84">
        <f t="shared" si="19"/>
        <v>11086.016388888889</v>
      </c>
      <c r="E158" s="639"/>
    </row>
    <row r="159" spans="1:5">
      <c r="A159" s="1248">
        <f t="shared" si="12"/>
        <v>146</v>
      </c>
      <c r="B159" s="1166">
        <f t="shared" si="17"/>
        <v>45047</v>
      </c>
      <c r="C159" s="84">
        <f t="shared" si="19"/>
        <v>210634.31138888909</v>
      </c>
      <c r="D159" s="84">
        <f t="shared" si="19"/>
        <v>11086.016388888889</v>
      </c>
      <c r="E159" s="639"/>
    </row>
    <row r="160" spans="1:5">
      <c r="A160" s="1248">
        <f t="shared" si="12"/>
        <v>147</v>
      </c>
      <c r="B160" s="1166">
        <f t="shared" si="17"/>
        <v>45078</v>
      </c>
      <c r="C160" s="84">
        <f t="shared" si="19"/>
        <v>199548.29500000022</v>
      </c>
      <c r="D160" s="84">
        <f t="shared" si="19"/>
        <v>11086.016388888889</v>
      </c>
      <c r="E160" s="639"/>
    </row>
    <row r="161" spans="1:5">
      <c r="A161" s="1248">
        <f t="shared" ref="A161:A178" si="20">A160+1</f>
        <v>148</v>
      </c>
      <c r="B161" s="1166">
        <f t="shared" si="17"/>
        <v>45108</v>
      </c>
      <c r="C161" s="84">
        <f t="shared" si="19"/>
        <v>188462.27861111134</v>
      </c>
      <c r="D161" s="84">
        <f t="shared" si="19"/>
        <v>11086.016388888889</v>
      </c>
      <c r="E161" s="639"/>
    </row>
    <row r="162" spans="1:5">
      <c r="A162" s="1248">
        <f t="shared" si="20"/>
        <v>149</v>
      </c>
      <c r="B162" s="1166">
        <f t="shared" si="17"/>
        <v>45139</v>
      </c>
      <c r="C162" s="84">
        <f t="shared" si="19"/>
        <v>177376.26222222246</v>
      </c>
      <c r="D162" s="84">
        <f t="shared" si="19"/>
        <v>11086.016388888889</v>
      </c>
      <c r="E162" s="639"/>
    </row>
    <row r="163" spans="1:5">
      <c r="A163" s="1248">
        <f t="shared" si="20"/>
        <v>150</v>
      </c>
      <c r="B163" s="1166">
        <f t="shared" si="17"/>
        <v>45170</v>
      </c>
      <c r="C163" s="84">
        <f t="shared" si="19"/>
        <v>166290.24583333358</v>
      </c>
      <c r="D163" s="84">
        <f t="shared" si="19"/>
        <v>11086.016388888889</v>
      </c>
      <c r="E163" s="639"/>
    </row>
    <row r="164" spans="1:5">
      <c r="A164" s="1248">
        <f t="shared" si="20"/>
        <v>151</v>
      </c>
      <c r="B164" s="1166">
        <f t="shared" si="17"/>
        <v>45200</v>
      </c>
      <c r="C164" s="84">
        <f t="shared" ref="C164:D178" si="21">C105</f>
        <v>155204.2294444447</v>
      </c>
      <c r="D164" s="84">
        <f t="shared" si="21"/>
        <v>11086.016388888889</v>
      </c>
      <c r="E164" s="639"/>
    </row>
    <row r="165" spans="1:5">
      <c r="A165" s="1248">
        <f t="shared" si="20"/>
        <v>152</v>
      </c>
      <c r="B165" s="1166">
        <f t="shared" si="17"/>
        <v>45231</v>
      </c>
      <c r="C165" s="84">
        <f t="shared" si="21"/>
        <v>144118.21305555583</v>
      </c>
      <c r="D165" s="84">
        <f t="shared" si="21"/>
        <v>11086.016388888889</v>
      </c>
      <c r="E165" s="639"/>
    </row>
    <row r="166" spans="1:5">
      <c r="A166" s="1248">
        <f t="shared" si="20"/>
        <v>153</v>
      </c>
      <c r="B166" s="1166">
        <f t="shared" si="17"/>
        <v>45261</v>
      </c>
      <c r="C166" s="84">
        <f t="shared" si="21"/>
        <v>133032.19666666695</v>
      </c>
      <c r="D166" s="84">
        <f t="shared" si="21"/>
        <v>11086.016388888889</v>
      </c>
      <c r="E166" s="639"/>
    </row>
    <row r="167" spans="1:5">
      <c r="A167" s="1248">
        <f t="shared" si="20"/>
        <v>154</v>
      </c>
      <c r="B167" s="1166">
        <f t="shared" si="17"/>
        <v>45292</v>
      </c>
      <c r="C167" s="84">
        <f t="shared" si="21"/>
        <v>121946.18027777805</v>
      </c>
      <c r="D167" s="84">
        <f t="shared" si="21"/>
        <v>11086.016388888889</v>
      </c>
      <c r="E167" s="639"/>
    </row>
    <row r="168" spans="1:5">
      <c r="A168" s="1248">
        <f t="shared" si="20"/>
        <v>155</v>
      </c>
      <c r="B168" s="1166">
        <f t="shared" si="17"/>
        <v>45323</v>
      </c>
      <c r="C168" s="84">
        <f t="shared" si="21"/>
        <v>110860.16388888916</v>
      </c>
      <c r="D168" s="84">
        <f t="shared" si="21"/>
        <v>11086.016388888889</v>
      </c>
      <c r="E168" s="639"/>
    </row>
    <row r="169" spans="1:5">
      <c r="A169" s="1248">
        <f t="shared" si="20"/>
        <v>156</v>
      </c>
      <c r="B169" s="1166">
        <f t="shared" si="17"/>
        <v>45352</v>
      </c>
      <c r="C169" s="84">
        <f t="shared" si="21"/>
        <v>99774.147500000268</v>
      </c>
      <c r="D169" s="84">
        <f t="shared" si="21"/>
        <v>11086.016388888889</v>
      </c>
      <c r="E169" s="639"/>
    </row>
    <row r="170" spans="1:5">
      <c r="A170" s="1248">
        <f t="shared" si="20"/>
        <v>157</v>
      </c>
      <c r="B170" s="1166">
        <f t="shared" si="17"/>
        <v>45383</v>
      </c>
      <c r="C170" s="84">
        <f t="shared" si="21"/>
        <v>88688.131111111376</v>
      </c>
      <c r="D170" s="84">
        <f t="shared" si="21"/>
        <v>11086.016388888889</v>
      </c>
      <c r="E170" s="639"/>
    </row>
    <row r="171" spans="1:5">
      <c r="A171" s="1248">
        <f t="shared" si="20"/>
        <v>158</v>
      </c>
      <c r="B171" s="1166">
        <f t="shared" si="17"/>
        <v>45413</v>
      </c>
      <c r="C171" s="84">
        <f t="shared" si="21"/>
        <v>77602.114722222483</v>
      </c>
      <c r="D171" s="84">
        <f t="shared" si="21"/>
        <v>11086.016388888889</v>
      </c>
      <c r="E171" s="639"/>
    </row>
    <row r="172" spans="1:5">
      <c r="A172" s="1248">
        <f t="shared" si="20"/>
        <v>159</v>
      </c>
      <c r="B172" s="1166">
        <f t="shared" si="17"/>
        <v>45444</v>
      </c>
      <c r="C172" s="84">
        <f t="shared" si="21"/>
        <v>66516.09833333359</v>
      </c>
      <c r="D172" s="84">
        <f t="shared" si="21"/>
        <v>11086.016388888889</v>
      </c>
      <c r="E172" s="639"/>
    </row>
    <row r="173" spans="1:5">
      <c r="A173" s="1248">
        <f t="shared" si="20"/>
        <v>160</v>
      </c>
      <c r="B173" s="1166">
        <f t="shared" si="17"/>
        <v>45474</v>
      </c>
      <c r="C173" s="84">
        <f t="shared" si="21"/>
        <v>55430.081944444697</v>
      </c>
      <c r="D173" s="84">
        <f t="shared" si="21"/>
        <v>11086.016388888889</v>
      </c>
      <c r="E173" s="639"/>
    </row>
    <row r="174" spans="1:5">
      <c r="A174" s="1248">
        <f t="shared" si="20"/>
        <v>161</v>
      </c>
      <c r="B174" s="1166">
        <f t="shared" si="17"/>
        <v>45505</v>
      </c>
      <c r="C174" s="84">
        <f t="shared" si="21"/>
        <v>44344.065555555804</v>
      </c>
      <c r="D174" s="84">
        <f t="shared" si="21"/>
        <v>11086.016388888889</v>
      </c>
      <c r="E174" s="639"/>
    </row>
    <row r="175" spans="1:5">
      <c r="A175" s="1248">
        <f t="shared" si="20"/>
        <v>162</v>
      </c>
      <c r="B175" s="1166">
        <f t="shared" si="17"/>
        <v>45536</v>
      </c>
      <c r="C175" s="84">
        <f t="shared" si="21"/>
        <v>33258.049166666911</v>
      </c>
      <c r="D175" s="84">
        <f t="shared" si="21"/>
        <v>11086.016388888889</v>
      </c>
      <c r="E175" s="639"/>
    </row>
    <row r="176" spans="1:5">
      <c r="A176" s="1248">
        <f t="shared" si="20"/>
        <v>163</v>
      </c>
      <c r="B176" s="1166">
        <f t="shared" si="17"/>
        <v>45566</v>
      </c>
      <c r="C176" s="84">
        <f t="shared" si="21"/>
        <v>22172.032777778022</v>
      </c>
      <c r="D176" s="84">
        <f t="shared" si="21"/>
        <v>11086.016388888889</v>
      </c>
      <c r="E176" s="639"/>
    </row>
    <row r="177" spans="1:5">
      <c r="A177" s="1248">
        <f t="shared" si="20"/>
        <v>164</v>
      </c>
      <c r="B177" s="1166">
        <f t="shared" si="17"/>
        <v>45597</v>
      </c>
      <c r="C177" s="84">
        <f t="shared" si="21"/>
        <v>11086.016388889133</v>
      </c>
      <c r="D177" s="84">
        <f t="shared" si="21"/>
        <v>11086.016388888889</v>
      </c>
      <c r="E177" s="639"/>
    </row>
    <row r="178" spans="1:5">
      <c r="A178" s="1248">
        <f t="shared" si="20"/>
        <v>165</v>
      </c>
      <c r="B178" s="1166">
        <f t="shared" si="17"/>
        <v>45627</v>
      </c>
      <c r="C178" s="84">
        <f t="shared" si="21"/>
        <v>2.4374458007514477E-10</v>
      </c>
      <c r="D178" s="84">
        <f t="shared" si="21"/>
        <v>11086.016388888889</v>
      </c>
      <c r="E178" s="639"/>
    </row>
    <row r="182" spans="1:5">
      <c r="B182" t="s">
        <v>1602</v>
      </c>
    </row>
    <row r="183" spans="1:5">
      <c r="B183" s="639" t="s">
        <v>1590</v>
      </c>
    </row>
    <row r="185" spans="1:5">
      <c r="B185" s="639" t="s">
        <v>1589</v>
      </c>
    </row>
  </sheetData>
  <mergeCells count="8">
    <mergeCell ref="A1:E1"/>
    <mergeCell ref="A2:E2"/>
    <mergeCell ref="A3:E3"/>
    <mergeCell ref="E140:E151"/>
    <mergeCell ref="E125:E136"/>
    <mergeCell ref="C122:D122"/>
    <mergeCell ref="C77:D77"/>
    <mergeCell ref="C33:D33"/>
  </mergeCells>
  <phoneticPr fontId="21" type="noConversion"/>
  <printOptions horizontalCentered="1"/>
  <pageMargins left="1" right="0.87" top="1" bottom="1" header="0.5" footer="0.5"/>
  <pageSetup scale="63" fitToWidth="0" fitToHeight="0" orientation="portrait" verticalDpi="300" r:id="rId1"/>
  <headerFooter alignWithMargins="0">
    <oddFooter>&amp;RSchedule &amp;A
Page &amp;P of &amp;N</oddFooter>
  </headerFooter>
  <rowBreaks count="3" manualBreakCount="3">
    <brk id="31" max="16383" man="1"/>
    <brk id="75" max="4" man="1"/>
    <brk id="120" max="4" man="1"/>
  </rowBreaks>
  <colBreaks count="3" manualBreakCount="3">
    <brk id="5" max="67" man="1"/>
    <brk id="11" max="67" man="1"/>
    <brk id="15" max="67" man="1"/>
  </colBreak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46">
    <pageSetUpPr fitToPage="1"/>
  </sheetPr>
  <dimension ref="A1:L56"/>
  <sheetViews>
    <sheetView view="pageBreakPreview" topLeftCell="A16" zoomScale="80" zoomScaleNormal="100" zoomScaleSheetLayoutView="80" workbookViewId="0">
      <selection sqref="A1:I1"/>
    </sheetView>
  </sheetViews>
  <sheetFormatPr defaultColWidth="8.88671875" defaultRowHeight="15"/>
  <cols>
    <col min="1" max="1" width="5.21875" style="72" customWidth="1"/>
    <col min="2" max="2" width="24.6640625" style="72" customWidth="1"/>
    <col min="3" max="3" width="9.5546875" style="72" bestFit="1" customWidth="1"/>
    <col min="4" max="4" width="11.6640625" style="72" customWidth="1"/>
    <col min="5" max="5" width="9.44140625" style="72" customWidth="1"/>
    <col min="6" max="6" width="4.109375" style="72" customWidth="1"/>
    <col min="7" max="7" width="11" style="72" customWidth="1"/>
    <col min="8" max="8" width="10.77734375" style="72" customWidth="1"/>
    <col min="9" max="9" width="10.109375" style="72" customWidth="1"/>
    <col min="10" max="16384" width="8.88671875" style="72"/>
  </cols>
  <sheetData>
    <row r="1" spans="1:12" ht="15.75">
      <c r="A1" s="1286" t="str">
        <f>'Table of Contents'!A1:C1</f>
        <v>Atmos Energy Corporation, Kentucky/Mid-States Division</v>
      </c>
      <c r="B1" s="1286"/>
      <c r="C1" s="1286"/>
      <c r="D1" s="1286"/>
      <c r="E1" s="1286"/>
      <c r="F1" s="1286"/>
      <c r="G1" s="1286"/>
      <c r="H1" s="1286"/>
      <c r="I1" s="1286"/>
      <c r="J1" s="95"/>
    </row>
    <row r="2" spans="1:12" ht="15.75">
      <c r="A2" s="1286" t="str">
        <f>'Table of Contents'!A2:C2</f>
        <v>Kentucky Jurisdiction Case No. 2021-00214</v>
      </c>
      <c r="B2" s="1286"/>
      <c r="C2" s="1286"/>
      <c r="D2" s="1286"/>
      <c r="E2" s="1286"/>
      <c r="F2" s="1286"/>
      <c r="G2" s="1286"/>
      <c r="H2" s="1286"/>
      <c r="I2" s="1286"/>
      <c r="J2" s="95"/>
    </row>
    <row r="3" spans="1:12" ht="15.75">
      <c r="A3" s="1286" t="s">
        <v>39</v>
      </c>
      <c r="B3" s="1286"/>
      <c r="C3" s="1286"/>
      <c r="D3" s="1286"/>
      <c r="E3" s="1286"/>
      <c r="F3" s="1286"/>
      <c r="G3" s="1286"/>
      <c r="H3" s="1286"/>
      <c r="I3" s="1286"/>
      <c r="J3" s="95"/>
    </row>
    <row r="4" spans="1:12" ht="15.75">
      <c r="A4" s="1286" t="str">
        <f>'Table of Contents'!A3:C3</f>
        <v>Base Period: Twelve Months Ended September 30, 2021</v>
      </c>
      <c r="B4" s="1286"/>
      <c r="C4" s="1286"/>
      <c r="D4" s="1286"/>
      <c r="E4" s="1286"/>
      <c r="F4" s="1286"/>
      <c r="G4" s="1286"/>
      <c r="H4" s="1286"/>
      <c r="I4" s="1286"/>
      <c r="J4" s="95"/>
    </row>
    <row r="5" spans="1:12" ht="15.75">
      <c r="A5" s="1286" t="str">
        <f>'Table of Contents'!A4:C4</f>
        <v>Forecasted Test Period: Twelve Months Ended December 31, 2022</v>
      </c>
      <c r="B5" s="1286"/>
      <c r="C5" s="1286"/>
      <c r="D5" s="1286"/>
      <c r="E5" s="1286"/>
      <c r="F5" s="1286"/>
      <c r="G5" s="1286"/>
      <c r="H5" s="1286"/>
      <c r="I5" s="1286"/>
      <c r="J5" s="95"/>
    </row>
    <row r="6" spans="1:12" ht="15.75">
      <c r="A6" s="744"/>
      <c r="B6" s="744"/>
      <c r="C6" s="95"/>
      <c r="D6" s="95"/>
      <c r="E6" s="95"/>
      <c r="F6" s="95"/>
      <c r="G6" s="95"/>
      <c r="H6" s="95"/>
      <c r="I6" s="95"/>
      <c r="J6" s="95"/>
      <c r="L6" s="557"/>
    </row>
    <row r="7" spans="1:12" ht="15.75">
      <c r="A7" s="744"/>
      <c r="B7" s="744"/>
      <c r="C7" s="95"/>
      <c r="D7" s="729"/>
      <c r="F7" s="95"/>
      <c r="G7" s="95"/>
      <c r="I7" s="95"/>
      <c r="J7" s="95"/>
      <c r="L7" s="557"/>
    </row>
    <row r="8" spans="1:12">
      <c r="A8" s="561" t="s">
        <v>135</v>
      </c>
      <c r="B8" s="95"/>
      <c r="C8" s="95"/>
      <c r="D8" s="95"/>
      <c r="E8" s="95"/>
      <c r="F8" s="95"/>
      <c r="G8" s="95"/>
      <c r="I8" s="150" t="s">
        <v>1353</v>
      </c>
      <c r="J8" s="95"/>
    </row>
    <row r="9" spans="1:12">
      <c r="A9" s="561" t="s">
        <v>1104</v>
      </c>
      <c r="B9" s="95"/>
      <c r="C9" s="95"/>
      <c r="D9" s="95"/>
      <c r="E9" s="95"/>
      <c r="F9" s="95"/>
      <c r="G9" s="95"/>
      <c r="I9" s="745" t="s">
        <v>568</v>
      </c>
      <c r="J9" s="95"/>
    </row>
    <row r="10" spans="1:12">
      <c r="A10" s="561" t="s">
        <v>423</v>
      </c>
      <c r="B10" s="95"/>
      <c r="C10" s="95"/>
      <c r="D10" s="95"/>
      <c r="E10" s="95"/>
      <c r="F10" s="95"/>
      <c r="G10" s="95"/>
      <c r="H10" s="650"/>
      <c r="I10" s="745" t="str">
        <f>F.1!$I$9</f>
        <v>Witness: Christian</v>
      </c>
      <c r="J10" s="95"/>
    </row>
    <row r="11" spans="1:12" ht="15.75">
      <c r="A11" s="747"/>
      <c r="B11" s="747"/>
      <c r="C11" s="748"/>
      <c r="D11" s="749" t="s">
        <v>322</v>
      </c>
      <c r="E11" s="750"/>
      <c r="F11" s="747"/>
      <c r="G11" s="748"/>
      <c r="H11" s="749" t="s">
        <v>323</v>
      </c>
      <c r="I11" s="750"/>
      <c r="J11" s="95"/>
      <c r="L11" s="557"/>
    </row>
    <row r="12" spans="1:12">
      <c r="A12" s="112" t="s">
        <v>92</v>
      </c>
      <c r="B12" s="112" t="s">
        <v>566</v>
      </c>
      <c r="C12" s="112" t="s">
        <v>95</v>
      </c>
      <c r="D12" s="686" t="s">
        <v>11</v>
      </c>
      <c r="E12" s="777" t="s">
        <v>12</v>
      </c>
      <c r="F12" s="777"/>
      <c r="G12" s="112" t="s">
        <v>95</v>
      </c>
      <c r="H12" s="1036" t="str">
        <f>D12</f>
        <v xml:space="preserve">Kentucky </v>
      </c>
      <c r="I12" s="777" t="s">
        <v>968</v>
      </c>
      <c r="J12" s="95"/>
    </row>
    <row r="13" spans="1:12">
      <c r="A13" s="527" t="s">
        <v>98</v>
      </c>
      <c r="B13" s="527" t="s">
        <v>1065</v>
      </c>
      <c r="C13" s="527" t="s">
        <v>588</v>
      </c>
      <c r="D13" s="751" t="s">
        <v>96</v>
      </c>
      <c r="E13" s="527" t="s">
        <v>103</v>
      </c>
      <c r="F13" s="527"/>
      <c r="G13" s="527" t="s">
        <v>588</v>
      </c>
      <c r="H13" s="527" t="str">
        <f>D13</f>
        <v>Jurisdictional</v>
      </c>
      <c r="I13" s="527" t="s">
        <v>103</v>
      </c>
      <c r="J13" s="95"/>
      <c r="L13" s="557"/>
    </row>
    <row r="14" spans="1:12">
      <c r="A14" s="95"/>
      <c r="B14" s="95"/>
      <c r="C14" s="95"/>
      <c r="D14" s="95"/>
      <c r="E14" s="95"/>
      <c r="F14" s="95"/>
      <c r="G14" s="95"/>
      <c r="H14" s="95"/>
      <c r="I14" s="95"/>
      <c r="J14" s="95"/>
    </row>
    <row r="15" spans="1:12" ht="15.75">
      <c r="A15" s="472">
        <v>1</v>
      </c>
      <c r="B15" s="902" t="s">
        <v>192</v>
      </c>
      <c r="C15" s="323"/>
      <c r="D15" s="66"/>
      <c r="E15" s="326"/>
      <c r="F15" s="66"/>
      <c r="G15" s="323"/>
      <c r="H15" s="66"/>
      <c r="I15" s="326"/>
      <c r="J15" s="862"/>
    </row>
    <row r="16" spans="1:12">
      <c r="A16" s="472">
        <v>2</v>
      </c>
      <c r="B16" s="352" t="s">
        <v>569</v>
      </c>
      <c r="C16" s="290">
        <v>0</v>
      </c>
      <c r="D16" s="356">
        <v>1</v>
      </c>
      <c r="E16" s="290">
        <f>C16*D16</f>
        <v>0</v>
      </c>
      <c r="F16" s="66"/>
      <c r="G16" s="290">
        <v>0</v>
      </c>
      <c r="H16" s="356">
        <f>D16</f>
        <v>1</v>
      </c>
      <c r="I16" s="290">
        <f>G16*H16</f>
        <v>0</v>
      </c>
      <c r="J16" s="862"/>
    </row>
    <row r="17" spans="1:10">
      <c r="A17" s="472">
        <v>3</v>
      </c>
      <c r="B17" s="352" t="s">
        <v>570</v>
      </c>
      <c r="C17" s="323">
        <v>0</v>
      </c>
      <c r="D17" s="356">
        <f>$D$16</f>
        <v>1</v>
      </c>
      <c r="E17" s="323">
        <f>C17*D17</f>
        <v>0</v>
      </c>
      <c r="F17" s="66"/>
      <c r="G17" s="323">
        <v>0</v>
      </c>
      <c r="H17" s="356">
        <f>D17</f>
        <v>1</v>
      </c>
      <c r="I17" s="323">
        <f>G17*H17</f>
        <v>0</v>
      </c>
      <c r="J17" s="903"/>
    </row>
    <row r="18" spans="1:10">
      <c r="A18" s="472">
        <v>4</v>
      </c>
      <c r="B18" s="352" t="s">
        <v>658</v>
      </c>
      <c r="C18" s="326">
        <f>'[21]Base Year Acct 4264'!$S$102</f>
        <v>46289.94</v>
      </c>
      <c r="D18" s="356">
        <f>$D$16</f>
        <v>1</v>
      </c>
      <c r="E18" s="326">
        <f>C18*D18</f>
        <v>46289.94</v>
      </c>
      <c r="F18" s="66"/>
      <c r="G18" s="326">
        <f>C18</f>
        <v>46289.94</v>
      </c>
      <c r="H18" s="356">
        <f>D18</f>
        <v>1</v>
      </c>
      <c r="I18" s="326">
        <f>G18*H18</f>
        <v>46289.94</v>
      </c>
      <c r="J18" s="904"/>
    </row>
    <row r="19" spans="1:10">
      <c r="A19" s="472">
        <v>5</v>
      </c>
      <c r="B19" s="352" t="s">
        <v>579</v>
      </c>
      <c r="C19" s="354">
        <v>0</v>
      </c>
      <c r="D19" s="356">
        <f>$D$16</f>
        <v>1</v>
      </c>
      <c r="E19" s="354">
        <f>C19*D19</f>
        <v>0</v>
      </c>
      <c r="F19" s="66"/>
      <c r="G19" s="354">
        <v>0</v>
      </c>
      <c r="H19" s="356">
        <f>D19</f>
        <v>1</v>
      </c>
      <c r="I19" s="354">
        <f>G19*H19</f>
        <v>0</v>
      </c>
      <c r="J19" s="651"/>
    </row>
    <row r="20" spans="1:10">
      <c r="A20" s="472">
        <v>6</v>
      </c>
      <c r="B20" s="353" t="s">
        <v>95</v>
      </c>
      <c r="C20" s="420">
        <f>SUM(C16:C19)</f>
        <v>46289.94</v>
      </c>
      <c r="D20" s="66"/>
      <c r="E20" s="420">
        <f>SUM(E16:E19)</f>
        <v>46289.94</v>
      </c>
      <c r="F20" s="66"/>
      <c r="G20" s="420">
        <f>SUM(G16:G19)</f>
        <v>46289.94</v>
      </c>
      <c r="H20" s="66"/>
      <c r="I20" s="420">
        <f>SUM(I16:I19)</f>
        <v>46289.94</v>
      </c>
      <c r="J20" s="651"/>
    </row>
    <row r="21" spans="1:10">
      <c r="A21" s="472">
        <v>7</v>
      </c>
      <c r="C21" s="323"/>
      <c r="D21" s="66"/>
      <c r="E21" s="323"/>
      <c r="F21" s="66"/>
      <c r="G21" s="323"/>
      <c r="H21" s="66"/>
      <c r="I21" s="323"/>
      <c r="J21" s="651"/>
    </row>
    <row r="22" spans="1:10" ht="15.75">
      <c r="A22" s="472">
        <v>8</v>
      </c>
      <c r="B22" s="902" t="s">
        <v>77</v>
      </c>
      <c r="C22" s="326"/>
      <c r="D22" s="66"/>
      <c r="E22" s="326"/>
      <c r="F22" s="66"/>
      <c r="G22" s="326"/>
      <c r="H22" s="66"/>
      <c r="I22" s="326"/>
      <c r="J22" s="862"/>
    </row>
    <row r="23" spans="1:10">
      <c r="A23" s="472">
        <v>9</v>
      </c>
      <c r="B23" s="352" t="s">
        <v>569</v>
      </c>
      <c r="C23" s="290">
        <v>0</v>
      </c>
      <c r="D23" s="357">
        <f>Allocation!$I$17</f>
        <v>0.50419999999999998</v>
      </c>
      <c r="E23" s="290">
        <f>C23*D23</f>
        <v>0</v>
      </c>
      <c r="F23" s="66"/>
      <c r="G23" s="290">
        <v>0</v>
      </c>
      <c r="H23" s="357">
        <f>Allocation!$E$17</f>
        <v>0.50419999999999998</v>
      </c>
      <c r="I23" s="290">
        <f>G23*H23</f>
        <v>0</v>
      </c>
      <c r="J23" s="862"/>
    </row>
    <row r="24" spans="1:10">
      <c r="A24" s="472">
        <v>10</v>
      </c>
      <c r="B24" s="352" t="s">
        <v>570</v>
      </c>
      <c r="C24" s="323">
        <v>0</v>
      </c>
      <c r="D24" s="357">
        <f>$D$23</f>
        <v>0.50419999999999998</v>
      </c>
      <c r="E24" s="323">
        <f>C24*D24</f>
        <v>0</v>
      </c>
      <c r="F24" s="66"/>
      <c r="G24" s="323">
        <v>0</v>
      </c>
      <c r="H24" s="357">
        <f>H23</f>
        <v>0.50419999999999998</v>
      </c>
      <c r="I24" s="323">
        <f>G24*H24</f>
        <v>0</v>
      </c>
      <c r="J24" s="903"/>
    </row>
    <row r="25" spans="1:10">
      <c r="A25" s="472">
        <v>11</v>
      </c>
      <c r="B25" s="352" t="s">
        <v>658</v>
      </c>
      <c r="C25" s="326">
        <f>'[21]Base Year Acct 4264'!$S$103</f>
        <v>12719.390000000001</v>
      </c>
      <c r="D25" s="357">
        <f>$D$23</f>
        <v>0.50419999999999998</v>
      </c>
      <c r="E25" s="326">
        <f>C25*D25</f>
        <v>6413.116438</v>
      </c>
      <c r="F25" s="66"/>
      <c r="G25" s="326">
        <f>C25</f>
        <v>12719.390000000001</v>
      </c>
      <c r="H25" s="357">
        <f>H23</f>
        <v>0.50419999999999998</v>
      </c>
      <c r="I25" s="326">
        <f>G25*H25</f>
        <v>6413.116438</v>
      </c>
      <c r="J25" s="904"/>
    </row>
    <row r="26" spans="1:10">
      <c r="A26" s="472">
        <v>12</v>
      </c>
      <c r="B26" s="352" t="s">
        <v>579</v>
      </c>
      <c r="C26" s="354">
        <v>0</v>
      </c>
      <c r="D26" s="357">
        <f>$D$23</f>
        <v>0.50419999999999998</v>
      </c>
      <c r="E26" s="354">
        <f>C26*D26</f>
        <v>0</v>
      </c>
      <c r="F26" s="66"/>
      <c r="G26" s="354">
        <v>0</v>
      </c>
      <c r="H26" s="357">
        <f>H23</f>
        <v>0.50419999999999998</v>
      </c>
      <c r="I26" s="354">
        <f>G26*H26</f>
        <v>0</v>
      </c>
      <c r="J26" s="904"/>
    </row>
    <row r="27" spans="1:10">
      <c r="A27" s="472">
        <v>13</v>
      </c>
      <c r="B27" s="353" t="s">
        <v>95</v>
      </c>
      <c r="C27" s="420">
        <f>SUM(C23:C26)</f>
        <v>12719.390000000001</v>
      </c>
      <c r="D27" s="95"/>
      <c r="E27" s="420">
        <f>SUM(E23:E26)</f>
        <v>6413.116438</v>
      </c>
      <c r="F27" s="95"/>
      <c r="G27" s="420">
        <f>SUM(G23:G26)</f>
        <v>12719.390000000001</v>
      </c>
      <c r="H27" s="95"/>
      <c r="I27" s="420">
        <f>SUM(I23:I26)</f>
        <v>6413.116438</v>
      </c>
      <c r="J27" s="862"/>
    </row>
    <row r="28" spans="1:10">
      <c r="A28" s="472">
        <v>14</v>
      </c>
      <c r="B28" s="862"/>
      <c r="C28" s="95"/>
      <c r="D28" s="95"/>
      <c r="E28" s="95"/>
      <c r="F28" s="95"/>
      <c r="G28" s="95"/>
      <c r="H28" s="95"/>
      <c r="I28" s="95"/>
      <c r="J28" s="862"/>
    </row>
    <row r="29" spans="1:10" ht="15.75">
      <c r="A29" s="472">
        <v>15</v>
      </c>
      <c r="B29" s="902" t="s">
        <v>75</v>
      </c>
      <c r="C29" s="95"/>
      <c r="D29" s="95"/>
      <c r="E29" s="95"/>
      <c r="F29" s="95"/>
      <c r="G29" s="95"/>
      <c r="H29" s="95"/>
      <c r="I29" s="95"/>
      <c r="J29" s="903"/>
    </row>
    <row r="30" spans="1:10">
      <c r="A30" s="472">
        <v>16</v>
      </c>
      <c r="B30" s="352" t="s">
        <v>569</v>
      </c>
      <c r="C30" s="290">
        <v>0</v>
      </c>
      <c r="D30" s="395">
        <f>Allocation!$I$14</f>
        <v>4.9714119999999994E-2</v>
      </c>
      <c r="E30" s="290">
        <f>C30*D30</f>
        <v>0</v>
      </c>
      <c r="F30" s="95"/>
      <c r="G30" s="290">
        <v>0</v>
      </c>
      <c r="H30" s="395">
        <f>Allocation!$E$14</f>
        <v>4.9714119999999994E-2</v>
      </c>
      <c r="I30" s="290">
        <f>G30*H30</f>
        <v>0</v>
      </c>
      <c r="J30" s="904"/>
    </row>
    <row r="31" spans="1:10">
      <c r="A31" s="472">
        <v>17</v>
      </c>
      <c r="B31" s="352" t="s">
        <v>570</v>
      </c>
      <c r="C31" s="323">
        <v>0</v>
      </c>
      <c r="D31" s="395">
        <f>$D$30</f>
        <v>4.9714119999999994E-2</v>
      </c>
      <c r="E31" s="323">
        <f>C31*D31</f>
        <v>0</v>
      </c>
      <c r="F31" s="95"/>
      <c r="G31" s="323">
        <v>0</v>
      </c>
      <c r="H31" s="357">
        <f>D31</f>
        <v>4.9714119999999994E-2</v>
      </c>
      <c r="I31" s="323">
        <f>G31*H31</f>
        <v>0</v>
      </c>
      <c r="J31" s="904"/>
    </row>
    <row r="32" spans="1:10">
      <c r="A32" s="472">
        <v>18</v>
      </c>
      <c r="B32" s="352" t="s">
        <v>658</v>
      </c>
      <c r="C32" s="326">
        <f>'[21]Base Year Acct 4264'!$S$104</f>
        <v>423588.7099999999</v>
      </c>
      <c r="D32" s="395">
        <f>$D$30</f>
        <v>4.9714119999999994E-2</v>
      </c>
      <c r="E32" s="326">
        <f>C32*D32</f>
        <v>21058.339959585192</v>
      </c>
      <c r="F32" s="95"/>
      <c r="G32" s="326">
        <f>C32</f>
        <v>423588.7099999999</v>
      </c>
      <c r="H32" s="357">
        <f>D32</f>
        <v>4.9714119999999994E-2</v>
      </c>
      <c r="I32" s="326">
        <f>G32*H32</f>
        <v>21058.339959585192</v>
      </c>
      <c r="J32" s="862"/>
    </row>
    <row r="33" spans="1:10">
      <c r="A33" s="472">
        <v>19</v>
      </c>
      <c r="B33" s="352" t="s">
        <v>579</v>
      </c>
      <c r="C33" s="354">
        <v>0</v>
      </c>
      <c r="D33" s="395">
        <f>$D$30</f>
        <v>4.9714119999999994E-2</v>
      </c>
      <c r="E33" s="354">
        <f>C33*D33</f>
        <v>0</v>
      </c>
      <c r="F33" s="95"/>
      <c r="G33" s="354">
        <v>0</v>
      </c>
      <c r="H33" s="357">
        <f>D33</f>
        <v>4.9714119999999994E-2</v>
      </c>
      <c r="I33" s="354">
        <f>G33*H33</f>
        <v>0</v>
      </c>
      <c r="J33" s="862"/>
    </row>
    <row r="34" spans="1:10">
      <c r="A34" s="472">
        <v>20</v>
      </c>
      <c r="B34" s="353" t="s">
        <v>95</v>
      </c>
      <c r="C34" s="420">
        <f>SUM(C30:C33)</f>
        <v>423588.7099999999</v>
      </c>
      <c r="D34" s="95"/>
      <c r="E34" s="420">
        <f>SUM(E30:E33)</f>
        <v>21058.339959585192</v>
      </c>
      <c r="F34" s="95"/>
      <c r="G34" s="420">
        <f>SUM(G30:G33)</f>
        <v>423588.7099999999</v>
      </c>
      <c r="H34" s="95"/>
      <c r="I34" s="420">
        <f>SUM(I30:I33)</f>
        <v>21058.339959585192</v>
      </c>
      <c r="J34" s="903"/>
    </row>
    <row r="35" spans="1:10">
      <c r="A35" s="472">
        <v>21</v>
      </c>
      <c r="B35" s="903"/>
      <c r="C35" s="95"/>
      <c r="D35" s="95"/>
      <c r="E35" s="95"/>
      <c r="F35" s="95"/>
      <c r="G35" s="95"/>
      <c r="H35" s="95"/>
      <c r="I35" s="95"/>
      <c r="J35" s="95"/>
    </row>
    <row r="36" spans="1:10" ht="15.75">
      <c r="A36" s="472">
        <v>22</v>
      </c>
      <c r="B36" s="902" t="s">
        <v>76</v>
      </c>
      <c r="C36" s="95"/>
      <c r="D36" s="95"/>
      <c r="E36" s="95"/>
      <c r="F36" s="95"/>
      <c r="G36" s="95"/>
      <c r="H36" s="95"/>
      <c r="I36" s="95"/>
      <c r="J36" s="95"/>
    </row>
    <row r="37" spans="1:10">
      <c r="A37" s="472">
        <v>23</v>
      </c>
      <c r="B37" s="352" t="s">
        <v>569</v>
      </c>
      <c r="C37" s="290">
        <v>0</v>
      </c>
      <c r="D37" s="395">
        <f>Allocation!$I$15</f>
        <v>5.5573860000000003E-2</v>
      </c>
      <c r="E37" s="290">
        <f>C37*D37</f>
        <v>0</v>
      </c>
      <c r="F37" s="95"/>
      <c r="G37" s="290">
        <v>0</v>
      </c>
      <c r="H37" s="357">
        <f>D37</f>
        <v>5.5573860000000003E-2</v>
      </c>
      <c r="I37" s="290">
        <f>G37*H37</f>
        <v>0</v>
      </c>
      <c r="J37" s="95"/>
    </row>
    <row r="38" spans="1:10">
      <c r="A38" s="472">
        <v>24</v>
      </c>
      <c r="B38" s="352" t="s">
        <v>570</v>
      </c>
      <c r="C38" s="323">
        <v>0</v>
      </c>
      <c r="D38" s="395">
        <f>$D$37</f>
        <v>5.5573860000000003E-2</v>
      </c>
      <c r="E38" s="323">
        <f>C38*D38</f>
        <v>0</v>
      </c>
      <c r="G38" s="323">
        <v>0</v>
      </c>
      <c r="H38" s="357">
        <f>D38</f>
        <v>5.5573860000000003E-2</v>
      </c>
      <c r="I38" s="323">
        <f>G38*H38</f>
        <v>0</v>
      </c>
    </row>
    <row r="39" spans="1:10">
      <c r="A39" s="472">
        <v>25</v>
      </c>
      <c r="B39" s="352" t="s">
        <v>658</v>
      </c>
      <c r="C39" s="326">
        <v>0</v>
      </c>
      <c r="D39" s="395">
        <f>$D$37</f>
        <v>5.5573860000000003E-2</v>
      </c>
      <c r="E39" s="326">
        <f>C39*D39</f>
        <v>0</v>
      </c>
      <c r="G39" s="326">
        <f>C39</f>
        <v>0</v>
      </c>
      <c r="H39" s="357">
        <f>D39</f>
        <v>5.5573860000000003E-2</v>
      </c>
      <c r="I39" s="326">
        <f>G39*H39</f>
        <v>0</v>
      </c>
    </row>
    <row r="40" spans="1:10">
      <c r="A40" s="472">
        <v>26</v>
      </c>
      <c r="B40" s="352" t="s">
        <v>579</v>
      </c>
      <c r="C40" s="354">
        <v>0</v>
      </c>
      <c r="D40" s="395">
        <f>$D$37</f>
        <v>5.5573860000000003E-2</v>
      </c>
      <c r="E40" s="354">
        <f>C40*D40</f>
        <v>0</v>
      </c>
      <c r="G40" s="354">
        <v>0</v>
      </c>
      <c r="H40" s="357">
        <f>D40</f>
        <v>5.5573860000000003E-2</v>
      </c>
      <c r="I40" s="354">
        <f>G40*H40</f>
        <v>0</v>
      </c>
    </row>
    <row r="41" spans="1:10">
      <c r="A41" s="472">
        <v>27</v>
      </c>
      <c r="B41" s="353" t="s">
        <v>95</v>
      </c>
      <c r="C41" s="420">
        <f>SUM(C37:C40)</f>
        <v>0</v>
      </c>
      <c r="E41" s="420">
        <f>SUM(E37:E40)</f>
        <v>0</v>
      </c>
      <c r="G41" s="420">
        <f>SUM(G37:G40)</f>
        <v>0</v>
      </c>
      <c r="I41" s="420">
        <f>SUM(I37:I40)</f>
        <v>0</v>
      </c>
    </row>
    <row r="42" spans="1:10">
      <c r="A42" s="472">
        <v>28</v>
      </c>
    </row>
    <row r="43" spans="1:10" ht="16.5" thickBot="1">
      <c r="A43" s="472">
        <v>29</v>
      </c>
      <c r="B43" s="355" t="s">
        <v>924</v>
      </c>
      <c r="C43" s="1060">
        <f>C41+C34+C27+C20</f>
        <v>482598.03999999992</v>
      </c>
      <c r="E43" s="1060">
        <f>E41+E34+E27+E20</f>
        <v>73761.396397585195</v>
      </c>
      <c r="G43" s="1060">
        <f>G41+G34+G27+G20</f>
        <v>482598.03999999992</v>
      </c>
      <c r="I43" s="1060">
        <f>I41+I34+I27+I20</f>
        <v>73761.396397585195</v>
      </c>
    </row>
    <row r="44" spans="1:10" ht="15.75" thickTop="1"/>
    <row r="45" spans="1:10">
      <c r="B45" s="72" t="s">
        <v>795</v>
      </c>
    </row>
    <row r="46" spans="1:10">
      <c r="B46" s="80" t="s">
        <v>284</v>
      </c>
    </row>
    <row r="47" spans="1:10">
      <c r="B47" s="80" t="s">
        <v>386</v>
      </c>
    </row>
    <row r="48" spans="1:10">
      <c r="B48" s="73"/>
    </row>
    <row r="49" spans="2:2">
      <c r="B49" s="80" t="s">
        <v>422</v>
      </c>
    </row>
    <row r="51" spans="2:2">
      <c r="B51" s="80" t="s">
        <v>759</v>
      </c>
    </row>
    <row r="55" spans="2:2">
      <c r="B55" s="72" t="s">
        <v>514</v>
      </c>
    </row>
    <row r="56" spans="2:2">
      <c r="B56" s="72" t="s">
        <v>1587</v>
      </c>
    </row>
  </sheetData>
  <mergeCells count="5">
    <mergeCell ref="A5:I5"/>
    <mergeCell ref="A1:I1"/>
    <mergeCell ref="A2:I2"/>
    <mergeCell ref="A3:I3"/>
    <mergeCell ref="A4:I4"/>
  </mergeCells>
  <phoneticPr fontId="21" type="noConversion"/>
  <printOptions horizontalCentered="1"/>
  <pageMargins left="0.89" right="0.34" top="0.5" bottom="0.5" header="0.5" footer="0.5"/>
  <pageSetup scale="80" orientation="portrait" verticalDpi="300" r:id="rId1"/>
  <headerFooter alignWithMargins="0">
    <oddFooter>&amp;RSchedule &amp;A
Page &amp;P of &amp;N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53">
    <pageSetUpPr fitToPage="1"/>
  </sheetPr>
  <dimension ref="A1:P39"/>
  <sheetViews>
    <sheetView view="pageBreakPreview" zoomScale="80" zoomScaleNormal="100" zoomScaleSheetLayoutView="80" workbookViewId="0">
      <selection sqref="A1:I1"/>
    </sheetView>
  </sheetViews>
  <sheetFormatPr defaultColWidth="8.88671875" defaultRowHeight="15"/>
  <cols>
    <col min="1" max="1" width="5.88671875" style="72" customWidth="1"/>
    <col min="2" max="2" width="32.44140625" style="72" customWidth="1"/>
    <col min="3" max="3" width="11.33203125" style="72" customWidth="1"/>
    <col min="4" max="4" width="11.109375" style="72" customWidth="1"/>
    <col min="5" max="5" width="9.6640625" style="72" customWidth="1"/>
    <col min="6" max="6" width="4.21875" style="72" customWidth="1"/>
    <col min="7" max="7" width="9.5546875" style="72" bestFit="1" customWidth="1"/>
    <col min="8" max="8" width="12" style="72" customWidth="1"/>
    <col min="9" max="9" width="10.77734375" style="72" customWidth="1"/>
    <col min="10" max="16384" width="8.88671875" style="72"/>
  </cols>
  <sheetData>
    <row r="1" spans="1:14" ht="15.75">
      <c r="A1" s="1256" t="str">
        <f>'Table of Contents'!A1:C1</f>
        <v>Atmos Energy Corporation, Kentucky/Mid-States Division</v>
      </c>
      <c r="B1" s="1256"/>
      <c r="C1" s="1256"/>
      <c r="D1" s="1256"/>
      <c r="E1" s="1256"/>
      <c r="F1" s="1256"/>
      <c r="G1" s="1256"/>
      <c r="H1" s="1256"/>
      <c r="I1" s="1256"/>
    </row>
    <row r="2" spans="1:14" ht="15.75">
      <c r="A2" s="1256" t="str">
        <f>'Table of Contents'!A2:C2</f>
        <v>Kentucky Jurisdiction Case No. 2021-00214</v>
      </c>
      <c r="B2" s="1256" t="s">
        <v>321</v>
      </c>
      <c r="C2" s="1256"/>
      <c r="D2" s="1256"/>
      <c r="E2" s="1256"/>
      <c r="F2" s="1256"/>
      <c r="G2" s="1256"/>
      <c r="H2" s="1256"/>
      <c r="I2" s="1256"/>
      <c r="J2" s="95"/>
    </row>
    <row r="3" spans="1:14" ht="15.75">
      <c r="A3" s="1256" t="s">
        <v>874</v>
      </c>
      <c r="B3" s="1256"/>
      <c r="C3" s="1256"/>
      <c r="D3" s="1256"/>
      <c r="E3" s="1256"/>
      <c r="F3" s="1256"/>
      <c r="G3" s="1256"/>
      <c r="H3" s="1256"/>
      <c r="I3" s="1256"/>
      <c r="J3" s="95"/>
    </row>
    <row r="4" spans="1:14" ht="15.75">
      <c r="A4" s="1256"/>
      <c r="B4" s="1256"/>
      <c r="C4" s="1256"/>
      <c r="D4" s="1256"/>
      <c r="E4" s="1256"/>
      <c r="F4" s="1256"/>
      <c r="G4" s="1256"/>
      <c r="H4" s="1256"/>
      <c r="I4" s="1256"/>
      <c r="J4" s="95"/>
    </row>
    <row r="5" spans="1:14" ht="15.75">
      <c r="A5" s="1256"/>
      <c r="B5" s="1256"/>
      <c r="C5" s="1256"/>
      <c r="D5" s="1256"/>
      <c r="E5" s="1256"/>
      <c r="F5" s="1256"/>
      <c r="G5" s="1256"/>
      <c r="H5" s="1256"/>
      <c r="I5" s="1256"/>
      <c r="J5" s="95"/>
    </row>
    <row r="6" spans="1:14" ht="15.75">
      <c r="A6" s="95"/>
      <c r="B6" s="744"/>
      <c r="C6" s="744"/>
      <c r="D6" s="95"/>
      <c r="E6" s="95"/>
      <c r="F6" s="95"/>
      <c r="G6" s="95"/>
      <c r="H6" s="95"/>
      <c r="I6" s="95"/>
      <c r="J6" s="95"/>
    </row>
    <row r="7" spans="1:14" ht="15.75">
      <c r="A7" s="561" t="s">
        <v>135</v>
      </c>
      <c r="B7" s="95"/>
      <c r="C7" s="744"/>
      <c r="D7" s="95"/>
      <c r="E7" s="95"/>
      <c r="F7" s="95"/>
      <c r="G7" s="95"/>
      <c r="I7" s="150" t="s">
        <v>1353</v>
      </c>
      <c r="J7" s="95"/>
    </row>
    <row r="8" spans="1:14" ht="15.75">
      <c r="A8" s="561" t="s">
        <v>1105</v>
      </c>
      <c r="B8" s="95"/>
      <c r="C8" s="744"/>
      <c r="D8" s="95"/>
      <c r="E8" s="95"/>
      <c r="F8" s="95"/>
      <c r="G8" s="95"/>
      <c r="I8" s="745" t="s">
        <v>710</v>
      </c>
      <c r="J8" s="95"/>
    </row>
    <row r="9" spans="1:14" ht="15.75">
      <c r="A9" s="561" t="s">
        <v>363</v>
      </c>
      <c r="B9" s="95"/>
      <c r="C9" s="744"/>
      <c r="D9" s="95"/>
      <c r="E9" s="95"/>
      <c r="F9" s="95"/>
      <c r="G9" s="95"/>
      <c r="H9" s="746"/>
      <c r="I9" s="745" t="str">
        <f>F.1!$I$9</f>
        <v>Witness: Christian</v>
      </c>
      <c r="J9" s="95"/>
    </row>
    <row r="10" spans="1:14" ht="15.75">
      <c r="A10" s="747"/>
      <c r="B10" s="747"/>
      <c r="C10" s="912"/>
      <c r="D10" s="913" t="s">
        <v>322</v>
      </c>
      <c r="E10" s="912"/>
      <c r="F10" s="747"/>
      <c r="G10" s="912"/>
      <c r="H10" s="914" t="s">
        <v>323</v>
      </c>
      <c r="I10" s="912"/>
      <c r="J10" s="95"/>
      <c r="K10" s="915"/>
    </row>
    <row r="11" spans="1:14">
      <c r="A11" s="112" t="s">
        <v>92</v>
      </c>
      <c r="B11" s="95"/>
      <c r="C11" s="112"/>
      <c r="D11" s="686" t="s">
        <v>11</v>
      </c>
      <c r="E11" s="777" t="s">
        <v>12</v>
      </c>
      <c r="F11" s="95"/>
      <c r="G11" s="112"/>
      <c r="H11" s="1036" t="str">
        <f>D11</f>
        <v xml:space="preserve">Kentucky </v>
      </c>
      <c r="I11" s="777" t="s">
        <v>968</v>
      </c>
      <c r="J11" s="95"/>
      <c r="K11" s="557"/>
    </row>
    <row r="12" spans="1:14">
      <c r="A12" s="527" t="s">
        <v>98</v>
      </c>
      <c r="B12" s="527" t="s">
        <v>972</v>
      </c>
      <c r="C12" s="527" t="s">
        <v>103</v>
      </c>
      <c r="D12" s="751" t="s">
        <v>96</v>
      </c>
      <c r="E12" s="527" t="s">
        <v>103</v>
      </c>
      <c r="F12" s="752"/>
      <c r="G12" s="527" t="s">
        <v>103</v>
      </c>
      <c r="H12" s="527" t="str">
        <f>D12</f>
        <v>Jurisdictional</v>
      </c>
      <c r="I12" s="527" t="s">
        <v>103</v>
      </c>
      <c r="J12" s="95"/>
    </row>
    <row r="13" spans="1:14">
      <c r="A13" s="95"/>
      <c r="B13" s="95"/>
      <c r="C13" s="95"/>
      <c r="D13" s="95"/>
      <c r="E13" s="95"/>
      <c r="F13" s="95"/>
      <c r="G13" s="95"/>
      <c r="H13" s="95"/>
      <c r="I13" s="95"/>
      <c r="J13" s="95"/>
      <c r="L13" s="544"/>
      <c r="N13" s="544"/>
    </row>
    <row r="14" spans="1:14" ht="15.75">
      <c r="A14" s="777"/>
      <c r="B14" s="916"/>
      <c r="C14" s="917"/>
      <c r="D14" s="917"/>
      <c r="E14" s="917"/>
      <c r="F14" s="917"/>
      <c r="G14" s="917"/>
      <c r="H14" s="917"/>
      <c r="I14" s="917"/>
      <c r="J14" s="917"/>
      <c r="L14" s="544"/>
      <c r="N14" s="544"/>
    </row>
    <row r="15" spans="1:14">
      <c r="A15" s="112"/>
      <c r="B15" s="472"/>
      <c r="C15" s="472" t="s">
        <v>321</v>
      </c>
      <c r="D15" s="472" t="s">
        <v>321</v>
      </c>
      <c r="E15" s="472" t="s">
        <v>321</v>
      </c>
      <c r="F15" s="472" t="s">
        <v>321</v>
      </c>
      <c r="G15" s="95"/>
      <c r="H15" s="775" t="str">
        <f>F15</f>
        <v xml:space="preserve"> </v>
      </c>
      <c r="I15" s="472" t="s">
        <v>321</v>
      </c>
      <c r="J15" s="95"/>
    </row>
    <row r="16" spans="1:14">
      <c r="A16" s="777">
        <v>1</v>
      </c>
      <c r="B16" s="651" t="s">
        <v>192</v>
      </c>
      <c r="C16" s="304">
        <f>'[23]Rate Division 009 Summary '!$A$19</f>
        <v>29135.08</v>
      </c>
      <c r="D16" s="908">
        <v>1</v>
      </c>
      <c r="E16" s="304">
        <f>C16*D16</f>
        <v>29135.08</v>
      </c>
      <c r="F16" s="342"/>
      <c r="G16" s="304">
        <f>C16</f>
        <v>29135.08</v>
      </c>
      <c r="H16" s="1160">
        <f>D16</f>
        <v>1</v>
      </c>
      <c r="I16" s="304">
        <f>G16*H16</f>
        <v>29135.08</v>
      </c>
      <c r="L16" s="544"/>
      <c r="N16" s="544"/>
    </row>
    <row r="17" spans="1:16">
      <c r="A17" s="112">
        <v>2</v>
      </c>
      <c r="B17" s="904"/>
      <c r="C17" s="328"/>
      <c r="D17" s="356"/>
      <c r="E17" s="328"/>
      <c r="F17" s="646"/>
      <c r="G17" s="328"/>
      <c r="H17" s="646"/>
      <c r="I17" s="328"/>
      <c r="J17" s="95"/>
      <c r="L17" s="544"/>
      <c r="N17" s="544"/>
    </row>
    <row r="18" spans="1:16">
      <c r="A18" s="777">
        <v>3</v>
      </c>
      <c r="B18" s="651" t="s">
        <v>77</v>
      </c>
      <c r="C18" s="328">
        <f>'[24]Rate Division 091 Summary'!$A$19</f>
        <v>23185.23</v>
      </c>
      <c r="D18" s="908">
        <f>Allocation!$I$17</f>
        <v>0.50419999999999998</v>
      </c>
      <c r="E18" s="327">
        <f>C18*D18</f>
        <v>11689.992966</v>
      </c>
      <c r="F18" s="761"/>
      <c r="G18" s="327">
        <f>C18</f>
        <v>23185.23</v>
      </c>
      <c r="H18" s="908">
        <f>Allocation!$E$17</f>
        <v>0.50419999999999998</v>
      </c>
      <c r="I18" s="327">
        <f>G18*H18</f>
        <v>11689.992966</v>
      </c>
      <c r="J18" s="95"/>
      <c r="L18" s="544"/>
      <c r="N18" s="544"/>
    </row>
    <row r="19" spans="1:16">
      <c r="A19" s="112">
        <v>4</v>
      </c>
      <c r="B19" s="904"/>
      <c r="C19" s="328"/>
      <c r="D19" s="357"/>
      <c r="E19" s="328"/>
      <c r="F19" s="646"/>
      <c r="G19" s="328"/>
      <c r="H19" s="910"/>
      <c r="I19" s="328"/>
      <c r="J19" s="95"/>
      <c r="L19" s="544"/>
    </row>
    <row r="20" spans="1:16">
      <c r="A20" s="777">
        <v>5</v>
      </c>
      <c r="B20" s="904" t="s">
        <v>75</v>
      </c>
      <c r="C20" s="328">
        <f>'[25]Apr''20-Mar''21 002 WEXP'!$AO$3424</f>
        <v>219937.13116026216</v>
      </c>
      <c r="D20" s="908">
        <f>Allocation!$I$14</f>
        <v>4.9714119999999994E-2</v>
      </c>
      <c r="E20" s="328">
        <f>C20*D20</f>
        <v>10933.98093095701</v>
      </c>
      <c r="F20" s="95"/>
      <c r="G20" s="328">
        <f>C20</f>
        <v>219937.13116026216</v>
      </c>
      <c r="H20" s="908">
        <f>Allocation!$E$14</f>
        <v>4.9714119999999994E-2</v>
      </c>
      <c r="I20" s="328">
        <f>G20*H20</f>
        <v>10933.98093095701</v>
      </c>
      <c r="L20" s="544"/>
      <c r="N20" s="544"/>
      <c r="P20" s="557"/>
    </row>
    <row r="21" spans="1:16">
      <c r="A21" s="112">
        <v>6</v>
      </c>
      <c r="B21" s="904"/>
      <c r="C21" s="328"/>
      <c r="D21" s="395"/>
      <c r="E21" s="328"/>
      <c r="F21" s="95"/>
      <c r="G21" s="328"/>
      <c r="H21" s="815"/>
      <c r="I21" s="328"/>
      <c r="J21" s="95"/>
      <c r="L21" s="544"/>
      <c r="P21" s="557"/>
    </row>
    <row r="22" spans="1:16">
      <c r="A22" s="777">
        <v>7</v>
      </c>
      <c r="B22" s="904" t="s">
        <v>76</v>
      </c>
      <c r="C22" s="1163">
        <f>'[26]Apr''20-Mar''21 012 WEXP'!$AO$1285</f>
        <v>20432.499999999996</v>
      </c>
      <c r="D22" s="908">
        <f>Allocation!$I$15</f>
        <v>5.5573860000000003E-2</v>
      </c>
      <c r="E22" s="1163">
        <f>C22*D22</f>
        <v>1135.5128944499997</v>
      </c>
      <c r="G22" s="1163">
        <f>C22</f>
        <v>20432.499999999996</v>
      </c>
      <c r="H22" s="908">
        <f>Allocation!$E$15</f>
        <v>5.5573860000000003E-2</v>
      </c>
      <c r="I22" s="1163">
        <f>G22*H22</f>
        <v>1135.5128944499997</v>
      </c>
      <c r="L22" s="544"/>
      <c r="N22" s="544"/>
    </row>
    <row r="23" spans="1:16">
      <c r="A23" s="777">
        <v>8</v>
      </c>
    </row>
    <row r="24" spans="1:16" ht="15.75" thickBot="1">
      <c r="A24" s="777">
        <v>9</v>
      </c>
      <c r="B24" s="72" t="s">
        <v>876</v>
      </c>
      <c r="C24" s="1060">
        <f>SUM(C16:C22)</f>
        <v>292689.94116026215</v>
      </c>
      <c r="E24" s="1060">
        <f>SUM(E16:E22)</f>
        <v>52894.566791407015</v>
      </c>
      <c r="G24" s="1060">
        <f>SUM(G16:G22)</f>
        <v>292689.94116026215</v>
      </c>
      <c r="I24" s="1060">
        <f>SUM(I16:I22)</f>
        <v>52894.566791407015</v>
      </c>
    </row>
    <row r="25" spans="1:16" ht="15.75" thickTop="1">
      <c r="C25" s="287"/>
      <c r="E25" s="287"/>
      <c r="G25" s="287"/>
      <c r="I25" s="287"/>
    </row>
    <row r="27" spans="1:16">
      <c r="A27" s="978" t="s">
        <v>1260</v>
      </c>
      <c r="B27" s="776"/>
    </row>
    <row r="31" spans="1:16">
      <c r="B31" s="72" t="s">
        <v>875</v>
      </c>
    </row>
    <row r="32" spans="1:16">
      <c r="B32" s="72" t="s">
        <v>1594</v>
      </c>
    </row>
    <row r="33" spans="2:2">
      <c r="B33" s="72" t="s">
        <v>1595</v>
      </c>
    </row>
    <row r="34" spans="2:2">
      <c r="B34" s="72" t="s">
        <v>1592</v>
      </c>
    </row>
    <row r="35" spans="2:2">
      <c r="B35" s="72" t="s">
        <v>1593</v>
      </c>
    </row>
    <row r="39" spans="2:2">
      <c r="B39" s="544"/>
    </row>
  </sheetData>
  <mergeCells count="5">
    <mergeCell ref="A5:I5"/>
    <mergeCell ref="A1:I1"/>
    <mergeCell ref="A2:I2"/>
    <mergeCell ref="A3:I3"/>
    <mergeCell ref="A4:I4"/>
  </mergeCells>
  <phoneticPr fontId="21" type="noConversion"/>
  <pageMargins left="0.8" right="0.61" top="1.05" bottom="0.5" header="0.8" footer="0.5"/>
  <pageSetup scale="95" orientation="landscape" verticalDpi="300" r:id="rId1"/>
  <headerFooter alignWithMargins="0">
    <oddFooter>&amp;RSchedule &amp;A
Page &amp;P of &amp;N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1:I35"/>
  <sheetViews>
    <sheetView view="pageBreakPreview" zoomScale="80" zoomScaleNormal="100" zoomScaleSheetLayoutView="80" workbookViewId="0">
      <selection sqref="A1:F1"/>
    </sheetView>
  </sheetViews>
  <sheetFormatPr defaultRowHeight="15"/>
  <cols>
    <col min="1" max="2" width="5.88671875" customWidth="1"/>
    <col min="3" max="3" width="23.77734375" bestFit="1" customWidth="1"/>
    <col min="4" max="4" width="11" bestFit="1" customWidth="1"/>
    <col min="5" max="5" width="8.5546875" bestFit="1" customWidth="1"/>
    <col min="6" max="6" width="15.109375" bestFit="1" customWidth="1"/>
  </cols>
  <sheetData>
    <row r="1" spans="1:8" ht="15.75">
      <c r="A1" s="1284" t="str">
        <f>'Table of Contents'!A1:C1</f>
        <v>Atmos Energy Corporation, Kentucky/Mid-States Division</v>
      </c>
      <c r="B1" s="1284"/>
      <c r="C1" s="1284"/>
      <c r="D1" s="1284"/>
      <c r="E1" s="1284"/>
      <c r="F1" s="1284"/>
    </row>
    <row r="2" spans="1:8" ht="15.75">
      <c r="A2" s="1284" t="str">
        <f>'Table of Contents'!A2:C2</f>
        <v>Kentucky Jurisdiction Case No. 2021-00214</v>
      </c>
      <c r="B2" s="1284" t="s">
        <v>321</v>
      </c>
      <c r="C2" s="1284"/>
      <c r="D2" s="1284"/>
      <c r="E2" s="1284"/>
      <c r="F2" s="1284"/>
      <c r="G2" s="84"/>
    </row>
    <row r="3" spans="1:8" ht="15.75">
      <c r="A3" s="1284" t="s">
        <v>1658</v>
      </c>
      <c r="B3" s="1284"/>
      <c r="C3" s="1284"/>
      <c r="D3" s="1284"/>
      <c r="E3" s="1284"/>
      <c r="F3" s="1284"/>
      <c r="G3" s="84"/>
    </row>
    <row r="4" spans="1:8" ht="15.75">
      <c r="A4" s="1284"/>
      <c r="B4" s="1284"/>
      <c r="C4" s="1284"/>
      <c r="D4" s="1284"/>
      <c r="E4" s="1284"/>
      <c r="F4" s="1284"/>
      <c r="G4" s="84"/>
    </row>
    <row r="5" spans="1:8" ht="15.75">
      <c r="A5" s="1284"/>
      <c r="B5" s="1284"/>
      <c r="C5" s="1284"/>
      <c r="D5" s="1284"/>
      <c r="E5" s="1284"/>
      <c r="F5" s="1284"/>
      <c r="G5" s="84"/>
    </row>
    <row r="6" spans="1:8" ht="15.75">
      <c r="A6" s="84"/>
      <c r="B6" s="12"/>
      <c r="C6" s="12"/>
      <c r="D6" s="12"/>
      <c r="E6" s="12"/>
      <c r="F6" s="84"/>
      <c r="G6" s="84"/>
    </row>
    <row r="7" spans="1:8" ht="15.75">
      <c r="A7" s="60" t="s">
        <v>135</v>
      </c>
      <c r="B7" s="84"/>
      <c r="C7" s="84"/>
      <c r="D7" s="84"/>
      <c r="E7" s="12"/>
      <c r="F7" s="322" t="s">
        <v>1353</v>
      </c>
      <c r="G7" s="84"/>
    </row>
    <row r="8" spans="1:8" ht="15.75">
      <c r="A8" s="60" t="s">
        <v>1105</v>
      </c>
      <c r="B8" s="84"/>
      <c r="C8" s="84"/>
      <c r="D8" s="84"/>
      <c r="E8" s="12"/>
      <c r="F8" s="458" t="s">
        <v>1222</v>
      </c>
      <c r="G8" s="84"/>
    </row>
    <row r="9" spans="1:8" ht="15.75">
      <c r="A9" s="60" t="s">
        <v>363</v>
      </c>
      <c r="B9" s="84"/>
      <c r="C9" s="84"/>
      <c r="D9" s="84"/>
      <c r="E9" s="538"/>
      <c r="F9" s="1165" t="str">
        <f>F.1!$I$9</f>
        <v>Witness: Christian</v>
      </c>
      <c r="G9" s="84"/>
    </row>
    <row r="10" spans="1:8">
      <c r="A10" s="110"/>
      <c r="B10" s="110"/>
      <c r="C10" s="110"/>
      <c r="D10" s="110"/>
    </row>
    <row r="11" spans="1:8">
      <c r="A11" s="213" t="s">
        <v>92</v>
      </c>
      <c r="B11" s="56"/>
      <c r="C11" s="56"/>
      <c r="D11" s="56"/>
      <c r="E11" s="439" t="s">
        <v>622</v>
      </c>
      <c r="F11" s="439" t="s">
        <v>12</v>
      </c>
    </row>
    <row r="12" spans="1:8">
      <c r="A12" s="875" t="s">
        <v>98</v>
      </c>
      <c r="B12" s="875" t="s">
        <v>1312</v>
      </c>
      <c r="C12" s="875" t="s">
        <v>1313</v>
      </c>
      <c r="D12" s="875" t="s">
        <v>95</v>
      </c>
      <c r="E12" s="875" t="s">
        <v>989</v>
      </c>
      <c r="F12" s="52" t="s">
        <v>1223</v>
      </c>
      <c r="G12" s="84"/>
      <c r="H12" s="513"/>
    </row>
    <row r="13" spans="1:8">
      <c r="A13" s="84"/>
      <c r="B13" s="84"/>
      <c r="C13" s="84"/>
      <c r="D13" s="84"/>
      <c r="E13" s="84"/>
      <c r="F13" s="84"/>
      <c r="G13" s="84"/>
    </row>
    <row r="14" spans="1:8">
      <c r="A14" s="92"/>
      <c r="B14" s="82"/>
      <c r="C14" s="82"/>
      <c r="D14" s="82"/>
      <c r="E14" s="472" t="s">
        <v>321</v>
      </c>
      <c r="F14" s="82" t="s">
        <v>321</v>
      </c>
      <c r="G14" s="84"/>
    </row>
    <row r="15" spans="1:8" s="639" customFormat="1">
      <c r="A15" s="92">
        <v>1</v>
      </c>
      <c r="B15" s="213">
        <v>2</v>
      </c>
      <c r="C15" s="1030" t="s">
        <v>1657</v>
      </c>
      <c r="D15" s="1173">
        <f>'[27]SERP Forecast'!$F$13</f>
        <v>1359794.4539999999</v>
      </c>
      <c r="E15" s="898">
        <f>Allocation!E14</f>
        <v>4.9714119999999994E-2</v>
      </c>
      <c r="F15" s="1174">
        <f>D15*E15</f>
        <v>67600.984661490467</v>
      </c>
      <c r="G15" s="84"/>
    </row>
    <row r="16" spans="1:8">
      <c r="A16" s="92">
        <v>2</v>
      </c>
      <c r="B16" s="1029"/>
      <c r="C16" s="1031"/>
      <c r="E16" s="328"/>
      <c r="F16" s="351"/>
      <c r="G16" s="84"/>
    </row>
    <row r="17" spans="1:9">
      <c r="A17" s="91">
        <v>3</v>
      </c>
      <c r="B17" s="213">
        <v>91</v>
      </c>
      <c r="C17" s="254" t="s">
        <v>1657</v>
      </c>
      <c r="D17" s="1032">
        <f>'[27]SERP Forecast'!$F$25</f>
        <v>41062.920000000013</v>
      </c>
      <c r="E17" s="357">
        <f>Allocation!E17</f>
        <v>0.50419999999999998</v>
      </c>
      <c r="F17" s="1175">
        <f>D17*E17</f>
        <v>20703.924264000005</v>
      </c>
      <c r="I17" s="477"/>
    </row>
    <row r="18" spans="1:9">
      <c r="A18" s="92">
        <v>4</v>
      </c>
      <c r="B18" s="439"/>
      <c r="C18" s="343"/>
      <c r="D18" s="439"/>
      <c r="E18" s="328"/>
      <c r="F18" s="351"/>
      <c r="G18" s="84"/>
    </row>
    <row r="19" spans="1:9" ht="15.75" thickBot="1">
      <c r="A19" s="92">
        <v>5</v>
      </c>
      <c r="B19" s="213"/>
      <c r="C19" s="343" t="s">
        <v>1659</v>
      </c>
      <c r="D19" s="439"/>
      <c r="E19" s="328"/>
      <c r="F19" s="1228">
        <f>F15+F17</f>
        <v>88304.908925490468</v>
      </c>
      <c r="I19" s="477"/>
    </row>
    <row r="20" spans="1:9" ht="15.75" thickTop="1">
      <c r="A20" s="91"/>
      <c r="E20" s="328"/>
      <c r="F20" s="350"/>
    </row>
    <row r="21" spans="1:9">
      <c r="A21" s="91"/>
      <c r="E21" s="328"/>
      <c r="F21" s="350"/>
    </row>
    <row r="22" spans="1:9">
      <c r="E22" s="286"/>
      <c r="F22" s="286"/>
    </row>
    <row r="24" spans="1:9">
      <c r="A24" s="539" t="s">
        <v>520</v>
      </c>
    </row>
    <row r="26" spans="1:9">
      <c r="A26" s="561" t="s">
        <v>1661</v>
      </c>
      <c r="B26" s="72"/>
      <c r="C26" s="72"/>
      <c r="D26" s="72"/>
      <c r="E26" s="72"/>
      <c r="F26" s="72"/>
    </row>
    <row r="27" spans="1:9">
      <c r="A27" s="60"/>
    </row>
    <row r="28" spans="1:9">
      <c r="A28" s="60"/>
      <c r="B28" s="639"/>
      <c r="C28" s="639"/>
      <c r="D28" s="639"/>
      <c r="E28" s="639"/>
      <c r="F28" s="639"/>
    </row>
    <row r="29" spans="1:9">
      <c r="A29" s="60"/>
      <c r="B29" s="639"/>
      <c r="C29" s="639"/>
      <c r="D29" s="639"/>
      <c r="E29" s="639"/>
      <c r="F29" s="639"/>
    </row>
    <row r="30" spans="1:9">
      <c r="A30" s="60"/>
      <c r="B30" s="639"/>
      <c r="C30" s="639"/>
      <c r="D30" s="639"/>
      <c r="E30" s="639"/>
      <c r="F30" s="639"/>
    </row>
    <row r="35" spans="2:4">
      <c r="B35" s="477"/>
      <c r="C35" s="477"/>
      <c r="D35" s="477"/>
    </row>
  </sheetData>
  <mergeCells count="5">
    <mergeCell ref="A1:F1"/>
    <mergeCell ref="A2:F2"/>
    <mergeCell ref="A3:F3"/>
    <mergeCell ref="A4:F4"/>
    <mergeCell ref="A5:F5"/>
  </mergeCells>
  <pageMargins left="0.95" right="0.72" top="1.05" bottom="0.5" header="0.8" footer="0.5"/>
  <pageSetup orientation="portrait" verticalDpi="300" r:id="rId1"/>
  <headerFooter alignWithMargins="0">
    <oddFooter>&amp;RSchedule &amp;A
Page &amp;P of &amp;N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A1:J48"/>
  <sheetViews>
    <sheetView view="pageBreakPreview" zoomScale="80" zoomScaleNormal="100" zoomScaleSheetLayoutView="80" workbookViewId="0">
      <selection sqref="A1:F1"/>
    </sheetView>
  </sheetViews>
  <sheetFormatPr defaultColWidth="8.88671875" defaultRowHeight="15"/>
  <cols>
    <col min="1" max="1" width="5.88671875" style="56" customWidth="1"/>
    <col min="2" max="2" width="7.109375" style="56" customWidth="1"/>
    <col min="3" max="3" width="36.109375" style="56" bestFit="1" customWidth="1"/>
    <col min="4" max="4" width="11.88671875" style="56" customWidth="1"/>
    <col min="5" max="5" width="10.6640625" style="56" customWidth="1"/>
    <col min="6" max="6" width="11.44140625" style="56" customWidth="1"/>
    <col min="7" max="16384" width="8.88671875" style="56"/>
  </cols>
  <sheetData>
    <row r="1" spans="1:9" ht="15.75">
      <c r="A1" s="1284" t="str">
        <f>'Table of Contents'!A1:C1</f>
        <v>Atmos Energy Corporation, Kentucky/Mid-States Division</v>
      </c>
      <c r="B1" s="1284"/>
      <c r="C1" s="1284"/>
      <c r="D1" s="1284"/>
      <c r="E1" s="1284"/>
      <c r="F1" s="1284"/>
    </row>
    <row r="2" spans="1:9" ht="15.75">
      <c r="A2" s="1284" t="str">
        <f>'Table of Contents'!A2:C2</f>
        <v>Kentucky Jurisdiction Case No. 2021-00214</v>
      </c>
      <c r="B2" s="1284" t="s">
        <v>321</v>
      </c>
      <c r="C2" s="1284"/>
      <c r="D2" s="1284"/>
      <c r="E2" s="1284"/>
      <c r="F2" s="1284"/>
    </row>
    <row r="3" spans="1:9" ht="15.75">
      <c r="A3" s="1284" t="s">
        <v>1322</v>
      </c>
      <c r="B3" s="1284"/>
      <c r="C3" s="1284"/>
      <c r="D3" s="1284"/>
      <c r="E3" s="1284"/>
      <c r="F3" s="1284"/>
    </row>
    <row r="4" spans="1:9" ht="15.75">
      <c r="A4" s="1284"/>
      <c r="B4" s="1284"/>
      <c r="C4" s="1284"/>
      <c r="D4" s="1284"/>
      <c r="E4" s="1284"/>
      <c r="F4" s="1284"/>
    </row>
    <row r="5" spans="1:9" ht="15.75">
      <c r="B5" s="94"/>
      <c r="C5" s="94"/>
      <c r="D5" s="94"/>
      <c r="E5" s="94"/>
    </row>
    <row r="6" spans="1:9" ht="15.75">
      <c r="A6" s="60" t="s">
        <v>135</v>
      </c>
      <c r="E6" s="94"/>
      <c r="F6" s="418" t="s">
        <v>1353</v>
      </c>
    </row>
    <row r="7" spans="1:9" ht="15.75">
      <c r="A7" s="60" t="s">
        <v>1105</v>
      </c>
      <c r="E7" s="94"/>
      <c r="F7" s="562" t="s">
        <v>1311</v>
      </c>
    </row>
    <row r="8" spans="1:9" ht="15.75">
      <c r="A8" s="60" t="s">
        <v>363</v>
      </c>
      <c r="E8" s="330"/>
      <c r="F8" s="1176" t="str">
        <f>F.1!$I$9</f>
        <v>Witness: Christian</v>
      </c>
    </row>
    <row r="9" spans="1:9">
      <c r="A9" s="871"/>
      <c r="B9" s="871"/>
      <c r="C9" s="871"/>
      <c r="D9" s="871"/>
    </row>
    <row r="10" spans="1:9">
      <c r="A10" s="86"/>
      <c r="B10" s="86"/>
      <c r="C10" s="86"/>
      <c r="D10" s="86"/>
    </row>
    <row r="11" spans="1:9">
      <c r="A11" s="213" t="s">
        <v>92</v>
      </c>
      <c r="E11" s="439" t="s">
        <v>622</v>
      </c>
      <c r="F11" s="439" t="s">
        <v>12</v>
      </c>
    </row>
    <row r="12" spans="1:9">
      <c r="A12" s="875" t="s">
        <v>98</v>
      </c>
      <c r="B12" s="875" t="s">
        <v>1312</v>
      </c>
      <c r="C12" s="875" t="s">
        <v>1313</v>
      </c>
      <c r="D12" s="875" t="s">
        <v>95</v>
      </c>
      <c r="E12" s="875" t="s">
        <v>989</v>
      </c>
      <c r="F12" s="918" t="s">
        <v>1314</v>
      </c>
      <c r="H12" s="919"/>
    </row>
    <row r="14" spans="1:9">
      <c r="A14" s="920" t="s">
        <v>1315</v>
      </c>
      <c r="G14" s="88"/>
      <c r="H14" s="88"/>
      <c r="I14" s="88"/>
    </row>
    <row r="15" spans="1:9">
      <c r="A15" s="691">
        <v>1</v>
      </c>
      <c r="B15" s="439">
        <v>2</v>
      </c>
      <c r="C15" s="56" t="s">
        <v>1316</v>
      </c>
      <c r="D15" s="921">
        <f>'[13]final summary'!$H$6</f>
        <v>12353618.704007072</v>
      </c>
      <c r="E15" s="922">
        <f>Allocation!I14</f>
        <v>4.9714119999999994E-2</v>
      </c>
      <c r="F15" s="1177">
        <f>D15*E15</f>
        <v>614149.28268525202</v>
      </c>
      <c r="G15" s="88"/>
      <c r="H15" s="88"/>
      <c r="I15" s="88"/>
    </row>
    <row r="16" spans="1:9">
      <c r="B16" s="439"/>
      <c r="G16" s="88"/>
      <c r="H16" s="88"/>
      <c r="I16" s="88"/>
    </row>
    <row r="17" spans="1:10">
      <c r="A17" s="1037">
        <f>A15+1</f>
        <v>2</v>
      </c>
      <c r="B17" s="439">
        <v>12</v>
      </c>
      <c r="C17" s="56" t="s">
        <v>1316</v>
      </c>
      <c r="D17" s="921">
        <f>'[13]final summary'!$H$10</f>
        <v>0</v>
      </c>
      <c r="E17" s="922">
        <f>Allocation!I15</f>
        <v>5.5573860000000003E-2</v>
      </c>
      <c r="F17" s="1178">
        <f>D17*E17</f>
        <v>0</v>
      </c>
      <c r="G17" s="88"/>
      <c r="H17" s="88"/>
      <c r="I17" s="88"/>
    </row>
    <row r="18" spans="1:10">
      <c r="A18" s="691"/>
      <c r="B18" s="439"/>
      <c r="G18" s="88"/>
      <c r="H18" s="88"/>
      <c r="I18" s="88"/>
    </row>
    <row r="19" spans="1:10">
      <c r="A19" s="1037">
        <f>A17+1</f>
        <v>3</v>
      </c>
      <c r="B19" s="439">
        <v>91</v>
      </c>
      <c r="C19" s="56" t="s">
        <v>1316</v>
      </c>
      <c r="D19" s="921">
        <f>'[13]final summary'!$H$14</f>
        <v>1104132.6220689549</v>
      </c>
      <c r="E19" s="922">
        <f>Allocation!H17</f>
        <v>0.50419999999999998</v>
      </c>
      <c r="F19" s="1178">
        <f>D19*E19</f>
        <v>556703.66804716701</v>
      </c>
      <c r="G19" s="88"/>
      <c r="H19" s="88"/>
      <c r="I19" s="88"/>
    </row>
    <row r="20" spans="1:10">
      <c r="A20" s="691"/>
      <c r="B20" s="439"/>
      <c r="G20" s="88"/>
      <c r="H20" s="88"/>
      <c r="I20" s="88"/>
      <c r="J20" s="56" t="s">
        <v>321</v>
      </c>
    </row>
    <row r="21" spans="1:10">
      <c r="A21" s="1037">
        <f>A19+1</f>
        <v>4</v>
      </c>
      <c r="B21" s="439">
        <v>9</v>
      </c>
      <c r="C21" s="56" t="s">
        <v>1316</v>
      </c>
      <c r="D21" s="56">
        <v>0</v>
      </c>
      <c r="E21" s="922">
        <v>1</v>
      </c>
      <c r="F21" s="1178">
        <f>D21*E21</f>
        <v>0</v>
      </c>
      <c r="G21" s="88"/>
      <c r="H21" s="88"/>
      <c r="I21" s="88"/>
    </row>
    <row r="22" spans="1:10">
      <c r="A22" s="691"/>
      <c r="G22" s="88"/>
      <c r="H22" s="88"/>
      <c r="I22" s="88"/>
    </row>
    <row r="23" spans="1:10">
      <c r="A23" s="1037">
        <f>A21+1</f>
        <v>5</v>
      </c>
      <c r="C23" s="995" t="s">
        <v>1320</v>
      </c>
      <c r="F23" s="1105">
        <f>SUM(F15:F22)</f>
        <v>1170852.950732419</v>
      </c>
      <c r="G23" s="88"/>
      <c r="H23" s="88"/>
      <c r="I23" s="88"/>
    </row>
    <row r="24" spans="1:10">
      <c r="A24" s="691"/>
      <c r="F24" s="921"/>
      <c r="G24" s="88"/>
      <c r="H24" s="88"/>
      <c r="I24" s="88"/>
    </row>
    <row r="25" spans="1:10">
      <c r="G25" s="88"/>
      <c r="H25" s="88"/>
      <c r="I25" s="88"/>
    </row>
    <row r="26" spans="1:10">
      <c r="A26" s="920" t="s">
        <v>1317</v>
      </c>
      <c r="G26" s="88"/>
      <c r="H26" s="88"/>
      <c r="I26" s="88"/>
    </row>
    <row r="27" spans="1:10">
      <c r="A27" s="1037">
        <f>A23+1</f>
        <v>6</v>
      </c>
      <c r="B27" s="439">
        <v>2</v>
      </c>
      <c r="C27" s="56" t="s">
        <v>1318</v>
      </c>
      <c r="D27" s="1249">
        <v>0</v>
      </c>
      <c r="E27" s="1179">
        <f>E15</f>
        <v>4.9714119999999994E-2</v>
      </c>
      <c r="F27" s="1177">
        <f>D27*E27</f>
        <v>0</v>
      </c>
      <c r="G27" s="88"/>
      <c r="H27" s="88"/>
      <c r="I27" s="88"/>
    </row>
    <row r="28" spans="1:10">
      <c r="A28" s="1037">
        <f>A27+1</f>
        <v>7</v>
      </c>
      <c r="B28" s="439"/>
      <c r="C28" s="56" t="s">
        <v>1324</v>
      </c>
      <c r="D28" s="921">
        <f>'[13]final summary'!$H$34</f>
        <v>4040778.7896931102</v>
      </c>
      <c r="E28" s="922">
        <f>E27</f>
        <v>4.9714119999999994E-2</v>
      </c>
      <c r="F28" s="1178">
        <f>D28*E28</f>
        <v>200883.76164425802</v>
      </c>
      <c r="G28" s="88"/>
      <c r="H28" s="88"/>
      <c r="I28" s="88"/>
    </row>
    <row r="29" spans="1:10">
      <c r="A29" s="691"/>
      <c r="B29" s="439"/>
      <c r="G29" s="88"/>
      <c r="H29" s="88"/>
      <c r="I29" s="88"/>
    </row>
    <row r="30" spans="1:10">
      <c r="A30" s="1037">
        <f>A28+1</f>
        <v>8</v>
      </c>
      <c r="B30" s="439">
        <v>12</v>
      </c>
      <c r="C30" s="56" t="s">
        <v>1318</v>
      </c>
      <c r="D30" s="1249">
        <v>0</v>
      </c>
      <c r="E30" s="922">
        <f>E17</f>
        <v>5.5573860000000003E-2</v>
      </c>
      <c r="F30" s="1178">
        <f>D30*E30</f>
        <v>0</v>
      </c>
      <c r="G30" s="88"/>
      <c r="H30" s="88"/>
      <c r="I30" s="88"/>
    </row>
    <row r="31" spans="1:10">
      <c r="A31" s="1037">
        <f>A30+1</f>
        <v>9</v>
      </c>
      <c r="B31" s="439"/>
      <c r="C31" s="56" t="s">
        <v>1324</v>
      </c>
      <c r="D31" s="1180">
        <f>'[13]final summary'!$H$42</f>
        <v>172709.69727366738</v>
      </c>
      <c r="E31" s="922">
        <f>E30</f>
        <v>5.5573860000000003E-2</v>
      </c>
      <c r="F31" s="1178">
        <f>D31*E31</f>
        <v>9598.1445369291723</v>
      </c>
      <c r="G31" s="88"/>
      <c r="H31" s="88"/>
      <c r="I31" s="88"/>
    </row>
    <row r="32" spans="1:10">
      <c r="A32" s="88"/>
      <c r="B32" s="439"/>
      <c r="G32" s="88"/>
      <c r="H32" s="88"/>
      <c r="I32" s="88"/>
    </row>
    <row r="33" spans="1:9">
      <c r="A33" s="1037">
        <f>A31+1</f>
        <v>10</v>
      </c>
      <c r="B33" s="439">
        <v>91</v>
      </c>
      <c r="C33" s="56" t="s">
        <v>1318</v>
      </c>
      <c r="D33" s="1249">
        <v>0</v>
      </c>
      <c r="E33" s="922">
        <f>E19</f>
        <v>0.50419999999999998</v>
      </c>
      <c r="F33" s="1178">
        <f>D33*E33</f>
        <v>0</v>
      </c>
      <c r="G33" s="88"/>
      <c r="H33" s="88"/>
      <c r="I33" s="88"/>
    </row>
    <row r="34" spans="1:9">
      <c r="A34" s="1037">
        <f>A33+1</f>
        <v>11</v>
      </c>
      <c r="B34" s="439"/>
      <c r="C34" s="56" t="s">
        <v>1324</v>
      </c>
      <c r="D34" s="921">
        <f>'[13]final summary'!$H$50</f>
        <v>92815.284464593235</v>
      </c>
      <c r="E34" s="922">
        <f>E33</f>
        <v>0.50419999999999998</v>
      </c>
      <c r="F34" s="1178">
        <f>D34*E34</f>
        <v>46797.466427047904</v>
      </c>
      <c r="G34" s="88"/>
      <c r="H34" s="88"/>
      <c r="I34" s="88"/>
    </row>
    <row r="35" spans="1:9">
      <c r="A35" s="561"/>
      <c r="B35" s="439"/>
      <c r="G35" s="88"/>
      <c r="H35" s="88"/>
      <c r="I35" s="88"/>
    </row>
    <row r="36" spans="1:9">
      <c r="A36" s="1037">
        <f>A34+1</f>
        <v>12</v>
      </c>
      <c r="B36" s="439">
        <v>9</v>
      </c>
      <c r="C36" s="56" t="s">
        <v>1318</v>
      </c>
      <c r="D36" s="1249">
        <v>0</v>
      </c>
      <c r="E36" s="922">
        <v>1</v>
      </c>
      <c r="F36" s="1178">
        <f>D36*E36</f>
        <v>0</v>
      </c>
      <c r="G36" s="88"/>
      <c r="H36" s="88"/>
      <c r="I36" s="88"/>
    </row>
    <row r="37" spans="1:9">
      <c r="A37" s="1037">
        <f>A36+1</f>
        <v>13</v>
      </c>
      <c r="C37" s="56" t="s">
        <v>1324</v>
      </c>
      <c r="D37" s="921">
        <f>'[13]final summary'!$H$58</f>
        <v>15424.379630879039</v>
      </c>
      <c r="E37" s="922">
        <v>1</v>
      </c>
      <c r="F37" s="1178">
        <f>D37*E37</f>
        <v>15424.379630879039</v>
      </c>
      <c r="G37" s="88"/>
      <c r="H37" s="88"/>
      <c r="I37" s="88"/>
    </row>
    <row r="38" spans="1:9">
      <c r="A38" s="88"/>
      <c r="G38" s="88"/>
      <c r="H38" s="88"/>
      <c r="I38" s="88"/>
    </row>
    <row r="39" spans="1:9">
      <c r="A39" s="1037">
        <f>A37+1</f>
        <v>14</v>
      </c>
      <c r="C39" s="995" t="s">
        <v>1319</v>
      </c>
      <c r="F39" s="1105">
        <f>SUM(F27:F37)</f>
        <v>272703.75223911414</v>
      </c>
      <c r="G39" s="88"/>
      <c r="H39" s="88"/>
      <c r="I39" s="88"/>
    </row>
    <row r="40" spans="1:9">
      <c r="A40" s="88"/>
      <c r="G40" s="88"/>
      <c r="H40" s="88"/>
      <c r="I40" s="88"/>
    </row>
    <row r="41" spans="1:9" ht="18" customHeight="1" thickBot="1">
      <c r="A41" s="1037">
        <f>A39+1</f>
        <v>15</v>
      </c>
      <c r="C41" s="56" t="s">
        <v>1321</v>
      </c>
      <c r="F41" s="1181">
        <f>F39+F23</f>
        <v>1443556.7029715332</v>
      </c>
      <c r="G41" s="88"/>
      <c r="H41" s="88"/>
      <c r="I41" s="88"/>
    </row>
    <row r="42" spans="1:9" ht="18" customHeight="1" thickTop="1">
      <c r="A42" s="946"/>
      <c r="F42" s="997"/>
      <c r="G42" s="88"/>
      <c r="H42" s="88"/>
      <c r="I42" s="88"/>
    </row>
    <row r="43" spans="1:9" ht="18" customHeight="1">
      <c r="A43" s="1037">
        <f>A41+1</f>
        <v>16</v>
      </c>
      <c r="C43" s="996" t="s">
        <v>1630</v>
      </c>
      <c r="F43" s="1182">
        <f>F41*0.065</f>
        <v>93831.185693149659</v>
      </c>
      <c r="G43" s="88"/>
      <c r="H43" s="88"/>
      <c r="I43" s="88"/>
    </row>
    <row r="44" spans="1:9" ht="18" customHeight="1">
      <c r="A44" s="946"/>
      <c r="F44" s="997"/>
      <c r="G44" s="88"/>
      <c r="H44" s="88"/>
      <c r="I44" s="88"/>
    </row>
    <row r="45" spans="1:9">
      <c r="A45" s="88"/>
      <c r="B45" s="88"/>
      <c r="C45" s="88"/>
      <c r="D45" s="88"/>
      <c r="E45" s="88"/>
      <c r="F45" s="88"/>
      <c r="G45" s="88"/>
      <c r="H45" s="88"/>
      <c r="I45" s="88"/>
    </row>
    <row r="46" spans="1:9">
      <c r="A46" s="72" t="s">
        <v>875</v>
      </c>
    </row>
    <row r="47" spans="1:9">
      <c r="A47" s="56" t="s">
        <v>1571</v>
      </c>
    </row>
    <row r="48" spans="1:9">
      <c r="A48" s="56" t="s">
        <v>1660</v>
      </c>
    </row>
  </sheetData>
  <mergeCells count="4">
    <mergeCell ref="A1:F1"/>
    <mergeCell ref="A2:F2"/>
    <mergeCell ref="A3:F3"/>
    <mergeCell ref="A4:F4"/>
  </mergeCells>
  <pageMargins left="0.95" right="0.82" top="1.05" bottom="0.5" header="0.8" footer="0.5"/>
  <pageSetup scale="86" orientation="portrait" verticalDpi="300" r:id="rId1"/>
  <headerFooter alignWithMargins="0">
    <oddFooter>&amp;RSchedule &amp;A
Page &amp;P of &amp;N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F31"/>
  <sheetViews>
    <sheetView view="pageBreakPreview" zoomScale="80" zoomScaleNormal="100" zoomScaleSheetLayoutView="80" workbookViewId="0">
      <selection sqref="A1:F1"/>
    </sheetView>
  </sheetViews>
  <sheetFormatPr defaultRowHeight="15"/>
  <cols>
    <col min="1" max="1" width="8.77734375" customWidth="1"/>
    <col min="2" max="2" width="12.109375" customWidth="1"/>
    <col min="3" max="3" width="32.109375" bestFit="1" customWidth="1"/>
    <col min="4" max="4" width="10.6640625" customWidth="1"/>
    <col min="5" max="5" width="12.21875" customWidth="1"/>
    <col min="6" max="6" width="13.109375" bestFit="1" customWidth="1"/>
  </cols>
  <sheetData>
    <row r="1" spans="1:6" ht="15.75">
      <c r="A1" s="1284" t="str">
        <f>'Table of Contents'!A1:C1</f>
        <v>Atmos Energy Corporation, Kentucky/Mid-States Division</v>
      </c>
      <c r="B1" s="1284"/>
      <c r="C1" s="1284"/>
      <c r="D1" s="1284"/>
      <c r="E1" s="1284"/>
      <c r="F1" s="1284"/>
    </row>
    <row r="2" spans="1:6" ht="15.75">
      <c r="A2" s="1284" t="str">
        <f>'Table of Contents'!A2:C2</f>
        <v>Kentucky Jurisdiction Case No. 2021-00214</v>
      </c>
      <c r="B2" s="1284" t="s">
        <v>321</v>
      </c>
      <c r="C2" s="1284"/>
      <c r="D2" s="1284"/>
      <c r="E2" s="1284"/>
      <c r="F2" s="1284"/>
    </row>
    <row r="3" spans="1:6" ht="15.75">
      <c r="A3" s="1284" t="s">
        <v>1546</v>
      </c>
      <c r="B3" s="1284"/>
      <c r="C3" s="1284"/>
      <c r="D3" s="1284"/>
      <c r="E3" s="1284"/>
      <c r="F3" s="1284"/>
    </row>
    <row r="4" spans="1:6" ht="15.75">
      <c r="A4" s="1284"/>
      <c r="B4" s="1284"/>
      <c r="C4" s="1284"/>
      <c r="D4" s="1284"/>
      <c r="E4" s="1284"/>
      <c r="F4" s="1284"/>
    </row>
    <row r="5" spans="1:6" ht="15.75">
      <c r="A5" s="56"/>
      <c r="B5" s="94"/>
      <c r="C5" s="94"/>
      <c r="D5" s="94"/>
      <c r="E5" s="94"/>
      <c r="F5" s="56"/>
    </row>
    <row r="6" spans="1:6" ht="15.75">
      <c r="A6" s="60" t="s">
        <v>135</v>
      </c>
      <c r="B6" s="56"/>
      <c r="C6" s="56"/>
      <c r="D6" s="56"/>
      <c r="E6" s="94"/>
      <c r="F6" s="418" t="s">
        <v>1353</v>
      </c>
    </row>
    <row r="7" spans="1:6" ht="15.75">
      <c r="A7" s="60" t="s">
        <v>1105</v>
      </c>
      <c r="B7" s="56"/>
      <c r="C7" s="56"/>
      <c r="D7" s="56"/>
      <c r="E7" s="94"/>
      <c r="F7" s="562" t="s">
        <v>1311</v>
      </c>
    </row>
    <row r="8" spans="1:6" ht="15.75">
      <c r="A8" s="60" t="s">
        <v>363</v>
      </c>
      <c r="B8" s="56"/>
      <c r="C8" s="56"/>
      <c r="D8" s="56"/>
      <c r="E8" s="330"/>
      <c r="F8" s="1176" t="str">
        <f>F.1!$I$9</f>
        <v>Witness: Christian</v>
      </c>
    </row>
    <row r="11" spans="1:6">
      <c r="A11" s="927" t="s">
        <v>203</v>
      </c>
      <c r="B11" s="648" t="s">
        <v>154</v>
      </c>
      <c r="C11" s="648" t="s">
        <v>1543</v>
      </c>
      <c r="D11" s="928" t="s">
        <v>103</v>
      </c>
      <c r="E11" s="648" t="s">
        <v>622</v>
      </c>
      <c r="F11" s="648" t="s">
        <v>95</v>
      </c>
    </row>
    <row r="12" spans="1:6">
      <c r="A12" s="981">
        <v>1</v>
      </c>
    </row>
    <row r="13" spans="1:6">
      <c r="A13" s="981">
        <v>2</v>
      </c>
      <c r="B13" s="929" t="s">
        <v>1541</v>
      </c>
      <c r="C13" s="639" t="s">
        <v>1542</v>
      </c>
      <c r="D13" s="95">
        <f>'[13]FY21 OM Budget'!$AN$109</f>
        <v>2782692</v>
      </c>
      <c r="E13" s="41">
        <f>Allocation!E14</f>
        <v>4.9714119999999994E-2</v>
      </c>
      <c r="F13" s="84">
        <f>D13*E13</f>
        <v>138339.08401103999</v>
      </c>
    </row>
    <row r="14" spans="1:6">
      <c r="A14" s="981">
        <v>3</v>
      </c>
      <c r="B14" s="929" t="s">
        <v>1541</v>
      </c>
      <c r="C14" s="95" t="s">
        <v>1547</v>
      </c>
      <c r="D14" s="95">
        <f>'[28]Apr20-Mar21'!$C$3</f>
        <v>1823106.92</v>
      </c>
      <c r="E14" s="665">
        <f>Allocation!I14</f>
        <v>4.9714119999999994E-2</v>
      </c>
      <c r="F14" s="84">
        <f t="shared" ref="F14:F17" si="0">D14*E14</f>
        <v>90634.156193710383</v>
      </c>
    </row>
    <row r="15" spans="1:6" s="639" customFormat="1">
      <c r="A15" s="981">
        <v>4</v>
      </c>
      <c r="B15" s="929" t="s">
        <v>1551</v>
      </c>
      <c r="C15" s="95" t="s">
        <v>1547</v>
      </c>
      <c r="D15" s="95">
        <f>'[28]Apr20-Mar21'!$C$5</f>
        <v>991028.73</v>
      </c>
      <c r="E15" s="665">
        <f>Allocation!I15</f>
        <v>5.5573860000000003E-2</v>
      </c>
      <c r="F15" s="84">
        <f t="shared" si="0"/>
        <v>55075.291896997798</v>
      </c>
    </row>
    <row r="16" spans="1:6" s="639" customFormat="1">
      <c r="A16" s="981">
        <v>5</v>
      </c>
      <c r="B16" s="929" t="s">
        <v>1552</v>
      </c>
      <c r="C16" s="95" t="s">
        <v>1547</v>
      </c>
      <c r="D16" s="95">
        <f>'[28]Apr20-Mar21'!$C$4</f>
        <v>190976.72999999998</v>
      </c>
      <c r="E16" s="358">
        <v>1</v>
      </c>
      <c r="F16" s="84">
        <f t="shared" si="0"/>
        <v>190976.72999999998</v>
      </c>
    </row>
    <row r="17" spans="1:6" s="639" customFormat="1">
      <c r="A17" s="981">
        <v>6</v>
      </c>
      <c r="B17" s="929" t="s">
        <v>1553</v>
      </c>
      <c r="C17" s="95" t="s">
        <v>1547</v>
      </c>
      <c r="D17" s="95">
        <f>'[28]Apr20-Mar21'!$C$6</f>
        <v>83585.36</v>
      </c>
      <c r="E17" s="665">
        <f>Allocation!I17</f>
        <v>0.50419999999999998</v>
      </c>
      <c r="F17" s="84">
        <f t="shared" si="0"/>
        <v>42143.738511999996</v>
      </c>
    </row>
    <row r="18" spans="1:6">
      <c r="A18" s="981">
        <v>7</v>
      </c>
    </row>
    <row r="19" spans="1:6">
      <c r="A19" s="981">
        <v>8</v>
      </c>
      <c r="C19" t="s">
        <v>924</v>
      </c>
      <c r="F19" s="84">
        <f>SUM(F13:F17)</f>
        <v>517169.00061374815</v>
      </c>
    </row>
    <row r="20" spans="1:6">
      <c r="A20" s="639"/>
    </row>
    <row r="21" spans="1:6">
      <c r="A21" s="639"/>
    </row>
    <row r="22" spans="1:6">
      <c r="A22" s="639"/>
    </row>
    <row r="23" spans="1:6">
      <c r="A23" s="72" t="s">
        <v>875</v>
      </c>
    </row>
    <row r="24" spans="1:6">
      <c r="A24" s="639" t="s">
        <v>1571</v>
      </c>
    </row>
    <row r="25" spans="1:6">
      <c r="A25" s="639" t="s">
        <v>1596</v>
      </c>
    </row>
    <row r="26" spans="1:6">
      <c r="A26" s="639"/>
    </row>
    <row r="27" spans="1:6">
      <c r="A27" s="639"/>
    </row>
    <row r="28" spans="1:6">
      <c r="A28" s="639"/>
    </row>
    <row r="29" spans="1:6">
      <c r="A29" s="639"/>
    </row>
    <row r="30" spans="1:6">
      <c r="A30" s="639"/>
    </row>
    <row r="31" spans="1:6">
      <c r="A31" s="639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scale="71" orientation="portrait" r:id="rId1"/>
  <headerFooter>
    <oddFooter>&amp;RSchedule &amp;A
Page &amp;P of &amp;N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3ABE3-4157-48B4-87D5-63550F96B11E}">
  <sheetPr>
    <pageSetUpPr fitToPage="1"/>
  </sheetPr>
  <dimension ref="A1:X97"/>
  <sheetViews>
    <sheetView view="pageBreakPreview" topLeftCell="A34" zoomScale="80" zoomScaleNormal="100" zoomScaleSheetLayoutView="80" workbookViewId="0">
      <selection sqref="A1:J1"/>
    </sheetView>
  </sheetViews>
  <sheetFormatPr defaultColWidth="8.88671875" defaultRowHeight="15"/>
  <cols>
    <col min="1" max="1" width="8.33203125" style="639" customWidth="1"/>
    <col min="2" max="2" width="30.77734375" style="639" customWidth="1"/>
    <col min="3" max="3" width="10.77734375" style="639" bestFit="1" customWidth="1"/>
    <col min="4" max="4" width="13.21875" style="639" bestFit="1" customWidth="1"/>
    <col min="5" max="5" width="11.77734375" style="639" bestFit="1" customWidth="1"/>
    <col min="6" max="6" width="4.21875" style="639" customWidth="1"/>
    <col min="7" max="7" width="13.88671875" style="639" bestFit="1" customWidth="1"/>
    <col min="8" max="8" width="14.88671875" style="639" bestFit="1" customWidth="1"/>
    <col min="9" max="9" width="10.109375" style="639" bestFit="1" customWidth="1"/>
    <col min="10" max="10" width="16" style="639" bestFit="1" customWidth="1"/>
    <col min="11" max="11" width="8.88671875" style="639"/>
    <col min="12" max="12" width="9.6640625" customWidth="1"/>
    <col min="13" max="13" width="9" customWidth="1"/>
    <col min="14" max="14" width="20.33203125" customWidth="1"/>
    <col min="15" max="15" width="20.21875" customWidth="1"/>
    <col min="16" max="16" width="8.77734375"/>
    <col min="17" max="17" width="13.33203125" customWidth="1"/>
    <col min="18" max="18" width="23.109375" customWidth="1"/>
    <col min="19" max="19" width="23.33203125" customWidth="1"/>
    <col min="20" max="21" width="8.21875" customWidth="1"/>
    <col min="22" max="22" width="16.77734375" bestFit="1" customWidth="1"/>
    <col min="23" max="23" width="15" bestFit="1" customWidth="1"/>
    <col min="24" max="24" width="4.109375" bestFit="1" customWidth="1"/>
    <col min="25" max="16384" width="8.88671875" style="639"/>
  </cols>
  <sheetData>
    <row r="1" spans="1:24" ht="15.75">
      <c r="A1" s="1286" t="str">
        <f>'Table of Contents'!A1:C1</f>
        <v>Atmos Energy Corporation, Kentucky/Mid-States Division</v>
      </c>
      <c r="B1" s="1286"/>
      <c r="C1" s="1286"/>
      <c r="D1" s="1286"/>
      <c r="E1" s="1286"/>
      <c r="F1" s="1286"/>
      <c r="G1" s="1286"/>
      <c r="H1" s="1286"/>
      <c r="I1" s="1286"/>
      <c r="J1" s="1286"/>
      <c r="K1" s="565"/>
    </row>
    <row r="2" spans="1:24" ht="15.75">
      <c r="A2" s="1286" t="str">
        <f>'Table of Contents'!A2:C2</f>
        <v>Kentucky Jurisdiction Case No. 2021-00214</v>
      </c>
      <c r="B2" s="1286"/>
      <c r="C2" s="1286"/>
      <c r="D2" s="1286"/>
      <c r="E2" s="1286"/>
      <c r="F2" s="1286"/>
      <c r="G2" s="1286"/>
      <c r="H2" s="1286"/>
      <c r="I2" s="1286"/>
      <c r="J2" s="1286"/>
      <c r="K2" s="983"/>
    </row>
    <row r="3" spans="1:24" ht="15.75">
      <c r="A3" s="1286" t="s">
        <v>1637</v>
      </c>
      <c r="B3" s="1286"/>
      <c r="C3" s="1286"/>
      <c r="D3" s="1286"/>
      <c r="E3" s="1286"/>
      <c r="F3" s="1286"/>
      <c r="G3" s="1286"/>
      <c r="H3" s="1286"/>
      <c r="I3" s="1286"/>
      <c r="J3" s="1286"/>
      <c r="K3" s="565"/>
    </row>
    <row r="4" spans="1:24" ht="15.75">
      <c r="A4" s="1286" t="str">
        <f>'Table of Contents'!A3:C3</f>
        <v>Base Period: Twelve Months Ended September 30, 2021</v>
      </c>
      <c r="B4" s="1286"/>
      <c r="C4" s="1286"/>
      <c r="D4" s="1286"/>
      <c r="E4" s="1286"/>
      <c r="F4" s="1286"/>
      <c r="G4" s="1286"/>
      <c r="H4" s="1286"/>
      <c r="I4" s="1286"/>
      <c r="J4" s="1286"/>
      <c r="K4" s="73"/>
    </row>
    <row r="5" spans="1:24" ht="15.75">
      <c r="A5" s="1286" t="str">
        <f>'Table of Contents'!A4:C4</f>
        <v>Forecasted Test Period: Twelve Months Ended December 31, 2022</v>
      </c>
      <c r="B5" s="1286"/>
      <c r="C5" s="1286"/>
      <c r="D5" s="1286"/>
      <c r="E5" s="1286"/>
      <c r="F5" s="1286"/>
      <c r="G5" s="1286"/>
      <c r="H5" s="1286"/>
      <c r="I5" s="1286"/>
      <c r="J5" s="1286"/>
      <c r="K5" s="73"/>
    </row>
    <row r="6" spans="1:24" ht="15.75">
      <c r="A6" s="12"/>
      <c r="B6" s="1"/>
      <c r="C6" s="1"/>
      <c r="D6" s="1"/>
      <c r="E6" s="1"/>
      <c r="F6" s="1"/>
      <c r="G6" s="1"/>
      <c r="H6" s="1"/>
      <c r="I6" s="1"/>
      <c r="K6" s="73"/>
    </row>
    <row r="7" spans="1:24">
      <c r="A7" s="60" t="s">
        <v>560</v>
      </c>
      <c r="C7" s="1"/>
      <c r="D7" s="1"/>
      <c r="E7" s="1"/>
      <c r="F7" s="1"/>
      <c r="G7" s="1"/>
      <c r="H7" s="1"/>
      <c r="I7" s="1"/>
      <c r="J7" s="462" t="s">
        <v>1353</v>
      </c>
      <c r="K7" s="1"/>
    </row>
    <row r="8" spans="1:24">
      <c r="A8" s="60" t="s">
        <v>610</v>
      </c>
      <c r="C8" s="1"/>
      <c r="D8" s="1"/>
      <c r="E8" s="1"/>
      <c r="F8" s="1"/>
      <c r="G8" s="1"/>
      <c r="H8" s="1"/>
      <c r="I8" s="1"/>
      <c r="J8" s="413" t="s">
        <v>1626</v>
      </c>
      <c r="K8" s="1"/>
    </row>
    <row r="9" spans="1:24">
      <c r="A9" s="463" t="s">
        <v>423</v>
      </c>
      <c r="B9" s="46"/>
      <c r="C9" s="29"/>
      <c r="D9" s="29"/>
      <c r="E9" s="29"/>
      <c r="F9" s="29"/>
      <c r="G9" s="29"/>
      <c r="H9" s="29"/>
      <c r="I9" s="29"/>
      <c r="J9" s="1165" t="str">
        <f>F.1!$I$9</f>
        <v>Witness: Christian</v>
      </c>
      <c r="K9" s="1"/>
    </row>
    <row r="10" spans="1:24" ht="15.75">
      <c r="B10" s="23"/>
      <c r="C10" s="1"/>
      <c r="D10" s="1"/>
      <c r="E10" s="1"/>
      <c r="F10" s="1"/>
      <c r="G10" s="1"/>
      <c r="H10" s="1"/>
      <c r="I10" s="1"/>
      <c r="J10" s="117"/>
      <c r="K10" s="1"/>
    </row>
    <row r="11" spans="1:24" ht="15.75">
      <c r="A11" s="92" t="s">
        <v>92</v>
      </c>
      <c r="B11" s="84"/>
      <c r="C11" s="1274" t="s">
        <v>322</v>
      </c>
      <c r="D11" s="1274"/>
      <c r="E11" s="1274"/>
      <c r="F11" s="31"/>
      <c r="G11" s="1274" t="s">
        <v>1197</v>
      </c>
      <c r="H11" s="1274"/>
      <c r="I11" s="1274"/>
      <c r="J11" s="1274"/>
      <c r="K11" s="1"/>
    </row>
    <row r="12" spans="1:24">
      <c r="A12" s="93" t="s">
        <v>98</v>
      </c>
      <c r="B12" s="93" t="s">
        <v>972</v>
      </c>
      <c r="C12" s="46"/>
      <c r="D12" s="46"/>
      <c r="E12" s="46"/>
      <c r="F12" s="46"/>
      <c r="G12" s="46"/>
      <c r="H12" s="46"/>
      <c r="I12" s="46"/>
      <c r="J12" s="46"/>
      <c r="K12" s="1"/>
    </row>
    <row r="13" spans="1:24" ht="15.75">
      <c r="B13" s="1011"/>
      <c r="C13" s="51"/>
      <c r="D13" s="51"/>
      <c r="E13" s="51"/>
      <c r="F13" s="51"/>
      <c r="G13" s="51"/>
      <c r="H13" s="51"/>
      <c r="I13" s="51"/>
      <c r="J13" s="51"/>
      <c r="L13" s="639"/>
      <c r="M13" s="639"/>
      <c r="N13" s="639"/>
      <c r="O13" s="639"/>
      <c r="P13" s="639"/>
      <c r="Q13" s="639"/>
      <c r="R13" s="639"/>
      <c r="S13" s="639"/>
      <c r="T13" s="639"/>
      <c r="U13" s="639"/>
      <c r="V13" s="639"/>
      <c r="W13" s="639"/>
      <c r="X13" s="639"/>
    </row>
    <row r="14" spans="1:24">
      <c r="B14" s="1027" t="s">
        <v>1647</v>
      </c>
      <c r="C14" s="51"/>
      <c r="D14" s="1022" t="s">
        <v>104</v>
      </c>
      <c r="E14" s="1022" t="s">
        <v>1639</v>
      </c>
      <c r="F14" s="51"/>
      <c r="G14" s="51"/>
      <c r="H14" s="1022" t="s">
        <v>104</v>
      </c>
      <c r="I14" s="1022" t="s">
        <v>1639</v>
      </c>
      <c r="J14" s="1022" t="s">
        <v>1544</v>
      </c>
      <c r="L14" s="639"/>
      <c r="M14" s="639"/>
      <c r="N14" s="639"/>
      <c r="O14" s="639"/>
      <c r="P14" s="639"/>
      <c r="Q14" s="639"/>
      <c r="R14" s="639"/>
      <c r="S14" s="639"/>
      <c r="T14" s="639"/>
      <c r="U14" s="639"/>
      <c r="V14" s="639"/>
      <c r="W14" s="639"/>
      <c r="X14" s="639"/>
    </row>
    <row r="15" spans="1:24" ht="15.75">
      <c r="A15" s="981">
        <v>1</v>
      </c>
      <c r="B15" s="1012" t="s">
        <v>1638</v>
      </c>
      <c r="C15" s="680">
        <v>44104</v>
      </c>
      <c r="D15" s="274">
        <f>'[29]Sep 2020 balances'!$G$18</f>
        <v>-57683.63860000181</v>
      </c>
      <c r="E15" s="985">
        <v>0</v>
      </c>
      <c r="F15" s="94"/>
      <c r="G15" s="1166">
        <f>EOMONTH(C33,1)</f>
        <v>44561</v>
      </c>
      <c r="H15" s="274">
        <f>D33</f>
        <v>-57683.63860000181</v>
      </c>
      <c r="I15" s="985">
        <v>0</v>
      </c>
      <c r="J15" s="274">
        <f>E34</f>
        <v>0</v>
      </c>
      <c r="K15" s="127"/>
    </row>
    <row r="16" spans="1:24">
      <c r="A16" s="91">
        <f>A15+1</f>
        <v>2</v>
      </c>
      <c r="C16" s="1166">
        <f>EOMONTH(C15,1)</f>
        <v>44135</v>
      </c>
      <c r="D16" s="84">
        <f>D15</f>
        <v>-57683.63860000181</v>
      </c>
      <c r="E16" s="1013">
        <v>0</v>
      </c>
      <c r="F16" s="985"/>
      <c r="G16" s="1166">
        <f t="shared" ref="G16:G27" si="0">EOMONTH(G15,1)</f>
        <v>44592</v>
      </c>
      <c r="H16" s="274">
        <f>H15+J16</f>
        <v>-52876.668716668326</v>
      </c>
      <c r="I16" s="1013">
        <v>0</v>
      </c>
      <c r="J16" s="84">
        <f>-$H$15/12</f>
        <v>4806.9698833334842</v>
      </c>
      <c r="K16" s="127"/>
      <c r="L16" s="639"/>
      <c r="M16" s="639"/>
      <c r="N16" s="639"/>
      <c r="O16" s="639"/>
      <c r="P16" s="639"/>
      <c r="Q16" s="639"/>
      <c r="R16" s="639"/>
      <c r="S16" s="639"/>
      <c r="T16" s="639"/>
      <c r="U16" s="639"/>
      <c r="V16" s="639"/>
      <c r="W16" s="639"/>
      <c r="X16" s="639"/>
    </row>
    <row r="17" spans="1:24">
      <c r="A17" s="91">
        <f t="shared" ref="A17:A62" si="1">A16+1</f>
        <v>3</v>
      </c>
      <c r="C17" s="1166">
        <f>EOMONTH(C16,1)</f>
        <v>44165</v>
      </c>
      <c r="D17" s="84">
        <f t="shared" ref="D17:D27" si="2">D16</f>
        <v>-57683.63860000181</v>
      </c>
      <c r="E17" s="1013">
        <v>0</v>
      </c>
      <c r="G17" s="1166">
        <f t="shared" si="0"/>
        <v>44620</v>
      </c>
      <c r="H17" s="274">
        <f t="shared" ref="H17:H27" si="3">H16+J17</f>
        <v>-48069.698833334842</v>
      </c>
      <c r="I17" s="1013">
        <v>0</v>
      </c>
      <c r="J17" s="84">
        <f t="shared" ref="J17:J27" si="4">-$H$15/12</f>
        <v>4806.9698833334842</v>
      </c>
      <c r="K17" s="127"/>
      <c r="L17" s="639"/>
      <c r="M17" s="639"/>
      <c r="N17" s="639"/>
      <c r="O17" s="639"/>
      <c r="P17" s="639"/>
      <c r="Q17" s="639"/>
      <c r="R17" s="639"/>
      <c r="S17" s="639"/>
      <c r="T17" s="639"/>
      <c r="U17" s="639"/>
      <c r="V17" s="639"/>
      <c r="W17" s="639"/>
      <c r="X17" s="639"/>
    </row>
    <row r="18" spans="1:24">
      <c r="A18" s="91">
        <f t="shared" si="1"/>
        <v>4</v>
      </c>
      <c r="C18" s="1166">
        <f t="shared" ref="C18:C33" si="5">EOMONTH(C17,1)</f>
        <v>44196</v>
      </c>
      <c r="D18" s="84">
        <f t="shared" si="2"/>
        <v>-57683.63860000181</v>
      </c>
      <c r="E18" s="1013">
        <v>0</v>
      </c>
      <c r="G18" s="1166">
        <f t="shared" si="0"/>
        <v>44651</v>
      </c>
      <c r="H18" s="274">
        <f t="shared" si="3"/>
        <v>-43262.728950001358</v>
      </c>
      <c r="I18" s="1013">
        <v>0</v>
      </c>
      <c r="J18" s="84">
        <f t="shared" si="4"/>
        <v>4806.9698833334842</v>
      </c>
      <c r="K18" s="127"/>
      <c r="L18" s="639"/>
      <c r="M18" s="639"/>
      <c r="N18" s="639"/>
      <c r="O18" s="639"/>
      <c r="P18" s="639"/>
      <c r="Q18" s="639"/>
      <c r="R18" s="639"/>
      <c r="S18" s="639"/>
      <c r="T18" s="639"/>
      <c r="U18" s="639"/>
      <c r="V18" s="639"/>
      <c r="W18" s="639"/>
      <c r="X18" s="639"/>
    </row>
    <row r="19" spans="1:24">
      <c r="A19" s="91">
        <f t="shared" si="1"/>
        <v>5</v>
      </c>
      <c r="C19" s="1166">
        <f t="shared" si="5"/>
        <v>44227</v>
      </c>
      <c r="D19" s="84">
        <f t="shared" si="2"/>
        <v>-57683.63860000181</v>
      </c>
      <c r="E19" s="1013">
        <v>0</v>
      </c>
      <c r="G19" s="1166">
        <f t="shared" si="0"/>
        <v>44681</v>
      </c>
      <c r="H19" s="274">
        <f t="shared" si="3"/>
        <v>-38455.759066667873</v>
      </c>
      <c r="I19" s="1013">
        <v>0</v>
      </c>
      <c r="J19" s="84">
        <f t="shared" si="4"/>
        <v>4806.9698833334842</v>
      </c>
      <c r="K19" s="127"/>
      <c r="L19" s="639"/>
      <c r="M19" s="639"/>
      <c r="N19" s="639"/>
      <c r="O19" s="639"/>
      <c r="P19" s="639"/>
      <c r="Q19" s="639"/>
      <c r="R19" s="639"/>
      <c r="S19" s="639"/>
      <c r="T19" s="639"/>
      <c r="U19" s="639"/>
      <c r="V19" s="639"/>
      <c r="W19" s="639"/>
      <c r="X19" s="639"/>
    </row>
    <row r="20" spans="1:24">
      <c r="A20" s="91">
        <f t="shared" si="1"/>
        <v>6</v>
      </c>
      <c r="C20" s="1166">
        <f t="shared" si="5"/>
        <v>44255</v>
      </c>
      <c r="D20" s="84">
        <f t="shared" si="2"/>
        <v>-57683.63860000181</v>
      </c>
      <c r="E20" s="1013">
        <v>0</v>
      </c>
      <c r="G20" s="1166">
        <f t="shared" si="0"/>
        <v>44712</v>
      </c>
      <c r="H20" s="274">
        <f t="shared" si="3"/>
        <v>-33648.789183334389</v>
      </c>
      <c r="I20" s="1013">
        <v>0</v>
      </c>
      <c r="J20" s="84">
        <f t="shared" si="4"/>
        <v>4806.9698833334842</v>
      </c>
      <c r="K20" s="127"/>
      <c r="L20" s="639"/>
      <c r="M20" s="639"/>
      <c r="N20" s="639"/>
      <c r="O20" s="639"/>
      <c r="P20" s="639"/>
      <c r="Q20" s="639"/>
      <c r="R20" s="639"/>
      <c r="S20" s="639"/>
      <c r="T20" s="639"/>
      <c r="U20" s="639"/>
      <c r="V20" s="639"/>
      <c r="W20" s="639"/>
      <c r="X20" s="639"/>
    </row>
    <row r="21" spans="1:24">
      <c r="A21" s="91">
        <f t="shared" si="1"/>
        <v>7</v>
      </c>
      <c r="C21" s="1166">
        <f t="shared" si="5"/>
        <v>44286</v>
      </c>
      <c r="D21" s="84">
        <f t="shared" si="2"/>
        <v>-57683.63860000181</v>
      </c>
      <c r="E21" s="1013">
        <v>0</v>
      </c>
      <c r="G21" s="1166">
        <f t="shared" si="0"/>
        <v>44742</v>
      </c>
      <c r="H21" s="274">
        <f t="shared" si="3"/>
        <v>-28841.819300000905</v>
      </c>
      <c r="I21" s="1013">
        <v>0</v>
      </c>
      <c r="J21" s="84">
        <f t="shared" si="4"/>
        <v>4806.9698833334842</v>
      </c>
      <c r="K21" s="127"/>
      <c r="L21" s="639"/>
      <c r="M21" s="639"/>
      <c r="N21" s="639"/>
      <c r="O21" s="639"/>
      <c r="P21" s="639"/>
      <c r="Q21" s="639"/>
      <c r="R21" s="639"/>
      <c r="S21" s="639"/>
      <c r="T21" s="639"/>
      <c r="U21" s="639"/>
      <c r="V21" s="639"/>
      <c r="W21" s="639"/>
      <c r="X21" s="639"/>
    </row>
    <row r="22" spans="1:24">
      <c r="A22" s="91">
        <f t="shared" si="1"/>
        <v>8</v>
      </c>
      <c r="C22" s="1166">
        <f t="shared" si="5"/>
        <v>44316</v>
      </c>
      <c r="D22" s="84">
        <f t="shared" si="2"/>
        <v>-57683.63860000181</v>
      </c>
      <c r="E22" s="1013">
        <v>0</v>
      </c>
      <c r="G22" s="1166">
        <f t="shared" si="0"/>
        <v>44773</v>
      </c>
      <c r="H22" s="274">
        <f t="shared" si="3"/>
        <v>-24034.849416667421</v>
      </c>
      <c r="I22" s="1013">
        <v>0</v>
      </c>
      <c r="J22" s="84">
        <f t="shared" si="4"/>
        <v>4806.9698833334842</v>
      </c>
      <c r="K22" s="127"/>
      <c r="L22" s="639"/>
      <c r="M22" s="639"/>
      <c r="N22" s="639"/>
      <c r="O22" s="639"/>
      <c r="P22" s="639"/>
      <c r="Q22" s="639"/>
      <c r="R22" s="639"/>
      <c r="S22" s="639"/>
      <c r="T22" s="639"/>
      <c r="U22" s="639"/>
      <c r="V22" s="639"/>
      <c r="W22" s="639"/>
      <c r="X22" s="639"/>
    </row>
    <row r="23" spans="1:24">
      <c r="A23" s="91">
        <f t="shared" si="1"/>
        <v>9</v>
      </c>
      <c r="C23" s="1166">
        <f t="shared" si="5"/>
        <v>44347</v>
      </c>
      <c r="D23" s="84">
        <f t="shared" si="2"/>
        <v>-57683.63860000181</v>
      </c>
      <c r="E23" s="1013">
        <v>0</v>
      </c>
      <c r="G23" s="1166">
        <f t="shared" si="0"/>
        <v>44804</v>
      </c>
      <c r="H23" s="274">
        <f t="shared" si="3"/>
        <v>-19227.879533333937</v>
      </c>
      <c r="I23" s="1013">
        <v>0</v>
      </c>
      <c r="J23" s="84">
        <f t="shared" si="4"/>
        <v>4806.9698833334842</v>
      </c>
      <c r="K23" s="127"/>
      <c r="L23" s="639"/>
      <c r="M23" s="639"/>
      <c r="N23" s="639"/>
      <c r="O23" s="639"/>
      <c r="P23" s="639"/>
      <c r="Q23" s="639"/>
      <c r="R23" s="639"/>
      <c r="S23" s="639"/>
      <c r="T23" s="639"/>
      <c r="U23" s="639"/>
      <c r="V23" s="639"/>
      <c r="W23" s="639"/>
      <c r="X23" s="639"/>
    </row>
    <row r="24" spans="1:24">
      <c r="A24" s="91">
        <f t="shared" si="1"/>
        <v>10</v>
      </c>
      <c r="C24" s="1166">
        <f t="shared" si="5"/>
        <v>44377</v>
      </c>
      <c r="D24" s="84">
        <f t="shared" si="2"/>
        <v>-57683.63860000181</v>
      </c>
      <c r="E24" s="1013">
        <v>0</v>
      </c>
      <c r="G24" s="1166">
        <f t="shared" si="0"/>
        <v>44834</v>
      </c>
      <c r="H24" s="274">
        <f t="shared" si="3"/>
        <v>-14420.909650000453</v>
      </c>
      <c r="I24" s="1013">
        <v>0</v>
      </c>
      <c r="J24" s="84">
        <f t="shared" si="4"/>
        <v>4806.9698833334842</v>
      </c>
      <c r="K24" s="127"/>
      <c r="L24" s="639"/>
      <c r="M24" s="639"/>
      <c r="N24" s="639"/>
      <c r="O24" s="639"/>
      <c r="P24" s="639"/>
      <c r="Q24" s="639"/>
      <c r="R24" s="639"/>
      <c r="S24" s="639"/>
      <c r="T24" s="639"/>
      <c r="U24" s="639"/>
      <c r="V24" s="639"/>
      <c r="W24" s="639"/>
      <c r="X24" s="639"/>
    </row>
    <row r="25" spans="1:24">
      <c r="A25" s="91">
        <f t="shared" si="1"/>
        <v>11</v>
      </c>
      <c r="C25" s="1166">
        <f t="shared" si="5"/>
        <v>44408</v>
      </c>
      <c r="D25" s="84">
        <f t="shared" si="2"/>
        <v>-57683.63860000181</v>
      </c>
      <c r="E25" s="1013">
        <v>0</v>
      </c>
      <c r="G25" s="1166">
        <f t="shared" si="0"/>
        <v>44865</v>
      </c>
      <c r="H25" s="274">
        <f t="shared" si="3"/>
        <v>-9613.9397666669684</v>
      </c>
      <c r="I25" s="1013">
        <v>0</v>
      </c>
      <c r="J25" s="84">
        <f t="shared" si="4"/>
        <v>4806.9698833334842</v>
      </c>
      <c r="K25" s="127"/>
      <c r="L25" s="639"/>
      <c r="M25" s="639"/>
      <c r="N25" s="639"/>
      <c r="O25" s="639"/>
      <c r="P25" s="639"/>
      <c r="Q25" s="639"/>
      <c r="R25" s="639"/>
      <c r="S25" s="639"/>
      <c r="T25" s="639"/>
      <c r="U25" s="639"/>
      <c r="V25" s="639"/>
      <c r="W25" s="639"/>
      <c r="X25" s="639"/>
    </row>
    <row r="26" spans="1:24">
      <c r="A26" s="91">
        <f t="shared" si="1"/>
        <v>12</v>
      </c>
      <c r="C26" s="1166">
        <f>EOMONTH(C25,1)</f>
        <v>44439</v>
      </c>
      <c r="D26" s="84">
        <f t="shared" si="2"/>
        <v>-57683.63860000181</v>
      </c>
      <c r="E26" s="1013">
        <v>0</v>
      </c>
      <c r="G26" s="1166">
        <f t="shared" si="0"/>
        <v>44895</v>
      </c>
      <c r="H26" s="274">
        <f t="shared" si="3"/>
        <v>-4806.9698833334842</v>
      </c>
      <c r="I26" s="1013">
        <v>0</v>
      </c>
      <c r="J26" s="84">
        <f t="shared" si="4"/>
        <v>4806.9698833334842</v>
      </c>
      <c r="K26" s="127"/>
      <c r="L26" s="639"/>
      <c r="M26" s="639"/>
      <c r="N26" s="639"/>
      <c r="O26" s="639"/>
      <c r="P26" s="639"/>
      <c r="Q26" s="639"/>
      <c r="R26" s="639"/>
      <c r="S26" s="639"/>
      <c r="T26" s="639"/>
      <c r="U26" s="639"/>
      <c r="V26" s="639"/>
      <c r="W26" s="639"/>
      <c r="X26" s="639"/>
    </row>
    <row r="27" spans="1:24">
      <c r="A27" s="91">
        <f t="shared" si="1"/>
        <v>13</v>
      </c>
      <c r="C27" s="1166">
        <f t="shared" si="5"/>
        <v>44469</v>
      </c>
      <c r="D27" s="84">
        <f t="shared" si="2"/>
        <v>-57683.63860000181</v>
      </c>
      <c r="E27" s="1013">
        <v>0</v>
      </c>
      <c r="G27" s="1166">
        <f t="shared" si="0"/>
        <v>44926</v>
      </c>
      <c r="H27" s="274">
        <f t="shared" si="3"/>
        <v>0</v>
      </c>
      <c r="I27" s="1013">
        <v>0</v>
      </c>
      <c r="J27" s="84">
        <f t="shared" si="4"/>
        <v>4806.9698833334842</v>
      </c>
      <c r="K27" s="127"/>
      <c r="L27" s="639"/>
      <c r="M27" s="639"/>
      <c r="N27" s="639"/>
      <c r="O27" s="639"/>
      <c r="P27" s="639"/>
      <c r="Q27" s="639"/>
      <c r="R27" s="639"/>
      <c r="S27" s="639"/>
      <c r="T27" s="639"/>
      <c r="U27" s="639"/>
      <c r="V27" s="639"/>
      <c r="W27" s="639"/>
      <c r="X27" s="639"/>
    </row>
    <row r="28" spans="1:24">
      <c r="A28" s="91">
        <f t="shared" si="1"/>
        <v>14</v>
      </c>
      <c r="D28" s="1014"/>
      <c r="E28" s="1018"/>
      <c r="G28" s="1016"/>
      <c r="H28" s="1014"/>
      <c r="I28" s="1014"/>
      <c r="J28" s="1017"/>
      <c r="K28" s="127"/>
      <c r="L28" s="639"/>
      <c r="M28" s="639"/>
      <c r="N28" s="639"/>
      <c r="O28" s="639"/>
      <c r="P28" s="639"/>
      <c r="Q28" s="639"/>
      <c r="R28" s="639"/>
      <c r="S28" s="639"/>
      <c r="T28" s="639"/>
      <c r="U28" s="639"/>
      <c r="V28" s="639"/>
      <c r="W28" s="639"/>
      <c r="X28" s="639"/>
    </row>
    <row r="29" spans="1:24">
      <c r="A29" s="91">
        <f t="shared" si="1"/>
        <v>15</v>
      </c>
      <c r="C29" s="680" t="s">
        <v>322</v>
      </c>
      <c r="D29" s="1093">
        <f>AVERAGE(D15:D27)</f>
        <v>-57683.63860000181</v>
      </c>
      <c r="E29" s="1093">
        <f>SUM(E16:E27)</f>
        <v>0</v>
      </c>
      <c r="G29" s="1024" t="s">
        <v>1197</v>
      </c>
      <c r="H29" s="1093">
        <f>AVERAGE(H15:H27)</f>
        <v>-28841.819300000905</v>
      </c>
      <c r="I29" s="1093">
        <f>SUM(I15:I27)</f>
        <v>0</v>
      </c>
      <c r="J29" s="1093">
        <f>SUM(J16:J27)</f>
        <v>57683.63860000181</v>
      </c>
      <c r="K29" s="127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</row>
    <row r="30" spans="1:24">
      <c r="A30" s="91">
        <f t="shared" si="1"/>
        <v>16</v>
      </c>
      <c r="C30" s="1019"/>
      <c r="D30" s="1026" t="s">
        <v>1640</v>
      </c>
      <c r="E30" s="1020"/>
      <c r="G30" s="1019"/>
      <c r="H30" s="1026" t="s">
        <v>1640</v>
      </c>
      <c r="I30" s="1019"/>
      <c r="J30" s="1021"/>
      <c r="K30" s="127"/>
      <c r="L30" s="639"/>
      <c r="M30" s="639"/>
      <c r="N30" s="639"/>
      <c r="O30" s="639"/>
      <c r="P30" s="639"/>
      <c r="Q30" s="639"/>
      <c r="R30" s="639"/>
      <c r="S30" s="639"/>
      <c r="T30" s="639"/>
      <c r="U30" s="639"/>
      <c r="V30" s="639"/>
      <c r="W30" s="639"/>
      <c r="X30" s="639"/>
    </row>
    <row r="31" spans="1:24">
      <c r="A31" s="91">
        <f t="shared" si="1"/>
        <v>17</v>
      </c>
      <c r="C31" s="680"/>
      <c r="E31" s="1013"/>
      <c r="J31" s="984"/>
      <c r="K31" s="127"/>
      <c r="L31" s="639"/>
      <c r="M31" s="639"/>
      <c r="N31" s="639"/>
      <c r="O31" s="639"/>
      <c r="P31" s="639"/>
      <c r="Q31" s="639"/>
      <c r="R31" s="639"/>
      <c r="S31" s="639"/>
      <c r="T31" s="639"/>
      <c r="U31" s="639"/>
      <c r="V31" s="639"/>
      <c r="W31" s="639"/>
      <c r="X31" s="639"/>
    </row>
    <row r="32" spans="1:24">
      <c r="A32" s="91">
        <f t="shared" si="1"/>
        <v>18</v>
      </c>
      <c r="C32" s="1166">
        <f>EOMONTH(C27,1)</f>
        <v>44500</v>
      </c>
      <c r="D32" s="84">
        <f>D27</f>
        <v>-57683.63860000181</v>
      </c>
      <c r="E32" s="1183">
        <f>E27</f>
        <v>0</v>
      </c>
      <c r="J32" s="984"/>
      <c r="K32" s="127"/>
      <c r="L32" s="639"/>
      <c r="M32" s="639"/>
      <c r="N32" s="639"/>
      <c r="O32" s="639"/>
      <c r="P32" s="639"/>
      <c r="Q32" s="639"/>
      <c r="R32" s="639"/>
      <c r="S32" s="639"/>
      <c r="T32" s="639"/>
      <c r="U32" s="639"/>
      <c r="V32" s="639"/>
      <c r="W32" s="639"/>
      <c r="X32" s="639"/>
    </row>
    <row r="33" spans="1:24">
      <c r="A33" s="91">
        <f t="shared" si="1"/>
        <v>19</v>
      </c>
      <c r="C33" s="1166">
        <f t="shared" si="5"/>
        <v>44530</v>
      </c>
      <c r="D33" s="84">
        <f>D32</f>
        <v>-57683.63860000181</v>
      </c>
      <c r="E33" s="1183">
        <f>E32</f>
        <v>0</v>
      </c>
      <c r="J33" s="984"/>
      <c r="K33" s="127"/>
      <c r="L33" s="639"/>
      <c r="M33" s="639"/>
      <c r="N33" s="639"/>
      <c r="O33" s="639"/>
      <c r="P33" s="639"/>
      <c r="Q33" s="639"/>
      <c r="R33" s="639"/>
      <c r="S33" s="639"/>
      <c r="T33" s="639"/>
      <c r="U33" s="639"/>
      <c r="V33" s="639"/>
      <c r="W33" s="639"/>
      <c r="X33" s="639"/>
    </row>
    <row r="34" spans="1:24">
      <c r="A34" s="91">
        <f t="shared" si="1"/>
        <v>20</v>
      </c>
      <c r="C34" s="680"/>
      <c r="E34" s="1013"/>
      <c r="J34" s="984"/>
      <c r="K34" s="127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</row>
    <row r="35" spans="1:24">
      <c r="A35" s="91">
        <f t="shared" si="1"/>
        <v>21</v>
      </c>
      <c r="C35" s="680"/>
      <c r="J35" s="984"/>
      <c r="K35" s="127"/>
      <c r="L35" s="639"/>
      <c r="M35" s="639"/>
      <c r="N35" s="639"/>
      <c r="O35" s="639"/>
      <c r="P35" s="639"/>
      <c r="Q35" s="639"/>
      <c r="R35" s="639"/>
      <c r="S35" s="639"/>
      <c r="T35" s="639"/>
      <c r="U35" s="639"/>
      <c r="V35" s="639"/>
      <c r="W35" s="639"/>
      <c r="X35" s="639"/>
    </row>
    <row r="36" spans="1:24">
      <c r="A36" s="91">
        <f t="shared" si="1"/>
        <v>22</v>
      </c>
      <c r="C36" s="680"/>
      <c r="J36" s="984"/>
      <c r="K36" s="127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</row>
    <row r="37" spans="1:24">
      <c r="A37" s="91">
        <f t="shared" si="1"/>
        <v>23</v>
      </c>
      <c r="B37" s="1027" t="s">
        <v>1647</v>
      </c>
      <c r="D37" s="1022" t="s">
        <v>104</v>
      </c>
      <c r="E37" s="1022" t="s">
        <v>1639</v>
      </c>
      <c r="F37" s="51"/>
      <c r="G37" s="51"/>
      <c r="H37" s="1022" t="s">
        <v>104</v>
      </c>
      <c r="I37" s="1022" t="s">
        <v>1639</v>
      </c>
      <c r="J37" s="1022" t="s">
        <v>1544</v>
      </c>
      <c r="K37" s="127"/>
      <c r="L37" s="639"/>
      <c r="M37" s="639"/>
      <c r="N37" s="639"/>
      <c r="O37" s="639"/>
      <c r="P37" s="639"/>
      <c r="Q37" s="639"/>
      <c r="R37" s="639"/>
      <c r="S37" s="639"/>
      <c r="T37" s="639"/>
      <c r="U37" s="639"/>
      <c r="V37" s="639"/>
      <c r="W37" s="639"/>
      <c r="X37" s="639"/>
    </row>
    <row r="38" spans="1:24">
      <c r="A38" s="91">
        <f t="shared" si="1"/>
        <v>24</v>
      </c>
      <c r="B38" s="1012" t="s">
        <v>1648</v>
      </c>
      <c r="C38" s="680">
        <v>44104</v>
      </c>
      <c r="D38" s="274">
        <f>'[30]Historical Ending Balances'!I23</f>
        <v>-5208777.3899999997</v>
      </c>
      <c r="E38" s="274">
        <f>'[30]Monthly Activity'!N18</f>
        <v>-306398.67</v>
      </c>
      <c r="G38" s="1166">
        <f>EOMONTH(C56,1)</f>
        <v>44561</v>
      </c>
      <c r="H38" s="274">
        <f>D56+I38</f>
        <v>-9804757.4399999995</v>
      </c>
      <c r="I38" s="274">
        <f>E56</f>
        <v>-306398.67</v>
      </c>
      <c r="J38" s="985">
        <v>0</v>
      </c>
      <c r="K38" s="127"/>
      <c r="L38" s="639"/>
      <c r="M38" s="639"/>
      <c r="N38" s="639"/>
      <c r="O38" s="639"/>
      <c r="P38" s="639"/>
      <c r="Q38" s="639"/>
      <c r="R38" s="639"/>
      <c r="S38" s="639"/>
      <c r="T38" s="639"/>
      <c r="U38" s="639"/>
      <c r="V38" s="639"/>
      <c r="W38" s="639"/>
      <c r="X38" s="639"/>
    </row>
    <row r="39" spans="1:24">
      <c r="A39" s="91">
        <f t="shared" si="1"/>
        <v>25</v>
      </c>
      <c r="B39" s="986"/>
      <c r="C39" s="1166">
        <f>EOMONTH(C38,1)</f>
        <v>44135</v>
      </c>
      <c r="D39" s="84">
        <f>'[30]Historical Ending Balances'!I24</f>
        <v>-5515176.0599999996</v>
      </c>
      <c r="E39" s="84">
        <f>'[30]Monthly Activity'!N19</f>
        <v>-306398.67</v>
      </c>
      <c r="G39" s="1166">
        <f t="shared" ref="G39:G50" si="6">EOMONTH(G38,1)</f>
        <v>44592</v>
      </c>
      <c r="H39" s="277">
        <f>H38+J39</f>
        <v>-8987694.3200000003</v>
      </c>
      <c r="I39" s="1023">
        <v>0</v>
      </c>
      <c r="J39" s="84">
        <f>-$H$38/12</f>
        <v>817063.12</v>
      </c>
      <c r="K39" s="127"/>
      <c r="L39" s="639"/>
      <c r="M39" s="639"/>
      <c r="N39" s="639"/>
      <c r="O39" s="639"/>
      <c r="P39" s="639"/>
      <c r="Q39" s="639"/>
      <c r="R39" s="639"/>
      <c r="S39" s="639"/>
      <c r="T39" s="639"/>
      <c r="U39" s="639"/>
      <c r="V39" s="639"/>
      <c r="W39" s="639"/>
      <c r="X39" s="639"/>
    </row>
    <row r="40" spans="1:24">
      <c r="A40" s="91">
        <f t="shared" si="1"/>
        <v>26</v>
      </c>
      <c r="B40" s="986"/>
      <c r="C40" s="1166">
        <f>EOMONTH(C39,1)</f>
        <v>44165</v>
      </c>
      <c r="D40" s="84">
        <f>'[30]Historical Ending Balances'!I25</f>
        <v>-5821574.7300000004</v>
      </c>
      <c r="E40" s="84">
        <f>'[30]Monthly Activity'!N20</f>
        <v>-306398.67</v>
      </c>
      <c r="G40" s="1166">
        <f t="shared" si="6"/>
        <v>44620</v>
      </c>
      <c r="H40" s="277">
        <f t="shared" ref="H40:H50" si="7">H39+J40</f>
        <v>-8170631.2000000002</v>
      </c>
      <c r="I40" s="1023">
        <v>0</v>
      </c>
      <c r="J40" s="84">
        <f t="shared" ref="J40:J50" si="8">-$H$38/12</f>
        <v>817063.12</v>
      </c>
      <c r="K40" s="127"/>
      <c r="L40" s="639"/>
      <c r="M40" s="639"/>
      <c r="N40" s="639"/>
      <c r="O40" s="639"/>
      <c r="P40" s="639"/>
      <c r="Q40" s="639"/>
      <c r="R40" s="639"/>
      <c r="S40" s="639"/>
      <c r="T40" s="639"/>
      <c r="U40" s="639"/>
      <c r="V40" s="639"/>
      <c r="W40" s="639"/>
      <c r="X40" s="639"/>
    </row>
    <row r="41" spans="1:24">
      <c r="A41" s="91">
        <f t="shared" si="1"/>
        <v>27</v>
      </c>
      <c r="B41" s="986"/>
      <c r="C41" s="1166">
        <f t="shared" ref="C41:C50" si="9">EOMONTH(C40,1)</f>
        <v>44196</v>
      </c>
      <c r="D41" s="84">
        <f>'[30]Historical Ending Balances'!I26</f>
        <v>-6127973.4000000004</v>
      </c>
      <c r="E41" s="84">
        <f>'[30]Monthly Activity'!N21</f>
        <v>-306398.67</v>
      </c>
      <c r="G41" s="1166">
        <f t="shared" si="6"/>
        <v>44651</v>
      </c>
      <c r="H41" s="277">
        <f t="shared" si="7"/>
        <v>-7353568.0800000001</v>
      </c>
      <c r="I41" s="1023">
        <v>0</v>
      </c>
      <c r="J41" s="84">
        <f t="shared" si="8"/>
        <v>817063.12</v>
      </c>
      <c r="K41" s="127"/>
      <c r="L41" s="639"/>
      <c r="M41" s="639"/>
      <c r="N41" s="639"/>
      <c r="O41" s="639"/>
      <c r="P41" s="639"/>
      <c r="Q41" s="639"/>
      <c r="R41" s="639"/>
      <c r="S41" s="639"/>
      <c r="T41" s="639"/>
      <c r="U41" s="639"/>
      <c r="V41" s="639"/>
      <c r="W41" s="639"/>
      <c r="X41" s="639"/>
    </row>
    <row r="42" spans="1:24">
      <c r="A42" s="91">
        <f t="shared" si="1"/>
        <v>28</v>
      </c>
      <c r="B42" s="986"/>
      <c r="C42" s="1166">
        <f t="shared" si="9"/>
        <v>44227</v>
      </c>
      <c r="D42" s="84">
        <f>'[30]Historical Ending Balances'!I27</f>
        <v>-6434372.0700000003</v>
      </c>
      <c r="E42" s="84">
        <f>'[30]Monthly Activity'!N22</f>
        <v>-306398.67</v>
      </c>
      <c r="G42" s="1166">
        <f t="shared" si="6"/>
        <v>44681</v>
      </c>
      <c r="H42" s="277">
        <f t="shared" si="7"/>
        <v>-6536504.96</v>
      </c>
      <c r="I42" s="1023">
        <v>0</v>
      </c>
      <c r="J42" s="84">
        <f t="shared" si="8"/>
        <v>817063.12</v>
      </c>
      <c r="K42" s="127"/>
      <c r="L42" s="639"/>
      <c r="M42" s="639"/>
      <c r="N42" s="639"/>
      <c r="O42" s="639"/>
      <c r="P42" s="639"/>
      <c r="Q42" s="639"/>
      <c r="R42" s="639"/>
      <c r="S42" s="639"/>
      <c r="T42" s="639"/>
      <c r="U42" s="639"/>
      <c r="V42" s="639"/>
      <c r="W42" s="639"/>
      <c r="X42" s="639"/>
    </row>
    <row r="43" spans="1:24">
      <c r="A43" s="91">
        <f t="shared" si="1"/>
        <v>29</v>
      </c>
      <c r="B43" s="986"/>
      <c r="C43" s="1166">
        <f t="shared" si="9"/>
        <v>44255</v>
      </c>
      <c r="D43" s="84">
        <f>'[30]Historical Ending Balances'!I28</f>
        <v>-6740770.7400000002</v>
      </c>
      <c r="E43" s="84">
        <f>'[30]Monthly Activity'!N23</f>
        <v>-306398.67</v>
      </c>
      <c r="G43" s="1166">
        <f t="shared" si="6"/>
        <v>44712</v>
      </c>
      <c r="H43" s="277">
        <f t="shared" si="7"/>
        <v>-5719441.8399999999</v>
      </c>
      <c r="I43" s="1023">
        <v>0</v>
      </c>
      <c r="J43" s="84">
        <f t="shared" si="8"/>
        <v>817063.12</v>
      </c>
      <c r="K43" s="127"/>
      <c r="L43" s="639"/>
      <c r="M43" s="639"/>
      <c r="N43" s="639"/>
      <c r="O43" s="639"/>
      <c r="P43" s="639"/>
      <c r="Q43" s="639"/>
      <c r="R43" s="639"/>
      <c r="S43" s="639"/>
      <c r="T43" s="639"/>
      <c r="U43" s="639"/>
      <c r="V43" s="639"/>
      <c r="W43" s="639"/>
      <c r="X43" s="639"/>
    </row>
    <row r="44" spans="1:24">
      <c r="A44" s="91">
        <f t="shared" si="1"/>
        <v>30</v>
      </c>
      <c r="B44" s="986"/>
      <c r="C44" s="1166">
        <f t="shared" si="9"/>
        <v>44286</v>
      </c>
      <c r="D44" s="84">
        <f>'[30]Historical Ending Balances'!I29</f>
        <v>-7047169.4100000001</v>
      </c>
      <c r="E44" s="84">
        <f>'[30]Monthly Activity'!N24</f>
        <v>-306398.67</v>
      </c>
      <c r="G44" s="1166">
        <f t="shared" si="6"/>
        <v>44742</v>
      </c>
      <c r="H44" s="277">
        <f t="shared" si="7"/>
        <v>-4902378.72</v>
      </c>
      <c r="I44" s="1023">
        <v>0</v>
      </c>
      <c r="J44" s="84">
        <f t="shared" si="8"/>
        <v>817063.12</v>
      </c>
      <c r="K44" s="127"/>
      <c r="L44" s="639"/>
      <c r="M44" s="639"/>
      <c r="N44" s="639"/>
      <c r="O44" s="639"/>
      <c r="P44" s="639"/>
      <c r="Q44" s="639"/>
      <c r="R44" s="639"/>
      <c r="S44" s="639"/>
      <c r="T44" s="639"/>
      <c r="U44" s="639"/>
      <c r="V44" s="639"/>
      <c r="W44" s="639"/>
      <c r="X44" s="639"/>
    </row>
    <row r="45" spans="1:24">
      <c r="A45" s="91">
        <f t="shared" si="1"/>
        <v>31</v>
      </c>
      <c r="B45" s="986"/>
      <c r="C45" s="1166">
        <f t="shared" si="9"/>
        <v>44316</v>
      </c>
      <c r="D45" s="84">
        <f>'[30]Historical Ending Balances'!I30</f>
        <v>-7353568.0800000001</v>
      </c>
      <c r="E45" s="84">
        <f>'[30]Monthly Activity'!N25</f>
        <v>-306398.67</v>
      </c>
      <c r="G45" s="1166">
        <f t="shared" si="6"/>
        <v>44773</v>
      </c>
      <c r="H45" s="277">
        <f t="shared" si="7"/>
        <v>-4085315.5999999996</v>
      </c>
      <c r="I45" s="1023">
        <v>0</v>
      </c>
      <c r="J45" s="84">
        <f t="shared" si="8"/>
        <v>817063.12</v>
      </c>
      <c r="K45" s="127"/>
      <c r="L45" s="639"/>
      <c r="M45" s="639"/>
      <c r="N45" s="639"/>
      <c r="O45" s="639"/>
      <c r="P45" s="639"/>
      <c r="Q45" s="639"/>
      <c r="R45" s="639"/>
      <c r="S45" s="639"/>
      <c r="T45" s="639"/>
      <c r="U45" s="639"/>
      <c r="V45" s="639"/>
      <c r="W45" s="639"/>
      <c r="X45" s="639"/>
    </row>
    <row r="46" spans="1:24">
      <c r="A46" s="91">
        <f t="shared" si="1"/>
        <v>32</v>
      </c>
      <c r="B46" s="986"/>
      <c r="C46" s="1166">
        <f t="shared" si="9"/>
        <v>44347</v>
      </c>
      <c r="D46" s="84">
        <f>'[30]Historical Ending Balances'!I31</f>
        <v>-7659966.75</v>
      </c>
      <c r="E46" s="84">
        <f>'[30]Monthly Activity'!N26</f>
        <v>-306398.67</v>
      </c>
      <c r="G46" s="1166">
        <f t="shared" si="6"/>
        <v>44804</v>
      </c>
      <c r="H46" s="277">
        <f t="shared" si="7"/>
        <v>-3268252.4799999995</v>
      </c>
      <c r="I46" s="1023">
        <v>0</v>
      </c>
      <c r="J46" s="84">
        <f t="shared" si="8"/>
        <v>817063.12</v>
      </c>
      <c r="K46" s="127"/>
      <c r="L46" s="639"/>
      <c r="M46" s="639"/>
      <c r="N46" s="639"/>
      <c r="O46" s="639"/>
      <c r="P46" s="639"/>
      <c r="Q46" s="639"/>
      <c r="R46" s="639"/>
      <c r="S46" s="639"/>
      <c r="T46" s="639"/>
      <c r="U46" s="639"/>
      <c r="V46" s="639"/>
      <c r="W46" s="639"/>
      <c r="X46" s="639"/>
    </row>
    <row r="47" spans="1:24">
      <c r="A47" s="91">
        <f t="shared" si="1"/>
        <v>33</v>
      </c>
      <c r="B47"/>
      <c r="C47" s="1166">
        <f t="shared" si="9"/>
        <v>44377</v>
      </c>
      <c r="D47" s="84">
        <f>D46+E47</f>
        <v>-7966365.4199999999</v>
      </c>
      <c r="E47" s="84">
        <f>E46</f>
        <v>-306398.67</v>
      </c>
      <c r="F47"/>
      <c r="G47" s="1166">
        <f t="shared" si="6"/>
        <v>44834</v>
      </c>
      <c r="H47" s="277">
        <f t="shared" si="7"/>
        <v>-2451189.3599999994</v>
      </c>
      <c r="I47" s="1023">
        <v>0</v>
      </c>
      <c r="J47" s="84">
        <f t="shared" si="8"/>
        <v>817063.12</v>
      </c>
      <c r="K47" s="127"/>
    </row>
    <row r="48" spans="1:24">
      <c r="A48" s="91">
        <f t="shared" si="1"/>
        <v>34</v>
      </c>
      <c r="B48"/>
      <c r="C48" s="1166">
        <f t="shared" si="9"/>
        <v>44408</v>
      </c>
      <c r="D48" s="84">
        <f t="shared" ref="D48:D50" si="10">D47+E48</f>
        <v>-8272764.0899999999</v>
      </c>
      <c r="E48" s="84">
        <f t="shared" ref="E48:E50" si="11">E47</f>
        <v>-306398.67</v>
      </c>
      <c r="F48"/>
      <c r="G48" s="1166">
        <f t="shared" si="6"/>
        <v>44865</v>
      </c>
      <c r="H48" s="277">
        <f t="shared" si="7"/>
        <v>-1634126.2399999993</v>
      </c>
      <c r="I48" s="1023">
        <v>0</v>
      </c>
      <c r="J48" s="84">
        <f t="shared" si="8"/>
        <v>817063.12</v>
      </c>
      <c r="K48" s="126"/>
    </row>
    <row r="49" spans="1:24">
      <c r="A49" s="91">
        <f t="shared" si="1"/>
        <v>35</v>
      </c>
      <c r="B49" s="987"/>
      <c r="C49" s="1166">
        <f>EOMONTH(C48,1)</f>
        <v>44439</v>
      </c>
      <c r="D49" s="84">
        <f t="shared" si="10"/>
        <v>-8579162.7599999998</v>
      </c>
      <c r="E49" s="84">
        <f t="shared" si="11"/>
        <v>-306398.67</v>
      </c>
      <c r="F49"/>
      <c r="G49" s="1166">
        <f t="shared" si="6"/>
        <v>44895</v>
      </c>
      <c r="H49" s="277">
        <f t="shared" si="7"/>
        <v>-817063.1199999993</v>
      </c>
      <c r="I49" s="1023">
        <v>0</v>
      </c>
      <c r="J49" s="84">
        <f t="shared" si="8"/>
        <v>817063.12</v>
      </c>
    </row>
    <row r="50" spans="1:24">
      <c r="A50" s="91">
        <f t="shared" si="1"/>
        <v>36</v>
      </c>
      <c r="B50"/>
      <c r="C50" s="1166">
        <f t="shared" si="9"/>
        <v>44469</v>
      </c>
      <c r="D50" s="84">
        <f t="shared" si="10"/>
        <v>-8885561.4299999997</v>
      </c>
      <c r="E50" s="84">
        <f t="shared" si="11"/>
        <v>-306398.67</v>
      </c>
      <c r="G50" s="1166">
        <f t="shared" si="6"/>
        <v>44926</v>
      </c>
      <c r="H50" s="277">
        <f t="shared" si="7"/>
        <v>0</v>
      </c>
      <c r="I50" s="1023">
        <v>0</v>
      </c>
      <c r="J50" s="84">
        <f t="shared" si="8"/>
        <v>817063.12</v>
      </c>
    </row>
    <row r="51" spans="1:24">
      <c r="A51" s="91">
        <f t="shared" si="1"/>
        <v>37</v>
      </c>
      <c r="C51" s="1015"/>
      <c r="D51" s="1014"/>
      <c r="E51" s="1018"/>
      <c r="G51" s="1016"/>
      <c r="H51" s="1014"/>
      <c r="I51" s="1014"/>
      <c r="J51" s="1017"/>
      <c r="L51" s="639"/>
      <c r="M51" s="639"/>
      <c r="N51" s="639"/>
      <c r="O51" s="639"/>
      <c r="P51" s="639"/>
      <c r="Q51" s="639"/>
      <c r="R51" s="639"/>
      <c r="S51" s="639"/>
      <c r="T51" s="639"/>
      <c r="U51" s="639"/>
      <c r="V51" s="639"/>
      <c r="W51" s="639"/>
      <c r="X51" s="639"/>
    </row>
    <row r="52" spans="1:24">
      <c r="A52" s="91">
        <f t="shared" si="1"/>
        <v>38</v>
      </c>
      <c r="C52" s="680" t="s">
        <v>322</v>
      </c>
      <c r="D52" s="1093">
        <f>AVERAGE(D38:D50)</f>
        <v>-7047169.4100000011</v>
      </c>
      <c r="E52" s="1093">
        <f>SUM(E39:E50)</f>
        <v>-3676784.0399999996</v>
      </c>
      <c r="G52" s="1024" t="s">
        <v>1197</v>
      </c>
      <c r="H52" s="1093">
        <f>AVERAGE(H38:H50)</f>
        <v>-4902378.72</v>
      </c>
      <c r="I52" s="1093">
        <f>SUM(I39:I50)</f>
        <v>0</v>
      </c>
      <c r="J52" s="1093">
        <f>SUM(J39:J50)</f>
        <v>9804757.4399999995</v>
      </c>
      <c r="L52" s="639"/>
      <c r="M52" s="639"/>
      <c r="N52" s="639"/>
      <c r="O52" s="639"/>
      <c r="P52" s="639"/>
      <c r="Q52" s="639"/>
      <c r="R52" s="639"/>
      <c r="S52" s="639"/>
      <c r="T52" s="639"/>
      <c r="U52" s="639"/>
      <c r="V52" s="639"/>
      <c r="W52" s="639"/>
      <c r="X52" s="639"/>
    </row>
    <row r="53" spans="1:24">
      <c r="A53" s="91">
        <f t="shared" si="1"/>
        <v>39</v>
      </c>
      <c r="C53" s="680"/>
      <c r="D53" s="1026" t="s">
        <v>1640</v>
      </c>
      <c r="E53" s="1020"/>
      <c r="G53" s="1019"/>
      <c r="H53" s="1026" t="s">
        <v>1640</v>
      </c>
      <c r="I53" s="1019"/>
      <c r="J53" s="1021"/>
      <c r="L53" s="639"/>
      <c r="M53" s="639"/>
      <c r="N53" s="639"/>
      <c r="O53" s="639"/>
      <c r="P53" s="639"/>
      <c r="Q53" s="639"/>
      <c r="R53" s="639"/>
      <c r="S53" s="639"/>
      <c r="T53" s="639"/>
      <c r="U53" s="639"/>
      <c r="V53" s="639"/>
      <c r="W53" s="639"/>
      <c r="X53" s="639"/>
    </row>
    <row r="54" spans="1:24">
      <c r="A54" s="91">
        <f t="shared" si="1"/>
        <v>40</v>
      </c>
      <c r="C54" s="680"/>
      <c r="L54" s="639"/>
      <c r="M54" s="639"/>
      <c r="N54" s="639"/>
      <c r="O54" s="639"/>
      <c r="P54" s="639"/>
      <c r="Q54" s="639"/>
      <c r="R54" s="639"/>
      <c r="S54" s="639"/>
      <c r="T54" s="639"/>
      <c r="U54" s="639"/>
      <c r="V54" s="639"/>
      <c r="W54" s="639"/>
      <c r="X54" s="639"/>
    </row>
    <row r="55" spans="1:24">
      <c r="A55" s="91">
        <f t="shared" si="1"/>
        <v>41</v>
      </c>
      <c r="C55" s="1166">
        <f>EOMONTH(C50,1)</f>
        <v>44500</v>
      </c>
      <c r="D55" s="84">
        <f>D50+E55</f>
        <v>-9191960.0999999996</v>
      </c>
      <c r="E55" s="277">
        <f>E50</f>
        <v>-306398.67</v>
      </c>
      <c r="L55" s="639"/>
      <c r="M55" s="639"/>
      <c r="N55" s="639"/>
      <c r="O55" s="639"/>
      <c r="P55" s="639"/>
      <c r="Q55" s="639"/>
      <c r="R55" s="639"/>
      <c r="S55" s="639"/>
      <c r="T55" s="639"/>
      <c r="U55" s="639"/>
      <c r="V55" s="639"/>
      <c r="W55" s="639"/>
      <c r="X55" s="639"/>
    </row>
    <row r="56" spans="1:24">
      <c r="A56" s="91">
        <f t="shared" si="1"/>
        <v>42</v>
      </c>
      <c r="C56" s="1166">
        <f t="shared" ref="C56" si="12">EOMONTH(C55,1)</f>
        <v>44530</v>
      </c>
      <c r="D56" s="84">
        <f>D55+E56</f>
        <v>-9498358.7699999996</v>
      </c>
      <c r="E56" s="277">
        <f>E55</f>
        <v>-306398.67</v>
      </c>
      <c r="F56" s="990"/>
      <c r="G56" s="990"/>
      <c r="H56" s="990"/>
      <c r="I56" s="990"/>
      <c r="L56" s="639"/>
      <c r="M56" s="639"/>
      <c r="N56" s="639"/>
      <c r="O56" s="639"/>
      <c r="P56" s="639"/>
      <c r="Q56" s="639"/>
      <c r="R56" s="639"/>
      <c r="S56" s="639"/>
      <c r="T56" s="639"/>
      <c r="U56" s="639"/>
      <c r="V56" s="639"/>
      <c r="W56" s="639"/>
      <c r="X56" s="639"/>
    </row>
    <row r="57" spans="1:24">
      <c r="A57" s="91">
        <f t="shared" si="1"/>
        <v>43</v>
      </c>
      <c r="C57" s="680"/>
      <c r="E57" s="1013"/>
      <c r="F57" s="990"/>
      <c r="G57" s="990"/>
      <c r="H57" s="990"/>
      <c r="I57" s="990"/>
      <c r="L57" s="639"/>
      <c r="M57" s="639"/>
      <c r="N57" s="639"/>
      <c r="O57" s="639"/>
      <c r="P57" s="639"/>
      <c r="Q57" s="639"/>
      <c r="R57" s="639"/>
      <c r="S57" s="639"/>
      <c r="T57" s="639"/>
      <c r="U57" s="639"/>
      <c r="V57" s="639"/>
      <c r="W57" s="639"/>
      <c r="X57" s="639"/>
    </row>
    <row r="58" spans="1:24">
      <c r="A58" s="91">
        <f t="shared" si="1"/>
        <v>44</v>
      </c>
      <c r="C58" s="680"/>
      <c r="E58" s="1013"/>
      <c r="F58" s="990"/>
      <c r="G58" s="990"/>
      <c r="H58" s="990"/>
      <c r="I58" s="990"/>
      <c r="L58" s="639"/>
      <c r="M58" s="639"/>
      <c r="N58" s="639"/>
      <c r="O58" s="639"/>
      <c r="P58" s="639"/>
      <c r="Q58" s="639"/>
      <c r="R58" s="639"/>
      <c r="S58" s="639"/>
      <c r="T58" s="639"/>
      <c r="U58" s="639"/>
      <c r="V58" s="639"/>
      <c r="W58" s="639"/>
      <c r="X58" s="639"/>
    </row>
    <row r="59" spans="1:24">
      <c r="A59" s="91">
        <f t="shared" si="1"/>
        <v>45</v>
      </c>
      <c r="C59" s="680"/>
      <c r="E59" s="1013"/>
      <c r="F59" s="990"/>
      <c r="G59" s="990"/>
      <c r="H59" s="990"/>
      <c r="I59" s="990"/>
      <c r="L59" s="639"/>
      <c r="M59" s="639"/>
      <c r="N59" s="639"/>
      <c r="O59" s="639"/>
      <c r="P59" s="639"/>
      <c r="Q59" s="639"/>
      <c r="R59" s="639"/>
      <c r="S59" s="639"/>
      <c r="T59" s="639"/>
      <c r="U59" s="639"/>
      <c r="V59" s="639"/>
      <c r="W59" s="639"/>
      <c r="X59" s="639"/>
    </row>
    <row r="60" spans="1:24">
      <c r="A60" s="91">
        <f t="shared" si="1"/>
        <v>46</v>
      </c>
      <c r="G60" s="680"/>
      <c r="H60" s="601" t="s">
        <v>1642</v>
      </c>
      <c r="J60" s="1022" t="s">
        <v>1544</v>
      </c>
      <c r="L60" s="639"/>
      <c r="M60" s="639"/>
      <c r="N60" s="639"/>
      <c r="O60" s="639"/>
      <c r="P60" s="639"/>
      <c r="Q60" s="639"/>
      <c r="R60" s="639"/>
      <c r="S60" s="639"/>
      <c r="T60" s="639"/>
      <c r="U60" s="639"/>
      <c r="V60" s="639"/>
      <c r="W60" s="639"/>
      <c r="X60" s="639"/>
    </row>
    <row r="61" spans="1:24" ht="15.75" thickBot="1">
      <c r="A61" s="91">
        <f t="shared" si="1"/>
        <v>47</v>
      </c>
      <c r="B61" s="639" t="s">
        <v>1641</v>
      </c>
      <c r="G61" s="1024" t="s">
        <v>1197</v>
      </c>
      <c r="H61" s="1082">
        <f>H52+H29</f>
        <v>-4931220.5393000003</v>
      </c>
      <c r="J61" s="1082">
        <f>J52+J29</f>
        <v>9862441.0786000006</v>
      </c>
      <c r="L61" s="639"/>
      <c r="M61" s="639"/>
      <c r="N61" s="639"/>
      <c r="O61" s="639"/>
      <c r="P61" s="639"/>
      <c r="Q61" s="639"/>
      <c r="R61" s="639"/>
      <c r="S61" s="639"/>
      <c r="T61" s="639"/>
      <c r="U61" s="639"/>
      <c r="V61" s="639"/>
      <c r="W61" s="639"/>
      <c r="X61" s="639"/>
    </row>
    <row r="62" spans="1:24" ht="15.75" thickTop="1">
      <c r="A62" s="91">
        <f t="shared" si="1"/>
        <v>48</v>
      </c>
      <c r="C62" s="680"/>
      <c r="E62" s="1013"/>
      <c r="L62" s="639"/>
      <c r="M62" s="639"/>
      <c r="N62" s="639"/>
      <c r="O62" s="639"/>
      <c r="P62" s="639"/>
      <c r="Q62" s="639"/>
      <c r="R62" s="639"/>
      <c r="S62" s="639"/>
      <c r="T62" s="639"/>
      <c r="U62" s="639"/>
      <c r="V62" s="639"/>
      <c r="W62" s="639"/>
      <c r="X62" s="639"/>
    </row>
    <row r="63" spans="1:24">
      <c r="A63" s="132"/>
      <c r="L63" s="639"/>
      <c r="M63" s="639"/>
      <c r="N63" s="639"/>
      <c r="O63" s="639"/>
      <c r="P63" s="639"/>
      <c r="Q63" s="639"/>
      <c r="R63" s="639"/>
      <c r="S63" s="639"/>
      <c r="T63" s="639"/>
      <c r="U63" s="639"/>
      <c r="V63" s="639"/>
      <c r="W63" s="639"/>
      <c r="X63" s="639"/>
    </row>
    <row r="64" spans="1:24">
      <c r="A64" s="132"/>
      <c r="L64" s="639"/>
      <c r="M64" s="639"/>
      <c r="N64" s="639"/>
      <c r="O64" s="639"/>
      <c r="P64" s="639"/>
      <c r="Q64" s="639"/>
      <c r="R64" s="639"/>
      <c r="S64" s="639"/>
      <c r="T64" s="639"/>
      <c r="U64" s="639"/>
      <c r="V64" s="639"/>
      <c r="W64" s="639"/>
      <c r="X64" s="639"/>
    </row>
    <row r="65" spans="1:11">
      <c r="B65" s="639" t="s">
        <v>514</v>
      </c>
    </row>
    <row r="66" spans="1:11">
      <c r="B66" s="639" t="s">
        <v>1628</v>
      </c>
    </row>
    <row r="67" spans="1:11">
      <c r="B67" s="639" t="s">
        <v>1643</v>
      </c>
    </row>
    <row r="69" spans="1:11">
      <c r="B69" s="639" t="s">
        <v>1646</v>
      </c>
    </row>
    <row r="70" spans="1:11">
      <c r="B70" s="477"/>
    </row>
    <row r="73" spans="1:11">
      <c r="A73" s="341"/>
      <c r="B73" s="674"/>
      <c r="C73" s="73"/>
      <c r="F73" s="73"/>
      <c r="G73" s="73"/>
      <c r="H73" s="73"/>
      <c r="I73" s="73"/>
      <c r="J73" s="73"/>
      <c r="K73" s="1"/>
    </row>
    <row r="74" spans="1:11">
      <c r="A74" s="341"/>
      <c r="B74" s="675"/>
      <c r="C74" s="73"/>
      <c r="D74" s="73"/>
      <c r="E74" s="73"/>
      <c r="F74" s="73"/>
      <c r="G74" s="73"/>
      <c r="H74" s="73"/>
      <c r="I74" s="73"/>
      <c r="J74" s="73"/>
      <c r="K74" s="1"/>
    </row>
    <row r="75" spans="1:11">
      <c r="A75" s="341"/>
      <c r="B75" s="676"/>
      <c r="C75" s="73"/>
      <c r="D75" s="73"/>
      <c r="E75" s="73"/>
      <c r="F75" s="73"/>
      <c r="G75" s="73"/>
      <c r="H75" s="73"/>
      <c r="I75" s="73"/>
      <c r="J75" s="72"/>
      <c r="K75" s="1"/>
    </row>
    <row r="76" spans="1:11">
      <c r="A76" s="341"/>
      <c r="B76" s="676"/>
      <c r="C76" s="73"/>
      <c r="D76" s="73"/>
      <c r="E76" s="73"/>
      <c r="F76" s="73"/>
      <c r="G76" s="73"/>
      <c r="H76" s="73"/>
      <c r="I76" s="73"/>
      <c r="J76" s="72"/>
      <c r="K76" s="1"/>
    </row>
    <row r="77" spans="1:11">
      <c r="A77" s="341"/>
      <c r="B77" s="676"/>
      <c r="C77" s="73"/>
      <c r="D77" s="73"/>
      <c r="E77" s="73"/>
      <c r="F77" s="73"/>
      <c r="G77" s="73"/>
      <c r="H77" s="73"/>
      <c r="I77" s="73"/>
      <c r="J77" s="72"/>
      <c r="K77" s="1"/>
    </row>
    <row r="78" spans="1:11">
      <c r="A78" s="341"/>
      <c r="B78" s="676"/>
      <c r="C78" s="73"/>
      <c r="D78" s="73"/>
      <c r="E78" s="73"/>
      <c r="F78" s="73"/>
      <c r="G78" s="73"/>
      <c r="H78" s="73"/>
      <c r="I78" s="73"/>
      <c r="J78" s="66"/>
      <c r="K78" s="1"/>
    </row>
    <row r="79" spans="1:11">
      <c r="A79" s="341"/>
      <c r="B79" s="676"/>
      <c r="C79" s="73"/>
      <c r="D79" s="73"/>
      <c r="E79" s="73"/>
      <c r="F79" s="72"/>
      <c r="G79" s="72"/>
      <c r="H79" s="72"/>
      <c r="I79" s="72"/>
      <c r="J79" s="66"/>
      <c r="K79" s="1"/>
    </row>
    <row r="80" spans="1:11">
      <c r="A80" s="341"/>
      <c r="B80" s="341"/>
      <c r="C80" s="1"/>
      <c r="D80" s="72"/>
      <c r="E80" s="72"/>
      <c r="F80" s="1"/>
      <c r="G80" s="1"/>
      <c r="H80" s="1"/>
      <c r="I80" s="1"/>
      <c r="J80" s="1"/>
      <c r="K80" s="1"/>
    </row>
    <row r="81" spans="2:5">
      <c r="D81" s="1"/>
      <c r="E81" s="1"/>
    </row>
    <row r="96" spans="2:5">
      <c r="B96" s="639" t="s">
        <v>1602</v>
      </c>
    </row>
    <row r="97" spans="2:2">
      <c r="B97" s="639" t="s">
        <v>1590</v>
      </c>
    </row>
  </sheetData>
  <mergeCells count="7">
    <mergeCell ref="A1:J1"/>
    <mergeCell ref="A2:J2"/>
    <mergeCell ref="A3:J3"/>
    <mergeCell ref="C11:E11"/>
    <mergeCell ref="G11:J11"/>
    <mergeCell ref="A4:J4"/>
    <mergeCell ref="A5:J5"/>
  </mergeCells>
  <printOptions horizontalCentered="1"/>
  <pageMargins left="1" right="0.87" top="1" bottom="1" header="0.5" footer="0.5"/>
  <pageSetup scale="52" orientation="portrait" verticalDpi="300" r:id="rId1"/>
  <headerFooter alignWithMargins="0">
    <oddFooter>&amp;RSchedule &amp;A
Page &amp;P of &amp;N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D1F32-A60B-4CC2-A067-60778F6E1103}">
  <sheetPr>
    <pageSetUpPr fitToPage="1"/>
  </sheetPr>
  <dimension ref="A1:K97"/>
  <sheetViews>
    <sheetView view="pageBreakPreview" topLeftCell="A8" zoomScale="80" zoomScaleNormal="100" zoomScaleSheetLayoutView="80" workbookViewId="0">
      <selection sqref="A1:J1"/>
    </sheetView>
  </sheetViews>
  <sheetFormatPr defaultColWidth="8.88671875" defaultRowHeight="15"/>
  <cols>
    <col min="1" max="1" width="8.33203125" style="639" customWidth="1"/>
    <col min="2" max="2" width="30.77734375" style="639" customWidth="1"/>
    <col min="3" max="3" width="10.77734375" style="639" bestFit="1" customWidth="1"/>
    <col min="4" max="4" width="13.21875" style="639" bestFit="1" customWidth="1"/>
    <col min="5" max="5" width="11.77734375" style="639" bestFit="1" customWidth="1"/>
    <col min="6" max="6" width="4.21875" style="639" customWidth="1"/>
    <col min="7" max="7" width="13.88671875" style="639" bestFit="1" customWidth="1"/>
    <col min="8" max="8" width="14.88671875" style="639" bestFit="1" customWidth="1"/>
    <col min="9" max="9" width="10.109375" style="639" bestFit="1" customWidth="1"/>
    <col min="10" max="10" width="16" style="639" bestFit="1" customWidth="1"/>
    <col min="11" max="11" width="8.88671875" style="639"/>
    <col min="12" max="12" width="9.6640625" style="639" customWidth="1"/>
    <col min="13" max="13" width="9" style="639" customWidth="1"/>
    <col min="14" max="14" width="20.33203125" style="639" customWidth="1"/>
    <col min="15" max="15" width="20.21875" style="639" customWidth="1"/>
    <col min="16" max="16" width="8.88671875" style="639"/>
    <col min="17" max="17" width="13.33203125" style="639" customWidth="1"/>
    <col min="18" max="18" width="23.109375" style="639" customWidth="1"/>
    <col min="19" max="19" width="23.33203125" style="639" customWidth="1"/>
    <col min="20" max="21" width="8.21875" style="639" customWidth="1"/>
    <col min="22" max="22" width="16.77734375" style="639" bestFit="1" customWidth="1"/>
    <col min="23" max="23" width="15" style="639" bestFit="1" customWidth="1"/>
    <col min="24" max="24" width="4.109375" style="639" bestFit="1" customWidth="1"/>
    <col min="25" max="16384" width="8.88671875" style="639"/>
  </cols>
  <sheetData>
    <row r="1" spans="1:11" ht="15.75">
      <c r="A1" s="1286" t="str">
        <f>'Table of Contents'!A1:C1</f>
        <v>Atmos Energy Corporation, Kentucky/Mid-States Division</v>
      </c>
      <c r="B1" s="1286"/>
      <c r="C1" s="1286"/>
      <c r="D1" s="1286"/>
      <c r="E1" s="1286"/>
      <c r="F1" s="1286"/>
      <c r="G1" s="1286"/>
      <c r="H1" s="1286"/>
      <c r="I1" s="1286"/>
      <c r="J1" s="1286"/>
      <c r="K1" s="565"/>
    </row>
    <row r="2" spans="1:11" ht="15.75">
      <c r="A2" s="1286" t="str">
        <f>'Table of Contents'!A2:C2</f>
        <v>Kentucky Jurisdiction Case No. 2021-00214</v>
      </c>
      <c r="B2" s="1286"/>
      <c r="C2" s="1286"/>
      <c r="D2" s="1286"/>
      <c r="E2" s="1286"/>
      <c r="F2" s="1286"/>
      <c r="G2" s="1286"/>
      <c r="H2" s="1286"/>
      <c r="I2" s="1286"/>
      <c r="J2" s="1286"/>
      <c r="K2" s="991"/>
    </row>
    <row r="3" spans="1:11" ht="15.75">
      <c r="A3" s="1286" t="s">
        <v>1637</v>
      </c>
      <c r="B3" s="1286"/>
      <c r="C3" s="1286"/>
      <c r="D3" s="1286"/>
      <c r="E3" s="1286"/>
      <c r="F3" s="1286"/>
      <c r="G3" s="1286"/>
      <c r="H3" s="1286"/>
      <c r="I3" s="1286"/>
      <c r="J3" s="1286"/>
      <c r="K3" s="565"/>
    </row>
    <row r="4" spans="1:11" ht="15.75">
      <c r="A4" s="1286" t="str">
        <f>'Table of Contents'!A3:C3</f>
        <v>Base Period: Twelve Months Ended September 30, 2021</v>
      </c>
      <c r="B4" s="1286"/>
      <c r="C4" s="1286"/>
      <c r="D4" s="1286"/>
      <c r="E4" s="1286"/>
      <c r="F4" s="1286"/>
      <c r="G4" s="1286"/>
      <c r="H4" s="1286"/>
      <c r="I4" s="1286"/>
      <c r="J4" s="1286"/>
      <c r="K4" s="73"/>
    </row>
    <row r="5" spans="1:11" ht="15.75">
      <c r="A5" s="1286" t="str">
        <f>'Table of Contents'!A4:C4</f>
        <v>Forecasted Test Period: Twelve Months Ended December 31, 2022</v>
      </c>
      <c r="B5" s="1286"/>
      <c r="C5" s="1286"/>
      <c r="D5" s="1286"/>
      <c r="E5" s="1286"/>
      <c r="F5" s="1286"/>
      <c r="G5" s="1286"/>
      <c r="H5" s="1286"/>
      <c r="I5" s="1286"/>
      <c r="J5" s="1286"/>
      <c r="K5" s="73"/>
    </row>
    <row r="6" spans="1:11" ht="15.75">
      <c r="A6" s="12"/>
      <c r="B6" s="1"/>
      <c r="C6" s="1"/>
      <c r="D6" s="1"/>
      <c r="E6" s="1"/>
      <c r="F6" s="1"/>
      <c r="G6" s="1"/>
      <c r="H6" s="1"/>
      <c r="I6" s="1"/>
      <c r="K6" s="73"/>
    </row>
    <row r="7" spans="1:11">
      <c r="A7" s="60" t="s">
        <v>560</v>
      </c>
      <c r="C7" s="1"/>
      <c r="D7" s="1"/>
      <c r="E7" s="1"/>
      <c r="F7" s="1"/>
      <c r="G7" s="1"/>
      <c r="H7" s="1"/>
      <c r="I7" s="1"/>
      <c r="J7" s="462" t="s">
        <v>1353</v>
      </c>
      <c r="K7" s="1"/>
    </row>
    <row r="8" spans="1:11">
      <c r="A8" s="60" t="s">
        <v>610</v>
      </c>
      <c r="C8" s="1"/>
      <c r="D8" s="1"/>
      <c r="E8" s="1"/>
      <c r="F8" s="1"/>
      <c r="G8" s="1"/>
      <c r="H8" s="1"/>
      <c r="I8" s="1"/>
      <c r="J8" s="413" t="s">
        <v>1626</v>
      </c>
      <c r="K8" s="1"/>
    </row>
    <row r="9" spans="1:11">
      <c r="A9" s="463" t="s">
        <v>423</v>
      </c>
      <c r="B9" s="46"/>
      <c r="C9" s="29"/>
      <c r="D9" s="29"/>
      <c r="E9" s="29"/>
      <c r="F9" s="29"/>
      <c r="G9" s="29"/>
      <c r="H9" s="29"/>
      <c r="I9" s="29"/>
      <c r="J9" s="1165" t="str">
        <f>F.1!$I$9</f>
        <v>Witness: Christian</v>
      </c>
      <c r="K9" s="1"/>
    </row>
    <row r="10" spans="1:11" ht="15.75">
      <c r="B10" s="23"/>
      <c r="C10" s="1"/>
      <c r="D10" s="1"/>
      <c r="E10" s="1"/>
      <c r="F10" s="1"/>
      <c r="G10" s="1"/>
      <c r="H10" s="1"/>
      <c r="I10" s="1"/>
      <c r="J10" s="117"/>
      <c r="K10" s="1"/>
    </row>
    <row r="11" spans="1:11" ht="15.75">
      <c r="A11" s="92" t="s">
        <v>92</v>
      </c>
      <c r="B11" s="84"/>
      <c r="C11" s="1274" t="s">
        <v>322</v>
      </c>
      <c r="D11" s="1274"/>
      <c r="E11" s="1274"/>
      <c r="F11" s="31"/>
      <c r="G11" s="1274" t="s">
        <v>1197</v>
      </c>
      <c r="H11" s="1274"/>
      <c r="I11" s="1274"/>
      <c r="J11" s="1274"/>
      <c r="K11" s="1"/>
    </row>
    <row r="12" spans="1:11">
      <c r="A12" s="93" t="s">
        <v>98</v>
      </c>
      <c r="B12" s="93" t="s">
        <v>972</v>
      </c>
      <c r="C12" s="46"/>
      <c r="D12" s="46"/>
      <c r="E12" s="46"/>
      <c r="F12" s="46"/>
      <c r="G12" s="46"/>
      <c r="H12" s="46"/>
      <c r="I12" s="46"/>
      <c r="J12" s="46"/>
      <c r="K12" s="1"/>
    </row>
    <row r="13" spans="1:11" ht="15.75">
      <c r="B13" s="1011"/>
      <c r="C13" s="51"/>
      <c r="D13" s="51"/>
      <c r="E13" s="51"/>
      <c r="F13" s="51"/>
      <c r="G13" s="1298" t="s">
        <v>1644</v>
      </c>
      <c r="H13" s="1298"/>
      <c r="I13" s="1298"/>
      <c r="J13" s="1298"/>
    </row>
    <row r="14" spans="1:11">
      <c r="B14" s="1027" t="s">
        <v>1647</v>
      </c>
      <c r="C14" s="51"/>
      <c r="D14" s="1022" t="s">
        <v>104</v>
      </c>
      <c r="E14" s="1022" t="s">
        <v>1639</v>
      </c>
      <c r="F14" s="51"/>
      <c r="G14" s="51"/>
      <c r="H14" s="1022" t="s">
        <v>104</v>
      </c>
      <c r="I14" s="1022" t="s">
        <v>1639</v>
      </c>
      <c r="J14" s="1022" t="s">
        <v>1544</v>
      </c>
    </row>
    <row r="15" spans="1:11" ht="15.75">
      <c r="A15" s="990">
        <v>1</v>
      </c>
      <c r="B15" s="1012" t="s">
        <v>1638</v>
      </c>
      <c r="C15" s="680">
        <v>44104</v>
      </c>
      <c r="D15" s="274">
        <f>'[29]Sep 2020 balances'!$G$18</f>
        <v>-57683.63860000181</v>
      </c>
      <c r="E15" s="985">
        <v>0</v>
      </c>
      <c r="F15" s="94"/>
      <c r="G15" s="1166">
        <f>EOMONTH(C33,1)</f>
        <v>44561</v>
      </c>
      <c r="H15" s="274">
        <f>D33+I15+J15</f>
        <v>-57683.63860000181</v>
      </c>
      <c r="I15" s="274">
        <f>E34</f>
        <v>0</v>
      </c>
      <c r="J15" s="274">
        <f>E34</f>
        <v>0</v>
      </c>
      <c r="K15" s="127"/>
    </row>
    <row r="16" spans="1:11">
      <c r="A16" s="91">
        <f>A15+1</f>
        <v>2</v>
      </c>
      <c r="C16" s="1166">
        <f>EOMONTH(C15,1)</f>
        <v>44135</v>
      </c>
      <c r="D16" s="84">
        <f>D15</f>
        <v>-57683.63860000181</v>
      </c>
      <c r="E16" s="1013">
        <v>0</v>
      </c>
      <c r="F16" s="985"/>
      <c r="G16" s="1166">
        <f t="shared" ref="G16:G27" si="0">EOMONTH(G15,1)</f>
        <v>44592</v>
      </c>
      <c r="H16" s="277">
        <f>H15+I16+J16</f>
        <v>-57683.63860000181</v>
      </c>
      <c r="I16" s="1183">
        <f>I15</f>
        <v>0</v>
      </c>
      <c r="J16" s="1013">
        <v>0</v>
      </c>
      <c r="K16" s="127"/>
    </row>
    <row r="17" spans="1:11">
      <c r="A17" s="91">
        <f t="shared" ref="A17:A62" si="1">A16+1</f>
        <v>3</v>
      </c>
      <c r="C17" s="1166">
        <f>EOMONTH(C16,1)</f>
        <v>44165</v>
      </c>
      <c r="D17" s="84">
        <f t="shared" ref="D17:D27" si="2">D16</f>
        <v>-57683.63860000181</v>
      </c>
      <c r="E17" s="1013">
        <v>0</v>
      </c>
      <c r="G17" s="1166">
        <f t="shared" si="0"/>
        <v>44620</v>
      </c>
      <c r="H17" s="277">
        <f t="shared" ref="H17:H27" si="3">H16+I17+J17</f>
        <v>-57683.63860000181</v>
      </c>
      <c r="I17" s="1183">
        <f>I16</f>
        <v>0</v>
      </c>
      <c r="J17" s="1013">
        <v>0</v>
      </c>
      <c r="K17" s="127"/>
    </row>
    <row r="18" spans="1:11">
      <c r="A18" s="91">
        <f t="shared" si="1"/>
        <v>4</v>
      </c>
      <c r="C18" s="1166">
        <f t="shared" ref="C18:C33" si="4">EOMONTH(C17,1)</f>
        <v>44196</v>
      </c>
      <c r="D18" s="84">
        <f t="shared" si="2"/>
        <v>-57683.63860000181</v>
      </c>
      <c r="E18" s="1013">
        <v>0</v>
      </c>
      <c r="G18" s="1166">
        <f t="shared" si="0"/>
        <v>44651</v>
      </c>
      <c r="H18" s="277">
        <f t="shared" si="3"/>
        <v>-52876.668716668326</v>
      </c>
      <c r="I18" s="1183">
        <f>I17</f>
        <v>0</v>
      </c>
      <c r="J18" s="84">
        <f t="shared" ref="J18:J27" si="5">-$H$15/12</f>
        <v>4806.9698833334842</v>
      </c>
      <c r="K18" s="127"/>
    </row>
    <row r="19" spans="1:11">
      <c r="A19" s="91">
        <f t="shared" si="1"/>
        <v>5</v>
      </c>
      <c r="C19" s="1166">
        <f t="shared" si="4"/>
        <v>44227</v>
      </c>
      <c r="D19" s="84">
        <f t="shared" si="2"/>
        <v>-57683.63860000181</v>
      </c>
      <c r="E19" s="1013">
        <v>0</v>
      </c>
      <c r="G19" s="1166">
        <f t="shared" si="0"/>
        <v>44681</v>
      </c>
      <c r="H19" s="277">
        <f t="shared" si="3"/>
        <v>-48069.698833334842</v>
      </c>
      <c r="I19" s="1183">
        <f t="shared" ref="I19:I27" si="6">I18</f>
        <v>0</v>
      </c>
      <c r="J19" s="84">
        <f t="shared" si="5"/>
        <v>4806.9698833334842</v>
      </c>
      <c r="K19" s="127"/>
    </row>
    <row r="20" spans="1:11">
      <c r="A20" s="91">
        <f t="shared" si="1"/>
        <v>6</v>
      </c>
      <c r="C20" s="1166">
        <f t="shared" si="4"/>
        <v>44255</v>
      </c>
      <c r="D20" s="84">
        <f t="shared" si="2"/>
        <v>-57683.63860000181</v>
      </c>
      <c r="E20" s="1013">
        <v>0</v>
      </c>
      <c r="G20" s="1166">
        <f t="shared" si="0"/>
        <v>44712</v>
      </c>
      <c r="H20" s="277">
        <f t="shared" si="3"/>
        <v>-43262.728950001358</v>
      </c>
      <c r="I20" s="1183">
        <f t="shared" si="6"/>
        <v>0</v>
      </c>
      <c r="J20" s="84">
        <f t="shared" si="5"/>
        <v>4806.9698833334842</v>
      </c>
      <c r="K20" s="127"/>
    </row>
    <row r="21" spans="1:11">
      <c r="A21" s="91">
        <f t="shared" si="1"/>
        <v>7</v>
      </c>
      <c r="C21" s="1166">
        <f t="shared" si="4"/>
        <v>44286</v>
      </c>
      <c r="D21" s="84">
        <f t="shared" si="2"/>
        <v>-57683.63860000181</v>
      </c>
      <c r="E21" s="1013">
        <v>0</v>
      </c>
      <c r="G21" s="1166">
        <f t="shared" si="0"/>
        <v>44742</v>
      </c>
      <c r="H21" s="277">
        <f t="shared" si="3"/>
        <v>-38455.759066667873</v>
      </c>
      <c r="I21" s="1183">
        <f t="shared" si="6"/>
        <v>0</v>
      </c>
      <c r="J21" s="84">
        <f t="shared" si="5"/>
        <v>4806.9698833334842</v>
      </c>
      <c r="K21" s="127"/>
    </row>
    <row r="22" spans="1:11">
      <c r="A22" s="91">
        <f t="shared" si="1"/>
        <v>8</v>
      </c>
      <c r="C22" s="1166">
        <f t="shared" si="4"/>
        <v>44316</v>
      </c>
      <c r="D22" s="84">
        <f t="shared" si="2"/>
        <v>-57683.63860000181</v>
      </c>
      <c r="E22" s="1013">
        <v>0</v>
      </c>
      <c r="G22" s="1166">
        <f t="shared" si="0"/>
        <v>44773</v>
      </c>
      <c r="H22" s="277">
        <f t="shared" si="3"/>
        <v>-33648.789183334389</v>
      </c>
      <c r="I22" s="1183">
        <f t="shared" si="6"/>
        <v>0</v>
      </c>
      <c r="J22" s="84">
        <f t="shared" si="5"/>
        <v>4806.9698833334842</v>
      </c>
      <c r="K22" s="127"/>
    </row>
    <row r="23" spans="1:11">
      <c r="A23" s="91">
        <f t="shared" si="1"/>
        <v>9</v>
      </c>
      <c r="C23" s="1166">
        <f t="shared" si="4"/>
        <v>44347</v>
      </c>
      <c r="D23" s="84">
        <f t="shared" si="2"/>
        <v>-57683.63860000181</v>
      </c>
      <c r="E23" s="1013">
        <v>0</v>
      </c>
      <c r="G23" s="1166">
        <f t="shared" si="0"/>
        <v>44804</v>
      </c>
      <c r="H23" s="277">
        <f t="shared" si="3"/>
        <v>-28841.819300000905</v>
      </c>
      <c r="I23" s="1183">
        <f t="shared" si="6"/>
        <v>0</v>
      </c>
      <c r="J23" s="84">
        <f t="shared" si="5"/>
        <v>4806.9698833334842</v>
      </c>
      <c r="K23" s="127"/>
    </row>
    <row r="24" spans="1:11">
      <c r="A24" s="91">
        <f t="shared" si="1"/>
        <v>10</v>
      </c>
      <c r="C24" s="1166">
        <f t="shared" si="4"/>
        <v>44377</v>
      </c>
      <c r="D24" s="84">
        <f t="shared" si="2"/>
        <v>-57683.63860000181</v>
      </c>
      <c r="E24" s="1013">
        <v>0</v>
      </c>
      <c r="G24" s="1166">
        <f t="shared" si="0"/>
        <v>44834</v>
      </c>
      <c r="H24" s="277">
        <f t="shared" si="3"/>
        <v>-24034.849416667421</v>
      </c>
      <c r="I24" s="1183">
        <f t="shared" si="6"/>
        <v>0</v>
      </c>
      <c r="J24" s="84">
        <f t="shared" si="5"/>
        <v>4806.9698833334842</v>
      </c>
      <c r="K24" s="127"/>
    </row>
    <row r="25" spans="1:11">
      <c r="A25" s="91">
        <f t="shared" si="1"/>
        <v>11</v>
      </c>
      <c r="C25" s="1166">
        <f t="shared" si="4"/>
        <v>44408</v>
      </c>
      <c r="D25" s="84">
        <f t="shared" si="2"/>
        <v>-57683.63860000181</v>
      </c>
      <c r="E25" s="1013">
        <v>0</v>
      </c>
      <c r="G25" s="1166">
        <f t="shared" si="0"/>
        <v>44865</v>
      </c>
      <c r="H25" s="277">
        <f t="shared" si="3"/>
        <v>-19227.879533333937</v>
      </c>
      <c r="I25" s="1183">
        <f t="shared" si="6"/>
        <v>0</v>
      </c>
      <c r="J25" s="84">
        <f t="shared" si="5"/>
        <v>4806.9698833334842</v>
      </c>
      <c r="K25" s="127"/>
    </row>
    <row r="26" spans="1:11">
      <c r="A26" s="91">
        <f t="shared" si="1"/>
        <v>12</v>
      </c>
      <c r="C26" s="1166">
        <f>EOMONTH(C25,1)</f>
        <v>44439</v>
      </c>
      <c r="D26" s="84">
        <f t="shared" si="2"/>
        <v>-57683.63860000181</v>
      </c>
      <c r="E26" s="1013">
        <v>0</v>
      </c>
      <c r="G26" s="1166">
        <f t="shared" si="0"/>
        <v>44895</v>
      </c>
      <c r="H26" s="277">
        <f t="shared" si="3"/>
        <v>-14420.909650000453</v>
      </c>
      <c r="I26" s="1183">
        <f t="shared" si="6"/>
        <v>0</v>
      </c>
      <c r="J26" s="84">
        <f t="shared" si="5"/>
        <v>4806.9698833334842</v>
      </c>
      <c r="K26" s="127"/>
    </row>
    <row r="27" spans="1:11">
      <c r="A27" s="91">
        <f t="shared" si="1"/>
        <v>13</v>
      </c>
      <c r="C27" s="1166">
        <f t="shared" si="4"/>
        <v>44469</v>
      </c>
      <c r="D27" s="84">
        <f t="shared" si="2"/>
        <v>-57683.63860000181</v>
      </c>
      <c r="E27" s="1013">
        <v>0</v>
      </c>
      <c r="G27" s="1166">
        <f t="shared" si="0"/>
        <v>44926</v>
      </c>
      <c r="H27" s="277">
        <f t="shared" si="3"/>
        <v>-9613.9397666669684</v>
      </c>
      <c r="I27" s="1183">
        <f t="shared" si="6"/>
        <v>0</v>
      </c>
      <c r="J27" s="84">
        <f t="shared" si="5"/>
        <v>4806.9698833334842</v>
      </c>
      <c r="K27" s="127"/>
    </row>
    <row r="28" spans="1:11">
      <c r="A28" s="91">
        <f t="shared" si="1"/>
        <v>14</v>
      </c>
      <c r="D28" s="1014"/>
      <c r="E28" s="1018"/>
      <c r="G28" s="1016"/>
      <c r="H28" s="1014"/>
      <c r="I28" s="1014"/>
      <c r="J28" s="1017"/>
      <c r="K28" s="127"/>
    </row>
    <row r="29" spans="1:11">
      <c r="A29" s="91">
        <f t="shared" si="1"/>
        <v>15</v>
      </c>
      <c r="C29" s="680" t="s">
        <v>322</v>
      </c>
      <c r="D29" s="1093">
        <f>AVERAGE(D15:D27)</f>
        <v>-57683.63860000181</v>
      </c>
      <c r="E29" s="1093">
        <f>SUM(E16:E27)</f>
        <v>0</v>
      </c>
      <c r="G29" s="1024" t="s">
        <v>1197</v>
      </c>
      <c r="H29" s="1093">
        <f>AVERAGE(H15:H27)</f>
        <v>-37346.458324360145</v>
      </c>
      <c r="I29" s="1093">
        <f>SUM(I16:I27)</f>
        <v>0</v>
      </c>
      <c r="J29" s="1093">
        <f>SUM(J16:J27)</f>
        <v>48069.698833334842</v>
      </c>
      <c r="K29" s="127"/>
    </row>
    <row r="30" spans="1:11">
      <c r="A30" s="91">
        <f t="shared" si="1"/>
        <v>16</v>
      </c>
      <c r="C30" s="1019"/>
      <c r="D30" s="1026" t="s">
        <v>1640</v>
      </c>
      <c r="E30" s="1020"/>
      <c r="G30" s="1019"/>
      <c r="H30" s="1026" t="s">
        <v>1640</v>
      </c>
      <c r="I30" s="1019"/>
      <c r="J30" s="1021"/>
      <c r="K30" s="127"/>
    </row>
    <row r="31" spans="1:11">
      <c r="A31" s="91">
        <f t="shared" si="1"/>
        <v>17</v>
      </c>
      <c r="C31" s="680"/>
      <c r="E31" s="1013"/>
      <c r="J31" s="984"/>
      <c r="K31" s="127"/>
    </row>
    <row r="32" spans="1:11">
      <c r="A32" s="91">
        <f t="shared" si="1"/>
        <v>18</v>
      </c>
      <c r="C32" s="1166">
        <f>EOMONTH(C27,1)</f>
        <v>44500</v>
      </c>
      <c r="D32" s="84">
        <f>D27</f>
        <v>-57683.63860000181</v>
      </c>
      <c r="E32" s="1183">
        <f>E27</f>
        <v>0</v>
      </c>
      <c r="G32" s="1166">
        <f>EOMONTH(G27,1)</f>
        <v>44957</v>
      </c>
      <c r="H32" s="84">
        <f>H27+J32</f>
        <v>-4806.9698833334842</v>
      </c>
      <c r="J32" s="84">
        <f t="shared" ref="J32:J33" si="7">-$H$15/12</f>
        <v>4806.9698833334842</v>
      </c>
      <c r="K32" s="127"/>
    </row>
    <row r="33" spans="1:11">
      <c r="A33" s="91">
        <f t="shared" si="1"/>
        <v>19</v>
      </c>
      <c r="C33" s="1166">
        <f t="shared" si="4"/>
        <v>44530</v>
      </c>
      <c r="D33" s="84">
        <f>D32</f>
        <v>-57683.63860000181</v>
      </c>
      <c r="E33" s="1183">
        <f>E32</f>
        <v>0</v>
      </c>
      <c r="G33" s="1166">
        <f>EOMONTH(G32,1)</f>
        <v>44985</v>
      </c>
      <c r="H33" s="1183">
        <f>H32+J33</f>
        <v>0</v>
      </c>
      <c r="J33" s="84">
        <f t="shared" si="7"/>
        <v>4806.9698833334842</v>
      </c>
      <c r="K33" s="127"/>
    </row>
    <row r="34" spans="1:11">
      <c r="A34" s="91">
        <f t="shared" si="1"/>
        <v>20</v>
      </c>
      <c r="C34" s="680"/>
      <c r="E34" s="1013"/>
      <c r="G34" s="680"/>
      <c r="H34" s="1013"/>
      <c r="J34" s="1013"/>
      <c r="K34" s="127"/>
    </row>
    <row r="35" spans="1:11">
      <c r="A35" s="91">
        <f t="shared" si="1"/>
        <v>21</v>
      </c>
      <c r="C35" s="680"/>
      <c r="E35" s="1013"/>
      <c r="G35" s="680"/>
      <c r="H35" s="1013"/>
      <c r="K35" s="127"/>
    </row>
    <row r="36" spans="1:11">
      <c r="A36" s="91">
        <f t="shared" si="1"/>
        <v>22</v>
      </c>
      <c r="C36" s="680"/>
      <c r="G36" s="1298" t="s">
        <v>1644</v>
      </c>
      <c r="H36" s="1298"/>
      <c r="I36" s="1298"/>
      <c r="J36" s="1298"/>
      <c r="K36" s="127"/>
    </row>
    <row r="37" spans="1:11">
      <c r="A37" s="91">
        <f t="shared" si="1"/>
        <v>23</v>
      </c>
      <c r="B37" s="1027" t="s">
        <v>1647</v>
      </c>
      <c r="D37" s="1022" t="s">
        <v>104</v>
      </c>
      <c r="E37" s="1022" t="s">
        <v>1639</v>
      </c>
      <c r="H37" s="601" t="s">
        <v>104</v>
      </c>
      <c r="I37" s="601" t="s">
        <v>1639</v>
      </c>
      <c r="J37" s="1022" t="s">
        <v>1544</v>
      </c>
      <c r="K37" s="127"/>
    </row>
    <row r="38" spans="1:11">
      <c r="A38" s="91">
        <f t="shared" si="1"/>
        <v>24</v>
      </c>
      <c r="B38" s="1012" t="s">
        <v>1648</v>
      </c>
      <c r="C38" s="680">
        <v>44104</v>
      </c>
      <c r="D38" s="274">
        <f>'[30]Historical Ending Balances'!I23</f>
        <v>-5208777.3899999997</v>
      </c>
      <c r="E38" s="274">
        <f>'[30]Monthly Activity'!N18</f>
        <v>-306398.67</v>
      </c>
      <c r="G38" s="1166">
        <f>EOMONTH(C56,1)</f>
        <v>44561</v>
      </c>
      <c r="H38" s="274">
        <f>D56+I38+J38</f>
        <v>-9804757.4399999995</v>
      </c>
      <c r="I38" s="274">
        <f>E56</f>
        <v>-306398.67</v>
      </c>
      <c r="J38" s="274">
        <f>E57</f>
        <v>0</v>
      </c>
      <c r="K38" s="127"/>
    </row>
    <row r="39" spans="1:11">
      <c r="A39" s="91">
        <f t="shared" si="1"/>
        <v>25</v>
      </c>
      <c r="B39" s="986"/>
      <c r="C39" s="1166">
        <f>EOMONTH(C38,1)</f>
        <v>44135</v>
      </c>
      <c r="D39" s="84">
        <f>'[30]Historical Ending Balances'!I24</f>
        <v>-5515176.0599999996</v>
      </c>
      <c r="E39" s="84">
        <f>'[30]Monthly Activity'!N19</f>
        <v>-306398.67</v>
      </c>
      <c r="G39" s="1166">
        <f>EOMONTH(G38,1)</f>
        <v>44592</v>
      </c>
      <c r="H39" s="277">
        <f>H38+I39+J39</f>
        <v>-10111156.109999999</v>
      </c>
      <c r="I39" s="84">
        <f>I38</f>
        <v>-306398.67</v>
      </c>
      <c r="J39" s="1013">
        <v>0</v>
      </c>
      <c r="K39" s="127"/>
    </row>
    <row r="40" spans="1:11">
      <c r="A40" s="91">
        <f t="shared" si="1"/>
        <v>26</v>
      </c>
      <c r="B40" s="986"/>
      <c r="C40" s="1166">
        <f>EOMONTH(C39,1)</f>
        <v>44165</v>
      </c>
      <c r="D40" s="84">
        <f>'[30]Historical Ending Balances'!I25</f>
        <v>-5821574.7300000004</v>
      </c>
      <c r="E40" s="84">
        <f>'[30]Monthly Activity'!N20</f>
        <v>-306398.67</v>
      </c>
      <c r="G40" s="1166">
        <f t="shared" ref="G40:G50" si="8">EOMONTH(G39,1)</f>
        <v>44620</v>
      </c>
      <c r="H40" s="277">
        <f>H39+I40+J40</f>
        <v>-10417554.779999999</v>
      </c>
      <c r="I40" s="84">
        <f>I39</f>
        <v>-306398.67</v>
      </c>
      <c r="J40" s="1013">
        <v>0</v>
      </c>
      <c r="K40" s="127"/>
    </row>
    <row r="41" spans="1:11">
      <c r="A41" s="91">
        <f t="shared" si="1"/>
        <v>27</v>
      </c>
      <c r="B41" s="986"/>
      <c r="C41" s="1166">
        <f t="shared" ref="C41:C50" si="9">EOMONTH(C40,1)</f>
        <v>44196</v>
      </c>
      <c r="D41" s="84">
        <f>'[30]Historical Ending Balances'!I26</f>
        <v>-6127973.4000000004</v>
      </c>
      <c r="E41" s="84">
        <f>'[30]Monthly Activity'!N21</f>
        <v>-306398.67</v>
      </c>
      <c r="G41" s="1166">
        <f t="shared" si="8"/>
        <v>44651</v>
      </c>
      <c r="H41" s="277">
        <f>H40+I41+J41</f>
        <v>-9549425.2149999999</v>
      </c>
      <c r="I41" s="1013">
        <v>0</v>
      </c>
      <c r="J41" s="277">
        <f>-$H$40/12</f>
        <v>868129.56499999994</v>
      </c>
      <c r="K41" s="127"/>
    </row>
    <row r="42" spans="1:11">
      <c r="A42" s="91">
        <f t="shared" si="1"/>
        <v>28</v>
      </c>
      <c r="B42" s="986"/>
      <c r="C42" s="1166">
        <f t="shared" si="9"/>
        <v>44227</v>
      </c>
      <c r="D42" s="84">
        <f>'[30]Historical Ending Balances'!I27</f>
        <v>-6434372.0700000003</v>
      </c>
      <c r="E42" s="84">
        <f>'[30]Monthly Activity'!N22</f>
        <v>-306398.67</v>
      </c>
      <c r="G42" s="1166">
        <f t="shared" si="8"/>
        <v>44681</v>
      </c>
      <c r="H42" s="277">
        <f t="shared" ref="H42:H50" si="10">H41+I42+J42</f>
        <v>-8681295.6500000004</v>
      </c>
      <c r="I42" s="1013">
        <v>0</v>
      </c>
      <c r="J42" s="277">
        <f t="shared" ref="J42:J50" si="11">-$H$40/12</f>
        <v>868129.56499999994</v>
      </c>
      <c r="K42" s="127"/>
    </row>
    <row r="43" spans="1:11">
      <c r="A43" s="91">
        <f t="shared" si="1"/>
        <v>29</v>
      </c>
      <c r="B43" s="986"/>
      <c r="C43" s="1166">
        <f t="shared" si="9"/>
        <v>44255</v>
      </c>
      <c r="D43" s="84">
        <f>'[30]Historical Ending Balances'!I28</f>
        <v>-6740770.7400000002</v>
      </c>
      <c r="E43" s="84">
        <f>'[30]Monthly Activity'!N23</f>
        <v>-306398.67</v>
      </c>
      <c r="G43" s="1166">
        <f t="shared" si="8"/>
        <v>44712</v>
      </c>
      <c r="H43" s="277">
        <f t="shared" si="10"/>
        <v>-7813166.0850000009</v>
      </c>
      <c r="I43" s="1013">
        <v>0</v>
      </c>
      <c r="J43" s="277">
        <f t="shared" si="11"/>
        <v>868129.56499999994</v>
      </c>
      <c r="K43" s="127"/>
    </row>
    <row r="44" spans="1:11">
      <c r="A44" s="91">
        <f t="shared" si="1"/>
        <v>30</v>
      </c>
      <c r="B44" s="986"/>
      <c r="C44" s="1166">
        <f t="shared" si="9"/>
        <v>44286</v>
      </c>
      <c r="D44" s="84">
        <f>'[30]Historical Ending Balances'!I29</f>
        <v>-7047169.4100000001</v>
      </c>
      <c r="E44" s="84">
        <f>'[30]Monthly Activity'!N24</f>
        <v>-306398.67</v>
      </c>
      <c r="G44" s="1166">
        <f t="shared" si="8"/>
        <v>44742</v>
      </c>
      <c r="H44" s="277">
        <f t="shared" si="10"/>
        <v>-6945036.5200000014</v>
      </c>
      <c r="I44" s="1013">
        <v>0</v>
      </c>
      <c r="J44" s="277">
        <f t="shared" si="11"/>
        <v>868129.56499999994</v>
      </c>
      <c r="K44" s="127"/>
    </row>
    <row r="45" spans="1:11">
      <c r="A45" s="91">
        <f t="shared" si="1"/>
        <v>31</v>
      </c>
      <c r="B45" s="986"/>
      <c r="C45" s="1166">
        <f t="shared" si="9"/>
        <v>44316</v>
      </c>
      <c r="D45" s="84">
        <f>'[30]Historical Ending Balances'!I30</f>
        <v>-7353568.0800000001</v>
      </c>
      <c r="E45" s="84">
        <f>'[30]Monthly Activity'!N25</f>
        <v>-306398.67</v>
      </c>
      <c r="G45" s="1166">
        <f t="shared" si="8"/>
        <v>44773</v>
      </c>
      <c r="H45" s="277">
        <f t="shared" si="10"/>
        <v>-6076906.9550000019</v>
      </c>
      <c r="I45" s="1013">
        <v>0</v>
      </c>
      <c r="J45" s="277">
        <f t="shared" si="11"/>
        <v>868129.56499999994</v>
      </c>
      <c r="K45" s="127"/>
    </row>
    <row r="46" spans="1:11">
      <c r="A46" s="91">
        <f t="shared" si="1"/>
        <v>32</v>
      </c>
      <c r="B46" s="986"/>
      <c r="C46" s="1166">
        <f t="shared" si="9"/>
        <v>44347</v>
      </c>
      <c r="D46" s="84">
        <f>'[30]Historical Ending Balances'!I31</f>
        <v>-7659966.75</v>
      </c>
      <c r="E46" s="84">
        <f>'[30]Monthly Activity'!N26</f>
        <v>-306398.67</v>
      </c>
      <c r="G46" s="1166">
        <f t="shared" si="8"/>
        <v>44804</v>
      </c>
      <c r="H46" s="277">
        <f t="shared" si="10"/>
        <v>-5208777.3900000025</v>
      </c>
      <c r="I46" s="1013">
        <v>0</v>
      </c>
      <c r="J46" s="277">
        <f t="shared" si="11"/>
        <v>868129.56499999994</v>
      </c>
      <c r="K46" s="127"/>
    </row>
    <row r="47" spans="1:11">
      <c r="A47" s="91">
        <f t="shared" si="1"/>
        <v>33</v>
      </c>
      <c r="C47" s="1166">
        <f t="shared" si="9"/>
        <v>44377</v>
      </c>
      <c r="D47" s="84">
        <f>D46+E47</f>
        <v>-7966365.4199999999</v>
      </c>
      <c r="E47" s="84">
        <f>E46</f>
        <v>-306398.67</v>
      </c>
      <c r="G47" s="1166">
        <f t="shared" si="8"/>
        <v>44834</v>
      </c>
      <c r="H47" s="277">
        <f t="shared" si="10"/>
        <v>-4340647.825000003</v>
      </c>
      <c r="I47" s="1013">
        <v>0</v>
      </c>
      <c r="J47" s="277">
        <f t="shared" si="11"/>
        <v>868129.56499999994</v>
      </c>
      <c r="K47" s="127"/>
    </row>
    <row r="48" spans="1:11">
      <c r="A48" s="91">
        <f t="shared" si="1"/>
        <v>34</v>
      </c>
      <c r="C48" s="1166">
        <f t="shared" si="9"/>
        <v>44408</v>
      </c>
      <c r="D48" s="84">
        <f t="shared" ref="D48:D50" si="12">D47+E48</f>
        <v>-8272764.0899999999</v>
      </c>
      <c r="E48" s="84">
        <f t="shared" ref="E48:E50" si="13">E47</f>
        <v>-306398.67</v>
      </c>
      <c r="G48" s="1166">
        <f t="shared" si="8"/>
        <v>44865</v>
      </c>
      <c r="H48" s="277">
        <f t="shared" si="10"/>
        <v>-3472518.260000003</v>
      </c>
      <c r="I48" s="1013">
        <v>0</v>
      </c>
      <c r="J48" s="277">
        <f t="shared" si="11"/>
        <v>868129.56499999994</v>
      </c>
      <c r="K48" s="126"/>
    </row>
    <row r="49" spans="1:10">
      <c r="A49" s="91">
        <f t="shared" si="1"/>
        <v>35</v>
      </c>
      <c r="B49" s="987"/>
      <c r="C49" s="1166">
        <f>EOMONTH(C48,1)</f>
        <v>44439</v>
      </c>
      <c r="D49" s="84">
        <f t="shared" si="12"/>
        <v>-8579162.7599999998</v>
      </c>
      <c r="E49" s="84">
        <f t="shared" si="13"/>
        <v>-306398.67</v>
      </c>
      <c r="G49" s="1166">
        <f t="shared" si="8"/>
        <v>44895</v>
      </c>
      <c r="H49" s="277">
        <f t="shared" si="10"/>
        <v>-2604388.6950000031</v>
      </c>
      <c r="I49" s="1013">
        <v>0</v>
      </c>
      <c r="J49" s="277">
        <f t="shared" si="11"/>
        <v>868129.56499999994</v>
      </c>
    </row>
    <row r="50" spans="1:10">
      <c r="A50" s="91">
        <f t="shared" si="1"/>
        <v>36</v>
      </c>
      <c r="C50" s="1166">
        <f t="shared" si="9"/>
        <v>44469</v>
      </c>
      <c r="D50" s="84">
        <f t="shared" si="12"/>
        <v>-8885561.4299999997</v>
      </c>
      <c r="E50" s="84">
        <f t="shared" si="13"/>
        <v>-306398.67</v>
      </c>
      <c r="G50" s="1166">
        <f t="shared" si="8"/>
        <v>44926</v>
      </c>
      <c r="H50" s="277">
        <f t="shared" si="10"/>
        <v>-1736259.1300000031</v>
      </c>
      <c r="I50" s="1013">
        <v>0</v>
      </c>
      <c r="J50" s="277">
        <f t="shared" si="11"/>
        <v>868129.56499999994</v>
      </c>
    </row>
    <row r="51" spans="1:10">
      <c r="A51" s="91">
        <f t="shared" si="1"/>
        <v>37</v>
      </c>
      <c r="C51" s="1015"/>
      <c r="D51" s="1014"/>
      <c r="E51" s="1018"/>
      <c r="G51" s="1016"/>
      <c r="H51" s="1014"/>
      <c r="I51" s="1014"/>
      <c r="J51" s="1017"/>
    </row>
    <row r="52" spans="1:10">
      <c r="A52" s="91">
        <f t="shared" si="1"/>
        <v>38</v>
      </c>
      <c r="C52" s="680" t="s">
        <v>322</v>
      </c>
      <c r="D52" s="1093">
        <f>AVERAGE(D38:D50)</f>
        <v>-7047169.4100000011</v>
      </c>
      <c r="E52" s="1093">
        <f>SUM(E39:E50)</f>
        <v>-3676784.0399999996</v>
      </c>
      <c r="G52" s="1024" t="s">
        <v>1197</v>
      </c>
      <c r="H52" s="1093">
        <f>AVERAGE(H38:H50)</f>
        <v>-6673991.5426923102</v>
      </c>
      <c r="I52" s="1093">
        <f>SUM(I39:I50)</f>
        <v>-612797.34</v>
      </c>
      <c r="J52" s="1093">
        <f>SUM(J39:J50)</f>
        <v>8681295.6499999966</v>
      </c>
    </row>
    <row r="53" spans="1:10">
      <c r="A53" s="91">
        <f t="shared" si="1"/>
        <v>39</v>
      </c>
      <c r="C53" s="680"/>
      <c r="D53" s="1026" t="s">
        <v>1640</v>
      </c>
      <c r="E53" s="1020"/>
      <c r="G53" s="1019"/>
      <c r="H53" s="1025" t="s">
        <v>1640</v>
      </c>
      <c r="I53" s="1019"/>
      <c r="J53" s="1021"/>
    </row>
    <row r="54" spans="1:10">
      <c r="A54" s="91">
        <f t="shared" si="1"/>
        <v>40</v>
      </c>
      <c r="C54" s="680"/>
    </row>
    <row r="55" spans="1:10">
      <c r="A55" s="91">
        <f t="shared" si="1"/>
        <v>41</v>
      </c>
      <c r="C55" s="1166">
        <f>EOMONTH(C50,1)</f>
        <v>44500</v>
      </c>
      <c r="D55" s="84">
        <f>D50+E55</f>
        <v>-9191960.0999999996</v>
      </c>
      <c r="E55" s="277">
        <f>E50</f>
        <v>-306398.67</v>
      </c>
      <c r="G55" s="1166">
        <f>EOMONTH(G50,1)</f>
        <v>44957</v>
      </c>
      <c r="H55" s="277">
        <f>H50+J55</f>
        <v>-868129.5650000032</v>
      </c>
      <c r="I55" s="1023">
        <v>0</v>
      </c>
      <c r="J55" s="277">
        <f t="shared" ref="J55:J56" si="14">-$H$40/12</f>
        <v>868129.56499999994</v>
      </c>
    </row>
    <row r="56" spans="1:10">
      <c r="A56" s="91">
        <f t="shared" si="1"/>
        <v>42</v>
      </c>
      <c r="C56" s="1166">
        <f t="shared" ref="C56" si="15">EOMONTH(C55,1)</f>
        <v>44530</v>
      </c>
      <c r="D56" s="84">
        <f>D55+E56</f>
        <v>-9498358.7699999996</v>
      </c>
      <c r="E56" s="277">
        <f>E55</f>
        <v>-306398.67</v>
      </c>
      <c r="F56" s="990"/>
      <c r="G56" s="1166">
        <f>EOMONTH(G55,1)</f>
        <v>44985</v>
      </c>
      <c r="H56" s="277">
        <f>H55+J56</f>
        <v>-3.2596290111541748E-9</v>
      </c>
      <c r="I56" s="1023">
        <v>0</v>
      </c>
      <c r="J56" s="277">
        <f t="shared" si="14"/>
        <v>868129.56499999994</v>
      </c>
    </row>
    <row r="57" spans="1:10">
      <c r="A57" s="91">
        <f t="shared" si="1"/>
        <v>43</v>
      </c>
      <c r="G57" s="680"/>
      <c r="H57" s="1023"/>
      <c r="I57" s="1023"/>
      <c r="J57" s="1023"/>
    </row>
    <row r="58" spans="1:10">
      <c r="A58" s="91">
        <f t="shared" si="1"/>
        <v>44</v>
      </c>
      <c r="G58" s="680"/>
      <c r="J58" s="1013"/>
    </row>
    <row r="59" spans="1:10">
      <c r="A59" s="91">
        <f t="shared" si="1"/>
        <v>45</v>
      </c>
      <c r="G59" s="680"/>
    </row>
    <row r="60" spans="1:10">
      <c r="A60" s="91">
        <f t="shared" si="1"/>
        <v>46</v>
      </c>
      <c r="G60" s="680"/>
      <c r="H60" s="601" t="s">
        <v>1642</v>
      </c>
      <c r="J60" s="1022" t="s">
        <v>1544</v>
      </c>
    </row>
    <row r="61" spans="1:10" ht="15.75" thickBot="1">
      <c r="A61" s="91">
        <f t="shared" si="1"/>
        <v>47</v>
      </c>
      <c r="B61" s="639" t="s">
        <v>1641</v>
      </c>
      <c r="G61" s="1024" t="s">
        <v>1197</v>
      </c>
      <c r="H61" s="1082">
        <f>H52+H29</f>
        <v>-6711338.0010166699</v>
      </c>
      <c r="J61" s="1082">
        <f>J52+J29</f>
        <v>8729365.3488333318</v>
      </c>
    </row>
    <row r="62" spans="1:10" ht="15.75" thickTop="1">
      <c r="A62" s="91">
        <f t="shared" si="1"/>
        <v>48</v>
      </c>
      <c r="G62" s="680"/>
      <c r="J62" s="1013"/>
    </row>
    <row r="63" spans="1:10">
      <c r="A63" s="132"/>
    </row>
    <row r="64" spans="1:10">
      <c r="A64" s="132"/>
    </row>
    <row r="65" spans="1:11">
      <c r="B65" s="639" t="s">
        <v>514</v>
      </c>
    </row>
    <row r="66" spans="1:11">
      <c r="B66" s="639" t="s">
        <v>1628</v>
      </c>
    </row>
    <row r="67" spans="1:11">
      <c r="B67" s="639" t="s">
        <v>1643</v>
      </c>
    </row>
    <row r="70" spans="1:11">
      <c r="B70" s="477"/>
    </row>
    <row r="73" spans="1:11">
      <c r="A73" s="341"/>
      <c r="B73" s="674"/>
      <c r="C73" s="73"/>
      <c r="F73" s="73"/>
      <c r="G73" s="73"/>
      <c r="H73" s="73"/>
      <c r="I73" s="73"/>
      <c r="J73" s="73"/>
      <c r="K73" s="1"/>
    </row>
    <row r="74" spans="1:11">
      <c r="A74" s="341"/>
      <c r="B74" s="675"/>
      <c r="C74" s="73"/>
      <c r="D74" s="73"/>
      <c r="E74" s="73"/>
      <c r="F74" s="73"/>
      <c r="G74" s="73"/>
      <c r="H74" s="73"/>
      <c r="I74" s="73"/>
      <c r="J74" s="73"/>
      <c r="K74" s="1"/>
    </row>
    <row r="75" spans="1:11">
      <c r="A75" s="341"/>
      <c r="B75" s="676"/>
      <c r="C75" s="73"/>
      <c r="D75" s="73"/>
      <c r="E75" s="73"/>
      <c r="F75" s="73"/>
      <c r="G75" s="73"/>
      <c r="H75" s="73"/>
      <c r="I75" s="73"/>
      <c r="J75" s="72"/>
      <c r="K75" s="1"/>
    </row>
    <row r="76" spans="1:11">
      <c r="A76" s="341"/>
      <c r="B76" s="676"/>
      <c r="C76" s="73"/>
      <c r="D76" s="73"/>
      <c r="E76" s="73"/>
      <c r="F76" s="73"/>
      <c r="G76" s="73"/>
      <c r="H76" s="73"/>
      <c r="I76" s="73"/>
      <c r="J76" s="72"/>
      <c r="K76" s="1"/>
    </row>
    <row r="77" spans="1:11">
      <c r="A77" s="341"/>
      <c r="B77" s="676"/>
      <c r="C77" s="73"/>
      <c r="D77" s="73"/>
      <c r="E77" s="73"/>
      <c r="F77" s="73"/>
      <c r="G77" s="73"/>
      <c r="H77" s="73"/>
      <c r="I77" s="73"/>
      <c r="J77" s="72"/>
      <c r="K77" s="1"/>
    </row>
    <row r="78" spans="1:11">
      <c r="A78" s="341"/>
      <c r="B78" s="676"/>
      <c r="C78" s="73"/>
      <c r="D78" s="73"/>
      <c r="E78" s="73"/>
      <c r="F78" s="73"/>
      <c r="G78" s="73"/>
      <c r="H78" s="73"/>
      <c r="I78" s="73"/>
      <c r="J78" s="66"/>
      <c r="K78" s="1"/>
    </row>
    <row r="79" spans="1:11">
      <c r="A79" s="341"/>
      <c r="B79" s="676"/>
      <c r="C79" s="73"/>
      <c r="D79" s="73"/>
      <c r="E79" s="73"/>
      <c r="F79" s="72"/>
      <c r="G79" s="72"/>
      <c r="H79" s="72"/>
      <c r="I79" s="72"/>
      <c r="J79" s="66"/>
      <c r="K79" s="1"/>
    </row>
    <row r="80" spans="1:11">
      <c r="A80" s="341"/>
      <c r="B80" s="341"/>
      <c r="C80" s="1"/>
      <c r="D80" s="72"/>
      <c r="E80" s="72"/>
      <c r="F80" s="1"/>
      <c r="G80" s="1"/>
      <c r="H80" s="1"/>
      <c r="I80" s="1"/>
      <c r="J80" s="1"/>
      <c r="K80" s="1"/>
    </row>
    <row r="81" spans="2:5">
      <c r="D81" s="1"/>
      <c r="E81" s="1"/>
    </row>
    <row r="96" spans="2:5">
      <c r="B96" s="639" t="s">
        <v>1602</v>
      </c>
    </row>
    <row r="97" spans="2:2">
      <c r="B97" s="639" t="s">
        <v>1590</v>
      </c>
    </row>
  </sheetData>
  <mergeCells count="9">
    <mergeCell ref="G13:J13"/>
    <mergeCell ref="G36:J36"/>
    <mergeCell ref="C11:E11"/>
    <mergeCell ref="G11:J11"/>
    <mergeCell ref="A1:J1"/>
    <mergeCell ref="A2:J2"/>
    <mergeCell ref="A3:J3"/>
    <mergeCell ref="A4:J4"/>
    <mergeCell ref="A5:J5"/>
  </mergeCells>
  <printOptions horizontalCentered="1"/>
  <pageMargins left="1" right="0.87" top="1" bottom="1" header="0.5" footer="0.5"/>
  <pageSetup scale="52" orientation="portrait" verticalDpi="300" r:id="rId1"/>
  <headerFooter alignWithMargins="0">
    <oddFooter>&amp;RSchedule &amp;A
Page &amp;P of &amp;N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47">
    <pageSetUpPr fitToPage="1"/>
  </sheetPr>
  <dimension ref="A1:U68"/>
  <sheetViews>
    <sheetView view="pageBreakPreview" zoomScale="80" zoomScaleNormal="100" zoomScaleSheetLayoutView="80" workbookViewId="0">
      <selection sqref="A1:C1"/>
    </sheetView>
  </sheetViews>
  <sheetFormatPr defaultColWidth="8.44140625" defaultRowHeight="15"/>
  <cols>
    <col min="1" max="1" width="7.5546875" style="1" customWidth="1"/>
    <col min="2" max="2" width="33.77734375" style="1" customWidth="1"/>
    <col min="3" max="3" width="7.33203125" style="1" customWidth="1"/>
    <col min="4" max="4" width="14.44140625" style="1" customWidth="1"/>
    <col min="5" max="5" width="2.109375" style="1" customWidth="1"/>
    <col min="6" max="6" width="12.44140625" style="1" customWidth="1"/>
    <col min="7" max="7" width="2" style="1" customWidth="1"/>
    <col min="8" max="8" width="13.5546875" style="1" customWidth="1"/>
    <col min="9" max="9" width="2.6640625" style="1" customWidth="1"/>
    <col min="10" max="10" width="10.88671875" style="1" customWidth="1"/>
    <col min="11" max="11" width="3.33203125" style="1" customWidth="1"/>
    <col min="12" max="12" width="17.109375" style="1" bestFit="1" customWidth="1"/>
    <col min="13" max="13" width="18.6640625" style="1" customWidth="1"/>
    <col min="14" max="16" width="8.44140625" style="1"/>
    <col min="17" max="17" width="9.44140625" style="1" bestFit="1" customWidth="1"/>
    <col min="18" max="18" width="8.44140625" style="1"/>
    <col min="19" max="19" width="9.44140625" style="1" bestFit="1" customWidth="1"/>
    <col min="20" max="16384" width="8.44140625" style="1"/>
  </cols>
  <sheetData>
    <row r="1" spans="1:13">
      <c r="A1" s="152" t="str">
        <f>'Table of Contents'!A1:C1</f>
        <v>Atmos Energy Corporation, Kentucky/Mid-States Division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3">
      <c r="A2" s="152" t="str">
        <f>'Table of Contents'!A2:C2</f>
        <v>Kentucky Jurisdiction Case No. 2021-00214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3">
      <c r="A3" s="81" t="s">
        <v>507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3">
      <c r="A4" s="1184" t="str">
        <f>'Table of Contents'!A3:C3</f>
        <v>Base Period: Twelve Months Ended September 30, 2021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3">
      <c r="A5" s="1184" t="str">
        <f>'Table of Contents'!A4:C4</f>
        <v>Forecasted Test Period: Twelve Months Ended December 31, 2022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3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3">
      <c r="A7" s="82" t="s">
        <v>197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322" t="s">
        <v>1354</v>
      </c>
    </row>
    <row r="8" spans="1:13">
      <c r="A8" s="82" t="s">
        <v>1103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458" t="s">
        <v>833</v>
      </c>
    </row>
    <row r="9" spans="1:13">
      <c r="A9" s="83" t="s">
        <v>423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458" t="str">
        <f>F.1!$I$9</f>
        <v>Witness: Christian</v>
      </c>
    </row>
    <row r="10" spans="1:13" ht="15.75">
      <c r="A10" s="118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525"/>
    </row>
    <row r="11" spans="1:13">
      <c r="A11" s="84"/>
      <c r="B11" s="84"/>
      <c r="C11" s="84"/>
      <c r="D11" s="85"/>
      <c r="E11" s="85"/>
      <c r="F11" s="85"/>
      <c r="G11" s="85"/>
      <c r="H11" s="341"/>
      <c r="I11" s="85"/>
      <c r="J11" s="85"/>
      <c r="K11" s="85"/>
      <c r="L11" s="85"/>
    </row>
    <row r="12" spans="1:13">
      <c r="A12" s="84"/>
      <c r="B12" s="84"/>
      <c r="C12" s="84"/>
      <c r="D12" s="341" t="s">
        <v>95</v>
      </c>
      <c r="E12" s="85"/>
      <c r="F12" s="85"/>
      <c r="G12" s="85"/>
      <c r="H12" s="341" t="s">
        <v>518</v>
      </c>
      <c r="I12" s="85"/>
      <c r="J12" s="85"/>
      <c r="K12" s="85"/>
      <c r="L12" s="341" t="s">
        <v>323</v>
      </c>
    </row>
    <row r="13" spans="1:13">
      <c r="A13" s="92" t="s">
        <v>92</v>
      </c>
      <c r="B13" s="84"/>
      <c r="C13" s="524" t="s">
        <v>1219</v>
      </c>
      <c r="D13" s="341" t="s">
        <v>101</v>
      </c>
      <c r="E13" s="85"/>
      <c r="F13" s="85"/>
      <c r="G13" s="85"/>
      <c r="H13" s="341" t="s">
        <v>335</v>
      </c>
      <c r="I13" s="85"/>
      <c r="J13" s="85"/>
      <c r="K13" s="85"/>
      <c r="L13" s="341" t="s">
        <v>96</v>
      </c>
    </row>
    <row r="14" spans="1:13">
      <c r="A14" s="93" t="s">
        <v>98</v>
      </c>
      <c r="B14" s="93" t="s">
        <v>972</v>
      </c>
      <c r="C14" s="344" t="s">
        <v>1217</v>
      </c>
      <c r="D14" s="344" t="s">
        <v>973</v>
      </c>
      <c r="E14" s="87"/>
      <c r="F14" s="344" t="s">
        <v>335</v>
      </c>
      <c r="G14" s="87"/>
      <c r="H14" s="344" t="s">
        <v>973</v>
      </c>
      <c r="I14" s="87"/>
      <c r="J14" s="344" t="s">
        <v>974</v>
      </c>
      <c r="K14" s="87"/>
      <c r="L14" s="344" t="s">
        <v>1064</v>
      </c>
      <c r="M14" s="15"/>
    </row>
    <row r="15" spans="1:13">
      <c r="A15" s="84"/>
      <c r="B15" s="84"/>
      <c r="C15" s="84"/>
      <c r="D15" s="92"/>
      <c r="E15" s="84"/>
      <c r="F15" s="92"/>
      <c r="G15" s="84"/>
      <c r="H15" s="92"/>
      <c r="I15" s="82"/>
      <c r="J15" s="92"/>
      <c r="K15" s="82"/>
      <c r="L15" s="92"/>
    </row>
    <row r="16" spans="1:13">
      <c r="A16" s="92">
        <v>1</v>
      </c>
      <c r="B16" s="16" t="s">
        <v>841</v>
      </c>
      <c r="C16" s="16"/>
      <c r="D16" s="359"/>
      <c r="E16" s="84"/>
      <c r="F16" s="84"/>
      <c r="G16" s="84"/>
      <c r="H16" s="84"/>
      <c r="I16" s="84"/>
      <c r="J16" s="84"/>
      <c r="K16" s="84"/>
      <c r="L16" s="360"/>
    </row>
    <row r="17" spans="1:21">
      <c r="A17" s="92">
        <v>2</v>
      </c>
      <c r="B17" s="82" t="s">
        <v>391</v>
      </c>
      <c r="C17" s="82"/>
      <c r="D17" s="417">
        <f>G.2!M26</f>
        <v>12426375.939231087</v>
      </c>
      <c r="E17" s="84"/>
      <c r="F17" s="119" t="s">
        <v>146</v>
      </c>
      <c r="G17" s="84"/>
      <c r="H17" s="417">
        <f>+D17</f>
        <v>12426375.939231087</v>
      </c>
      <c r="I17" s="84"/>
      <c r="J17" s="417">
        <f>L17-H17</f>
        <v>456383.47283243388</v>
      </c>
      <c r="K17" s="84"/>
      <c r="L17" s="417">
        <f>G.2!O26</f>
        <v>12882759.41206352</v>
      </c>
    </row>
    <row r="18" spans="1:21">
      <c r="A18" s="92">
        <v>3</v>
      </c>
      <c r="B18" s="84"/>
      <c r="C18" s="84"/>
      <c r="D18" s="79"/>
      <c r="E18" s="84"/>
      <c r="F18" s="97"/>
      <c r="G18" s="84"/>
      <c r="H18" s="79"/>
      <c r="I18" s="84"/>
      <c r="J18" s="79"/>
      <c r="K18" s="84"/>
      <c r="L18" s="79"/>
      <c r="N18" s="477"/>
    </row>
    <row r="19" spans="1:21">
      <c r="A19" s="92">
        <v>4</v>
      </c>
      <c r="B19" s="16" t="s">
        <v>612</v>
      </c>
      <c r="C19" s="477"/>
      <c r="D19" s="79"/>
      <c r="E19" s="84"/>
      <c r="F19" s="97"/>
      <c r="G19" s="84"/>
      <c r="H19" s="79"/>
      <c r="I19" s="84"/>
      <c r="J19" s="79"/>
      <c r="K19" s="84"/>
      <c r="L19" s="79"/>
    </row>
    <row r="20" spans="1:21">
      <c r="A20" s="92">
        <v>5</v>
      </c>
      <c r="B20" s="82" t="s">
        <v>1218</v>
      </c>
      <c r="C20" s="534">
        <f>'[31]Budget FY21'!$E$61</f>
        <v>4.061837760753291E-2</v>
      </c>
      <c r="D20" s="299">
        <f>D$17*C20</f>
        <v>504739.2301928497</v>
      </c>
      <c r="E20" s="158"/>
      <c r="F20" s="119" t="s">
        <v>146</v>
      </c>
      <c r="G20" s="84"/>
      <c r="H20" s="299">
        <f t="shared" ref="H20:H25" si="0">D20</f>
        <v>504739.2301928497</v>
      </c>
      <c r="I20" s="84"/>
      <c r="J20" s="299">
        <f t="shared" ref="J20:J25" si="1">L20-H20</f>
        <v>18537.556233345007</v>
      </c>
      <c r="K20" s="84"/>
      <c r="L20" s="299">
        <f>L$17*C20</f>
        <v>523276.78642619471</v>
      </c>
      <c r="N20" s="640"/>
    </row>
    <row r="21" spans="1:21">
      <c r="A21" s="92">
        <v>6</v>
      </c>
      <c r="B21" s="82" t="s">
        <v>1072</v>
      </c>
      <c r="C21" s="534">
        <f>'[31]Budget FY21'!$E$63</f>
        <v>4.7406576139259082E-2</v>
      </c>
      <c r="D21" s="78">
        <f>D$17*C21</f>
        <v>589091.93709821557</v>
      </c>
      <c r="E21" s="158"/>
      <c r="F21" s="119" t="s">
        <v>146</v>
      </c>
      <c r="G21" s="84"/>
      <c r="H21" s="78">
        <f t="shared" si="0"/>
        <v>589091.93709821557</v>
      </c>
      <c r="I21" s="84"/>
      <c r="J21" s="78">
        <f t="shared" si="1"/>
        <v>21635.577853530296</v>
      </c>
      <c r="K21" s="84"/>
      <c r="L21" s="78">
        <f>L$17*C21</f>
        <v>610727.51495174586</v>
      </c>
      <c r="M21"/>
      <c r="N21"/>
      <c r="O21"/>
      <c r="P21"/>
      <c r="Q21"/>
      <c r="R21"/>
      <c r="S21"/>
      <c r="T21"/>
      <c r="U21"/>
    </row>
    <row r="22" spans="1:21">
      <c r="A22" s="92">
        <v>7</v>
      </c>
      <c r="B22" s="82" t="s">
        <v>603</v>
      </c>
      <c r="C22" s="534">
        <f>'[31]Budget FY21'!$E$60</f>
        <v>0.21293259856651253</v>
      </c>
      <c r="D22" s="78">
        <f>D$17*C22</f>
        <v>2645980.5195048633</v>
      </c>
      <c r="E22" s="362"/>
      <c r="F22" s="534" t="s">
        <v>146</v>
      </c>
      <c r="G22" s="95"/>
      <c r="H22" s="78">
        <f t="shared" si="0"/>
        <v>2645980.5195048633</v>
      </c>
      <c r="I22" s="95"/>
      <c r="J22" s="78">
        <f t="shared" si="1"/>
        <v>97178.91881301906</v>
      </c>
      <c r="K22" s="95"/>
      <c r="L22" s="78">
        <f>L$17*C22</f>
        <v>2743159.4383178824</v>
      </c>
      <c r="M22"/>
      <c r="N22"/>
      <c r="O22"/>
      <c r="P22"/>
      <c r="Q22"/>
      <c r="R22"/>
      <c r="S22"/>
      <c r="T22"/>
      <c r="U22"/>
    </row>
    <row r="23" spans="1:21">
      <c r="A23" s="92">
        <v>8</v>
      </c>
      <c r="B23" s="117" t="s">
        <v>825</v>
      </c>
      <c r="C23" s="534">
        <f>'[31]Budget FY21'!$E$62</f>
        <v>5.3163088956169113E-2</v>
      </c>
      <c r="D23" s="78">
        <f>D$17*C23</f>
        <v>660624.52946014178</v>
      </c>
      <c r="E23" s="158"/>
      <c r="F23" s="119" t="s">
        <v>146</v>
      </c>
      <c r="G23" s="84"/>
      <c r="H23" s="78">
        <f t="shared" si="0"/>
        <v>660624.52946014178</v>
      </c>
      <c r="I23" s="84"/>
      <c r="J23" s="78">
        <f t="shared" si="1"/>
        <v>24262.75516431604</v>
      </c>
      <c r="K23" s="84"/>
      <c r="L23" s="78">
        <f>L$17*C23</f>
        <v>684887.28462445782</v>
      </c>
    </row>
    <row r="24" spans="1:21">
      <c r="A24" s="92">
        <v>9</v>
      </c>
      <c r="B24" s="82"/>
      <c r="C24" s="82"/>
      <c r="D24" s="116"/>
      <c r="E24" s="84"/>
      <c r="F24" s="119"/>
      <c r="G24" s="84"/>
      <c r="H24" s="943"/>
      <c r="I24" s="84"/>
      <c r="J24" s="943"/>
      <c r="K24" s="84"/>
      <c r="L24" s="116"/>
      <c r="N24" s="477"/>
    </row>
    <row r="25" spans="1:21">
      <c r="A25" s="92">
        <v>10</v>
      </c>
      <c r="B25" s="82" t="s">
        <v>604</v>
      </c>
      <c r="C25" s="82"/>
      <c r="D25" s="299">
        <f>G.2!M35</f>
        <v>4182203.8229842447</v>
      </c>
      <c r="E25" s="158"/>
      <c r="F25" s="97" t="s">
        <v>321</v>
      </c>
      <c r="G25" s="84"/>
      <c r="H25" s="299">
        <f t="shared" si="0"/>
        <v>4182203.8229842447</v>
      </c>
      <c r="I25" s="84"/>
      <c r="J25" s="299">
        <f t="shared" si="1"/>
        <v>-257052.0266711209</v>
      </c>
      <c r="K25" s="84"/>
      <c r="L25" s="299">
        <f>G.2!O35</f>
        <v>3925151.7963131238</v>
      </c>
    </row>
    <row r="26" spans="1:21">
      <c r="A26" s="92">
        <v>11</v>
      </c>
      <c r="B26" s="84"/>
      <c r="C26" s="84"/>
      <c r="D26" s="78"/>
      <c r="E26" s="84"/>
      <c r="F26" s="120" t="s">
        <v>321</v>
      </c>
      <c r="G26" s="84"/>
      <c r="H26" s="78" t="s">
        <v>321</v>
      </c>
      <c r="I26" s="84"/>
      <c r="J26" s="78"/>
      <c r="K26" s="84"/>
      <c r="L26" s="78"/>
    </row>
    <row r="27" spans="1:21">
      <c r="A27" s="92">
        <v>12</v>
      </c>
      <c r="B27" s="16" t="s">
        <v>791</v>
      </c>
      <c r="C27" s="16"/>
      <c r="D27" s="78"/>
      <c r="E27" s="84"/>
      <c r="F27" s="120" t="s">
        <v>321</v>
      </c>
      <c r="G27" s="84"/>
      <c r="H27" s="78" t="s">
        <v>321</v>
      </c>
      <c r="I27" s="84"/>
      <c r="J27" s="78"/>
      <c r="K27" s="84"/>
      <c r="L27" s="78" t="s">
        <v>676</v>
      </c>
    </row>
    <row r="28" spans="1:21">
      <c r="A28" s="92">
        <v>15</v>
      </c>
      <c r="B28" s="82" t="s">
        <v>791</v>
      </c>
      <c r="C28" s="82"/>
      <c r="D28" s="299">
        <f>G.2!$M$42*('C.2.3 B'!O14/G.2!$M$43)</f>
        <v>1022347.7062094533</v>
      </c>
      <c r="E28" s="84"/>
      <c r="F28" s="119" t="s">
        <v>146</v>
      </c>
      <c r="G28" s="84"/>
      <c r="H28" s="78">
        <f>D28</f>
        <v>1022347.7062094533</v>
      </c>
      <c r="I28" s="84"/>
      <c r="J28" s="78">
        <f>L28-H28</f>
        <v>276126.3351021437</v>
      </c>
      <c r="K28" s="84"/>
      <c r="L28" s="299">
        <f>G.2!$O$42*('C.2.3 F'!O15/G.2!$O$43)</f>
        <v>1298474.041311597</v>
      </c>
    </row>
    <row r="29" spans="1:21">
      <c r="A29" s="92">
        <v>16</v>
      </c>
      <c r="B29" s="82" t="s">
        <v>627</v>
      </c>
      <c r="C29" s="82"/>
      <c r="D29" s="1185">
        <f>SUM(D28:D28)</f>
        <v>1022347.7062094533</v>
      </c>
      <c r="E29" s="84"/>
      <c r="F29" s="97"/>
      <c r="G29" s="84"/>
      <c r="H29" s="1185">
        <f>D29</f>
        <v>1022347.7062094533</v>
      </c>
      <c r="I29" s="84"/>
      <c r="J29" s="1185">
        <f>L29-H29</f>
        <v>276126.3351021437</v>
      </c>
      <c r="K29" s="84"/>
      <c r="L29" s="1185">
        <f>SUM(L28:L28)</f>
        <v>1298474.041311597</v>
      </c>
    </row>
    <row r="30" spans="1:21">
      <c r="A30" s="92">
        <v>17</v>
      </c>
      <c r="B30" s="84"/>
      <c r="C30" s="84"/>
      <c r="D30" s="78"/>
      <c r="E30" s="84"/>
      <c r="F30" s="120" t="s">
        <v>321</v>
      </c>
      <c r="G30" s="84"/>
      <c r="H30" s="78" t="s">
        <v>321</v>
      </c>
      <c r="I30" s="84"/>
      <c r="J30" s="78"/>
      <c r="K30" s="84"/>
      <c r="L30" s="78" t="s">
        <v>321</v>
      </c>
    </row>
    <row r="31" spans="1:21" ht="15.75" thickBot="1">
      <c r="A31" s="92">
        <v>18</v>
      </c>
      <c r="B31" s="82" t="s">
        <v>842</v>
      </c>
      <c r="C31" s="82"/>
      <c r="D31" s="1186">
        <f>D17+D25+D29</f>
        <v>17630927.468424786</v>
      </c>
      <c r="E31" s="84"/>
      <c r="F31" s="97"/>
      <c r="G31" s="84"/>
      <c r="H31" s="1186">
        <f>D31</f>
        <v>17630927.468424786</v>
      </c>
      <c r="I31" s="84"/>
      <c r="J31" s="1186">
        <f>J17+J25+J29</f>
        <v>475457.78126345668</v>
      </c>
      <c r="K31" s="84"/>
      <c r="L31" s="1186">
        <f>H31+J31</f>
        <v>18106385.249688242</v>
      </c>
    </row>
    <row r="32" spans="1:21" ht="15.75" thickTop="1">
      <c r="A32" s="84"/>
      <c r="B32" s="84"/>
      <c r="C32" s="84"/>
      <c r="D32" s="78"/>
      <c r="E32" s="84"/>
      <c r="F32" s="98"/>
      <c r="G32" s="84"/>
      <c r="H32" s="98"/>
      <c r="I32" s="84"/>
      <c r="J32" s="98"/>
      <c r="K32" s="84"/>
      <c r="L32" s="78"/>
    </row>
    <row r="33" spans="1:13">
      <c r="A33" s="84"/>
      <c r="B33" s="84"/>
      <c r="C33" s="84"/>
      <c r="D33" s="100"/>
      <c r="E33" s="84"/>
      <c r="F33" s="84"/>
      <c r="G33" s="84"/>
      <c r="H33" s="84"/>
      <c r="I33" s="84"/>
      <c r="J33" s="98"/>
      <c r="K33" s="84"/>
      <c r="L33" s="78"/>
    </row>
    <row r="34" spans="1:13">
      <c r="A34" s="84"/>
      <c r="B34" s="84"/>
      <c r="C34" s="84"/>
      <c r="D34" s="98"/>
      <c r="E34" s="84"/>
      <c r="F34" s="84"/>
      <c r="G34" s="84"/>
      <c r="H34" s="84"/>
      <c r="I34" s="84"/>
      <c r="J34" s="98"/>
      <c r="K34" s="84"/>
      <c r="L34" s="98"/>
    </row>
    <row r="35" spans="1:13">
      <c r="A35" s="84"/>
      <c r="B35" s="84"/>
      <c r="C35" s="84"/>
      <c r="D35" s="98"/>
      <c r="E35" s="84"/>
      <c r="F35" s="84"/>
      <c r="G35" s="84"/>
      <c r="H35" s="84"/>
      <c r="I35" s="84"/>
      <c r="J35" s="98"/>
      <c r="K35" s="84"/>
      <c r="L35" s="98"/>
    </row>
    <row r="36" spans="1:13">
      <c r="A36" s="84"/>
      <c r="B36" s="84" t="s">
        <v>679</v>
      </c>
      <c r="C36" s="84"/>
      <c r="D36" s="84"/>
      <c r="E36" s="84"/>
      <c r="F36" s="477"/>
      <c r="G36" s="84"/>
      <c r="H36" s="84"/>
      <c r="I36" s="84"/>
      <c r="J36" s="84"/>
      <c r="K36" s="84"/>
      <c r="L36" s="84"/>
    </row>
    <row r="37" spans="1:13">
      <c r="A37" s="84" t="s">
        <v>321</v>
      </c>
      <c r="B37" s="535" t="s">
        <v>1629</v>
      </c>
      <c r="C37" s="84"/>
      <c r="D37" s="84"/>
      <c r="E37" s="84"/>
      <c r="F37" s="477"/>
      <c r="G37" s="84"/>
      <c r="H37" s="84"/>
      <c r="I37" s="84"/>
      <c r="J37" s="84"/>
      <c r="K37" s="84"/>
      <c r="L37" s="84"/>
    </row>
    <row r="38" spans="1:13">
      <c r="A38" s="84"/>
      <c r="B38" s="84"/>
      <c r="C38" s="84"/>
      <c r="D38" s="84"/>
      <c r="E38" s="84"/>
      <c r="F38" s="477"/>
      <c r="G38" s="84"/>
      <c r="H38" s="84"/>
      <c r="I38" s="84"/>
      <c r="J38" s="84"/>
      <c r="K38" s="84"/>
      <c r="L38" s="84"/>
    </row>
    <row r="39" spans="1:13">
      <c r="A39" s="84"/>
      <c r="B39" s="84"/>
      <c r="C39" s="84"/>
    </row>
    <row r="40" spans="1:13">
      <c r="A40" s="84"/>
      <c r="B40" s="84"/>
      <c r="D40" s="477"/>
      <c r="E40" s="477"/>
      <c r="F40" s="477"/>
      <c r="G40" s="477"/>
      <c r="H40" s="477"/>
      <c r="I40" s="477"/>
      <c r="J40" s="477"/>
      <c r="K40" s="477"/>
      <c r="L40" s="477"/>
      <c r="M40" s="477"/>
    </row>
    <row r="41" spans="1:13">
      <c r="A41" s="84"/>
      <c r="B41" s="84"/>
      <c r="D41" s="477"/>
      <c r="E41" s="477"/>
      <c r="F41" s="477"/>
      <c r="G41" s="477"/>
      <c r="H41" s="477"/>
      <c r="I41" s="477"/>
      <c r="J41" s="477"/>
      <c r="K41" s="477"/>
      <c r="L41" s="477"/>
      <c r="M41" s="477"/>
    </row>
    <row r="42" spans="1:13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</row>
    <row r="43" spans="1:13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</row>
    <row r="44" spans="1:13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</row>
    <row r="45" spans="1:13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</row>
    <row r="46" spans="1:13">
      <c r="A46"/>
      <c r="B46"/>
      <c r="C46"/>
      <c r="D46"/>
      <c r="E46"/>
      <c r="F46"/>
      <c r="G46"/>
      <c r="H46"/>
      <c r="I46"/>
      <c r="J46"/>
      <c r="K46"/>
      <c r="L46"/>
    </row>
    <row r="47" spans="1:13">
      <c r="A47"/>
      <c r="B47"/>
      <c r="C47"/>
      <c r="D47"/>
      <c r="E47"/>
      <c r="F47"/>
      <c r="G47"/>
      <c r="H47"/>
      <c r="I47"/>
      <c r="J47"/>
      <c r="K47"/>
      <c r="L47"/>
    </row>
    <row r="48" spans="1:13">
      <c r="A48"/>
      <c r="B48"/>
      <c r="C48"/>
      <c r="D48"/>
      <c r="E48"/>
      <c r="F48"/>
      <c r="G48"/>
      <c r="H48"/>
      <c r="I48"/>
      <c r="J48"/>
      <c r="K48"/>
      <c r="L48"/>
    </row>
    <row r="49" spans="1:12">
      <c r="A49"/>
      <c r="B49"/>
      <c r="C49"/>
      <c r="D49"/>
      <c r="E49"/>
      <c r="F49"/>
      <c r="G49"/>
      <c r="H49"/>
      <c r="I49"/>
      <c r="J49"/>
      <c r="K49"/>
      <c r="L49"/>
    </row>
    <row r="50" spans="1:12">
      <c r="A50"/>
      <c r="B50"/>
      <c r="C50"/>
      <c r="D50"/>
      <c r="E50"/>
      <c r="F50"/>
      <c r="G50"/>
      <c r="H50"/>
      <c r="I50"/>
      <c r="J50"/>
      <c r="K50"/>
      <c r="L50"/>
    </row>
    <row r="51" spans="1:12">
      <c r="A51"/>
      <c r="B51"/>
      <c r="C51"/>
      <c r="D51"/>
      <c r="E51"/>
      <c r="F51"/>
      <c r="G51"/>
      <c r="H51"/>
      <c r="I51"/>
      <c r="J51"/>
      <c r="K51"/>
      <c r="L51"/>
    </row>
    <row r="52" spans="1:12">
      <c r="A52"/>
      <c r="B52"/>
      <c r="C52"/>
      <c r="D52"/>
      <c r="E52"/>
      <c r="F52"/>
      <c r="G52"/>
      <c r="H52"/>
      <c r="I52"/>
      <c r="J52"/>
      <c r="K52"/>
      <c r="L52"/>
    </row>
    <row r="53" spans="1:12">
      <c r="A53"/>
      <c r="B53"/>
      <c r="C53"/>
      <c r="D53"/>
      <c r="E53"/>
      <c r="F53"/>
      <c r="G53"/>
      <c r="H53"/>
      <c r="I53"/>
      <c r="J53"/>
      <c r="K53"/>
      <c r="L53"/>
    </row>
    <row r="54" spans="1:12">
      <c r="A54"/>
      <c r="B54"/>
      <c r="C54"/>
      <c r="D54"/>
      <c r="E54"/>
      <c r="F54"/>
      <c r="G54"/>
      <c r="H54"/>
      <c r="I54"/>
      <c r="J54"/>
      <c r="K54"/>
      <c r="L54"/>
    </row>
    <row r="55" spans="1:12">
      <c r="A55"/>
      <c r="B55"/>
      <c r="C55"/>
      <c r="D55"/>
      <c r="E55"/>
      <c r="F55"/>
      <c r="G55"/>
      <c r="H55"/>
      <c r="I55"/>
      <c r="J55"/>
      <c r="K55"/>
      <c r="L55"/>
    </row>
    <row r="56" spans="1:12">
      <c r="A56"/>
      <c r="B56"/>
      <c r="C56"/>
      <c r="D56"/>
      <c r="E56"/>
      <c r="F56"/>
      <c r="G56"/>
      <c r="H56"/>
      <c r="I56"/>
      <c r="J56"/>
      <c r="K56"/>
      <c r="L56"/>
    </row>
    <row r="57" spans="1:12">
      <c r="A57"/>
      <c r="B57"/>
      <c r="C57"/>
      <c r="D57"/>
      <c r="E57"/>
      <c r="F57"/>
      <c r="G57"/>
      <c r="H57"/>
      <c r="I57"/>
      <c r="J57"/>
      <c r="K57"/>
      <c r="L57"/>
    </row>
    <row r="58" spans="1:12">
      <c r="A58"/>
      <c r="B58"/>
      <c r="C58"/>
      <c r="D58"/>
      <c r="E58"/>
      <c r="F58"/>
      <c r="G58"/>
      <c r="H58"/>
      <c r="I58"/>
      <c r="J58"/>
      <c r="K58"/>
      <c r="L58"/>
    </row>
    <row r="59" spans="1:12">
      <c r="A59"/>
      <c r="B59"/>
      <c r="C59"/>
      <c r="D59"/>
      <c r="E59"/>
      <c r="F59"/>
      <c r="G59"/>
      <c r="H59"/>
      <c r="I59"/>
      <c r="J59"/>
      <c r="K59"/>
      <c r="L59"/>
    </row>
    <row r="60" spans="1:12">
      <c r="A60"/>
      <c r="B60"/>
      <c r="C60"/>
      <c r="D60"/>
      <c r="E60"/>
      <c r="F60"/>
      <c r="G60"/>
      <c r="H60"/>
      <c r="I60"/>
      <c r="J60"/>
      <c r="K60"/>
      <c r="L60"/>
    </row>
    <row r="61" spans="1:12">
      <c r="A61"/>
      <c r="B61"/>
      <c r="C61"/>
      <c r="D61"/>
      <c r="E61"/>
      <c r="F61"/>
      <c r="G61"/>
      <c r="H61"/>
      <c r="I61"/>
      <c r="J61"/>
      <c r="K61"/>
      <c r="L61"/>
    </row>
    <row r="62" spans="1:12">
      <c r="A62"/>
      <c r="B62"/>
      <c r="C62"/>
      <c r="D62"/>
      <c r="E62"/>
      <c r="F62"/>
      <c r="G62"/>
      <c r="H62"/>
      <c r="I62"/>
      <c r="J62"/>
      <c r="K62"/>
      <c r="L62"/>
    </row>
    <row r="63" spans="1:12">
      <c r="A63"/>
      <c r="B63"/>
      <c r="C63"/>
      <c r="D63"/>
      <c r="E63"/>
      <c r="F63"/>
      <c r="G63"/>
      <c r="H63"/>
      <c r="I63"/>
      <c r="J63"/>
      <c r="K63"/>
      <c r="L63"/>
    </row>
    <row r="64" spans="1:12">
      <c r="A64"/>
      <c r="B64"/>
      <c r="C64"/>
      <c r="D64"/>
      <c r="E64"/>
      <c r="F64"/>
      <c r="G64"/>
      <c r="H64"/>
      <c r="I64"/>
      <c r="J64"/>
      <c r="K64"/>
      <c r="L64"/>
    </row>
    <row r="65" spans="1:12">
      <c r="A65"/>
      <c r="B65"/>
      <c r="C65"/>
      <c r="D65"/>
      <c r="E65"/>
      <c r="F65"/>
      <c r="G65"/>
      <c r="H65"/>
      <c r="I65"/>
      <c r="J65"/>
      <c r="K65"/>
      <c r="L65"/>
    </row>
    <row r="66" spans="1:12">
      <c r="A66"/>
      <c r="B66"/>
      <c r="C66"/>
      <c r="D66"/>
      <c r="E66"/>
      <c r="F66"/>
      <c r="G66"/>
      <c r="H66"/>
      <c r="I66"/>
      <c r="J66"/>
      <c r="K66"/>
      <c r="L66"/>
    </row>
    <row r="67" spans="1:12">
      <c r="A67"/>
      <c r="B67"/>
      <c r="C67"/>
      <c r="D67"/>
      <c r="E67"/>
      <c r="F67"/>
      <c r="G67"/>
      <c r="H67"/>
      <c r="I67"/>
      <c r="J67"/>
      <c r="K67"/>
      <c r="L67"/>
    </row>
    <row r="68" spans="1:12">
      <c r="A68"/>
      <c r="B68"/>
      <c r="C68"/>
      <c r="D68"/>
      <c r="E68"/>
      <c r="F68"/>
      <c r="G68"/>
      <c r="H68"/>
      <c r="I68"/>
      <c r="J68"/>
      <c r="K68"/>
      <c r="L68"/>
    </row>
  </sheetData>
  <phoneticPr fontId="21" type="noConversion"/>
  <pageMargins left="0.5" right="0.5" top="0.75" bottom="0.5" header="0.5" footer="0.5"/>
  <pageSetup scale="84" orientation="landscape" verticalDpi="300" r:id="rId1"/>
  <headerFooter alignWithMargins="0">
    <oddFooter>&amp;RSchedule &amp;A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0">
    <pageSetUpPr fitToPage="1"/>
  </sheetPr>
  <dimension ref="A1:M32"/>
  <sheetViews>
    <sheetView view="pageBreakPreview" zoomScale="80" zoomScaleNormal="100" zoomScaleSheetLayoutView="80" workbookViewId="0">
      <selection sqref="A1:F1"/>
    </sheetView>
  </sheetViews>
  <sheetFormatPr defaultColWidth="8" defaultRowHeight="15"/>
  <cols>
    <col min="1" max="1" width="8" style="1" customWidth="1"/>
    <col min="2" max="2" width="45.88671875" style="1" customWidth="1"/>
    <col min="3" max="3" width="14.33203125" style="1" customWidth="1"/>
    <col min="4" max="4" width="22.77734375" style="1" customWidth="1"/>
    <col min="5" max="5" width="3.77734375" style="1" customWidth="1"/>
    <col min="6" max="6" width="22.77734375" style="1" customWidth="1"/>
    <col min="7" max="7" width="5.77734375" style="1" customWidth="1"/>
    <col min="8" max="8" width="4.44140625" style="1" customWidth="1"/>
    <col min="9" max="9" width="13.109375" style="1" bestFit="1" customWidth="1"/>
    <col min="10" max="10" width="2.44140625" style="1" customWidth="1"/>
    <col min="11" max="11" width="13.109375" style="1" bestFit="1" customWidth="1"/>
    <col min="12" max="12" width="5.5546875" style="1" customWidth="1"/>
    <col min="13" max="13" width="11" style="1" bestFit="1" customWidth="1"/>
    <col min="14" max="14" width="2.21875" style="1" customWidth="1"/>
    <col min="15" max="15" width="11" style="1" bestFit="1" customWidth="1"/>
    <col min="16" max="16384" width="8" style="1"/>
  </cols>
  <sheetData>
    <row r="1" spans="1:13">
      <c r="A1" s="1260" t="str">
        <f>'Table of Contents'!A1:C1</f>
        <v>Atmos Energy Corporation, Kentucky/Mid-States Division</v>
      </c>
      <c r="B1" s="1260"/>
      <c r="C1" s="1260"/>
      <c r="D1" s="1260"/>
      <c r="E1" s="1260"/>
      <c r="F1" s="1260"/>
    </row>
    <row r="2" spans="1:13">
      <c r="A2" s="1260" t="str">
        <f>'Table of Contents'!A2:C2</f>
        <v>Kentucky Jurisdiction Case No. 2021-00214</v>
      </c>
      <c r="B2" s="1260"/>
      <c r="C2" s="1260"/>
      <c r="D2" s="1260"/>
      <c r="E2" s="1260"/>
      <c r="F2" s="1260"/>
    </row>
    <row r="3" spans="1:13">
      <c r="A3" s="1258" t="s">
        <v>1092</v>
      </c>
      <c r="B3" s="1258"/>
      <c r="C3" s="1258"/>
      <c r="D3" s="1258"/>
      <c r="E3" s="1258"/>
      <c r="F3" s="1258"/>
    </row>
    <row r="4" spans="1:13">
      <c r="A4" s="1260" t="str">
        <f>'Table of Contents'!A4:C4</f>
        <v>Forecasted Test Period: Twelve Months Ended December 31, 2022</v>
      </c>
      <c r="B4" s="1260"/>
      <c r="C4" s="1260"/>
      <c r="D4" s="1260"/>
      <c r="E4" s="1260"/>
      <c r="F4" s="1260"/>
    </row>
    <row r="6" spans="1:13">
      <c r="A6" s="4" t="s">
        <v>147</v>
      </c>
      <c r="F6" s="322" t="s">
        <v>1360</v>
      </c>
      <c r="H6" s="540"/>
      <c r="I6" s="540"/>
      <c r="J6" s="540"/>
      <c r="K6" s="540"/>
      <c r="L6" s="540"/>
    </row>
    <row r="7" spans="1:13">
      <c r="A7" s="82" t="str">
        <f>A.1!A8</f>
        <v>Type of Filing:___X____Original________Updated ________Revised</v>
      </c>
      <c r="F7" s="413" t="s">
        <v>740</v>
      </c>
      <c r="H7" s="540"/>
      <c r="I7" s="540"/>
      <c r="J7" s="540"/>
      <c r="K7" s="540"/>
      <c r="L7" s="540"/>
    </row>
    <row r="8" spans="1:13">
      <c r="A8" s="5" t="s">
        <v>423</v>
      </c>
      <c r="B8" s="6"/>
      <c r="C8" s="6"/>
      <c r="D8" s="6"/>
      <c r="E8" s="29"/>
      <c r="F8" s="1058" t="str">
        <f>'B.1 B'!F8</f>
        <v>Witness: Christian</v>
      </c>
      <c r="H8" s="540"/>
      <c r="I8" s="540"/>
      <c r="J8" s="540"/>
      <c r="K8" s="540"/>
      <c r="L8" s="540"/>
    </row>
    <row r="9" spans="1:13">
      <c r="F9" s="2"/>
      <c r="H9" s="540"/>
      <c r="I9" s="540"/>
      <c r="J9" s="540"/>
      <c r="K9" s="540"/>
      <c r="L9" s="540"/>
    </row>
    <row r="10" spans="1:13">
      <c r="C10" s="2" t="s">
        <v>1166</v>
      </c>
      <c r="D10" s="2" t="s">
        <v>42</v>
      </c>
      <c r="F10" s="2" t="s">
        <v>42</v>
      </c>
      <c r="H10" s="540"/>
      <c r="I10" s="585"/>
      <c r="J10" s="540"/>
      <c r="K10" s="540"/>
      <c r="L10" s="540"/>
      <c r="M10" s="540"/>
    </row>
    <row r="11" spans="1:13">
      <c r="A11" s="2" t="s">
        <v>92</v>
      </c>
      <c r="C11" s="2" t="s">
        <v>57</v>
      </c>
      <c r="D11" s="2" t="s">
        <v>314</v>
      </c>
      <c r="F11" s="2" t="s">
        <v>314</v>
      </c>
      <c r="H11" s="540"/>
      <c r="I11" s="540"/>
      <c r="J11" s="540"/>
      <c r="K11" s="540"/>
      <c r="L11" s="540"/>
      <c r="M11" s="540"/>
    </row>
    <row r="12" spans="1:13">
      <c r="A12" s="9" t="s">
        <v>98</v>
      </c>
      <c r="B12" s="5" t="s">
        <v>1169</v>
      </c>
      <c r="C12" s="9" t="s">
        <v>100</v>
      </c>
      <c r="D12" s="9" t="s">
        <v>315</v>
      </c>
      <c r="E12" s="6"/>
      <c r="F12" s="9" t="s">
        <v>508</v>
      </c>
      <c r="H12" s="540"/>
      <c r="I12" s="585"/>
      <c r="J12" s="540"/>
      <c r="K12" s="540"/>
      <c r="L12" s="540"/>
      <c r="M12" s="540"/>
    </row>
    <row r="13" spans="1:13">
      <c r="D13" s="2"/>
      <c r="F13" s="2"/>
      <c r="H13" s="540"/>
      <c r="I13" s="585"/>
      <c r="J13" s="540"/>
      <c r="K13" s="540"/>
      <c r="L13" s="540"/>
      <c r="M13" s="540"/>
    </row>
    <row r="14" spans="1:13">
      <c r="H14" s="540"/>
      <c r="I14" s="585"/>
      <c r="J14" s="540"/>
      <c r="K14" s="540"/>
      <c r="L14" s="540"/>
      <c r="M14" s="540"/>
    </row>
    <row r="15" spans="1:13">
      <c r="A15" s="2">
        <v>1</v>
      </c>
      <c r="B15" s="4" t="s">
        <v>166</v>
      </c>
      <c r="C15" s="2" t="s">
        <v>687</v>
      </c>
      <c r="D15" s="275">
        <f>'B.2 F'!I266</f>
        <v>888768711.58648896</v>
      </c>
      <c r="E15" s="65"/>
      <c r="F15" s="275">
        <f>'B.2 F'!N266</f>
        <v>869694855.96101165</v>
      </c>
      <c r="G15" s="73"/>
      <c r="H15" s="586"/>
      <c r="I15" s="585"/>
      <c r="J15" s="540"/>
      <c r="K15" s="540"/>
      <c r="L15" s="540"/>
      <c r="M15" s="540"/>
    </row>
    <row r="16" spans="1:13">
      <c r="A16" s="92">
        <f>A15+1</f>
        <v>2</v>
      </c>
      <c r="B16" s="4" t="s">
        <v>487</v>
      </c>
      <c r="C16" s="2" t="s">
        <v>687</v>
      </c>
      <c r="D16" s="100">
        <f>'B.2 F'!I268</f>
        <v>0</v>
      </c>
      <c r="E16" s="65"/>
      <c r="F16" s="100">
        <f>'B.2 F'!N268</f>
        <v>0</v>
      </c>
      <c r="G16" s="73"/>
      <c r="H16" s="1008"/>
      <c r="I16" s="585"/>
      <c r="J16" s="540"/>
      <c r="K16" s="540"/>
      <c r="L16" s="540"/>
      <c r="M16" s="540"/>
    </row>
    <row r="17" spans="1:13">
      <c r="A17" s="92">
        <f>A16+1</f>
        <v>3</v>
      </c>
      <c r="B17" s="4" t="s">
        <v>524</v>
      </c>
      <c r="C17" s="2" t="s">
        <v>688</v>
      </c>
      <c r="D17" s="101">
        <f>-'B.3 F'!I266</f>
        <v>-191212833.04073417</v>
      </c>
      <c r="E17" s="65"/>
      <c r="F17" s="101">
        <f>-'B.3 F'!N266</f>
        <v>-186968706.50708419</v>
      </c>
      <c r="G17" s="73"/>
      <c r="H17" s="586"/>
      <c r="I17" s="585"/>
      <c r="J17" s="540"/>
      <c r="K17" s="540"/>
      <c r="L17" s="540"/>
      <c r="M17" s="540"/>
    </row>
    <row r="18" spans="1:13">
      <c r="A18" s="582"/>
      <c r="B18" s="4"/>
      <c r="C18" s="582"/>
      <c r="D18" s="69"/>
      <c r="E18" s="65"/>
      <c r="F18" s="69"/>
      <c r="G18" s="73"/>
      <c r="H18" s="586"/>
      <c r="I18" s="585"/>
      <c r="J18" s="540"/>
      <c r="K18" s="540"/>
      <c r="L18" s="540"/>
      <c r="M18" s="540"/>
    </row>
    <row r="19" spans="1:13">
      <c r="A19" s="92">
        <f>+A17+1</f>
        <v>4</v>
      </c>
      <c r="B19" s="4" t="s">
        <v>157</v>
      </c>
      <c r="D19" s="275">
        <f>SUM(D15:D17)</f>
        <v>697555878.54575479</v>
      </c>
      <c r="E19" s="65"/>
      <c r="F19" s="275">
        <f>SUM(F15:F17)</f>
        <v>682726149.45392752</v>
      </c>
      <c r="G19" s="73"/>
      <c r="H19" s="586"/>
      <c r="I19" s="585"/>
      <c r="J19" s="540"/>
      <c r="K19" s="540"/>
      <c r="L19" s="540"/>
      <c r="M19" s="540"/>
    </row>
    <row r="20" spans="1:13">
      <c r="A20" s="2"/>
      <c r="B20" s="4"/>
      <c r="D20" s="65"/>
      <c r="E20" s="65"/>
      <c r="F20" s="65"/>
      <c r="G20" s="73"/>
      <c r="H20" s="586"/>
      <c r="I20" s="585"/>
      <c r="J20" s="540"/>
      <c r="K20" s="540"/>
      <c r="L20" s="540"/>
      <c r="M20" s="540"/>
    </row>
    <row r="21" spans="1:13">
      <c r="A21" s="92">
        <f>A19+1</f>
        <v>5</v>
      </c>
      <c r="B21" s="4" t="s">
        <v>779</v>
      </c>
      <c r="C21" s="2" t="s">
        <v>689</v>
      </c>
      <c r="D21" s="275">
        <f>+'B.4 F'!E14</f>
        <v>-3062526.8829987803</v>
      </c>
      <c r="E21" s="65"/>
      <c r="F21" s="275">
        <f>D21</f>
        <v>-3062526.8829987803</v>
      </c>
      <c r="G21" s="73"/>
      <c r="H21" s="586"/>
      <c r="I21" s="585"/>
      <c r="J21" s="540"/>
      <c r="K21" s="540"/>
      <c r="L21" s="540"/>
      <c r="M21" s="540"/>
    </row>
    <row r="22" spans="1:13">
      <c r="A22" s="92">
        <f>+A21+1</f>
        <v>6</v>
      </c>
      <c r="B22" s="4" t="s">
        <v>1042</v>
      </c>
      <c r="C22" s="2" t="s">
        <v>690</v>
      </c>
      <c r="D22" s="307">
        <f>+'B.4.1 F'!F37</f>
        <v>17069502.200920891</v>
      </c>
      <c r="E22" s="307"/>
      <c r="F22" s="307">
        <f>+'B.4.1 F'!K37</f>
        <v>8617141.1541175395</v>
      </c>
      <c r="G22" s="73"/>
      <c r="H22" s="586"/>
      <c r="I22" s="585"/>
      <c r="J22" s="540"/>
      <c r="K22" s="540"/>
      <c r="L22" s="540"/>
      <c r="M22" s="540"/>
    </row>
    <row r="23" spans="1:13">
      <c r="A23" s="92">
        <f>+A22+1</f>
        <v>7</v>
      </c>
      <c r="B23" s="4" t="s">
        <v>628</v>
      </c>
      <c r="C23" s="2" t="s">
        <v>691</v>
      </c>
      <c r="D23" s="307">
        <f>'B.6 F'!G24</f>
        <v>-683775.07499999995</v>
      </c>
      <c r="E23" s="307"/>
      <c r="F23" s="307">
        <f>'B.6 F'!L24</f>
        <v>-683775.07500000007</v>
      </c>
      <c r="G23" s="73"/>
      <c r="H23" s="586"/>
      <c r="I23" s="585"/>
      <c r="J23" s="540"/>
      <c r="K23" s="540"/>
      <c r="L23" s="540"/>
      <c r="M23" s="540"/>
    </row>
    <row r="24" spans="1:13">
      <c r="A24" s="92">
        <f t="shared" ref="A24:A25" si="0">+A23+1</f>
        <v>8</v>
      </c>
      <c r="B24" s="4" t="s">
        <v>1523</v>
      </c>
      <c r="C24" s="925" t="s">
        <v>1653</v>
      </c>
      <c r="D24" s="307">
        <f>F.6!C151+'WP B.5 F1'!C13</f>
        <v>-24733968.657559659</v>
      </c>
      <c r="E24" s="307"/>
      <c r="F24" s="307">
        <f>F.6!C152+'WP B.5 F1'!D13</f>
        <v>-27397197.734221611</v>
      </c>
      <c r="G24" s="73"/>
      <c r="H24" s="586"/>
      <c r="I24" s="585"/>
      <c r="J24" s="540"/>
      <c r="K24" s="540"/>
      <c r="L24" s="540"/>
      <c r="M24" s="540"/>
    </row>
    <row r="25" spans="1:13">
      <c r="A25" s="92">
        <f t="shared" si="0"/>
        <v>9</v>
      </c>
      <c r="B25" s="80" t="s">
        <v>1655</v>
      </c>
      <c r="C25" s="108" t="s">
        <v>692</v>
      </c>
      <c r="D25" s="354">
        <f>'B.5 F'!G49</f>
        <v>-52198577.838400073</v>
      </c>
      <c r="E25" s="307" t="s">
        <v>768</v>
      </c>
      <c r="F25" s="354">
        <f>'B.5 F'!L53</f>
        <v>-64069783.833207458</v>
      </c>
      <c r="G25" s="73"/>
      <c r="H25" s="586"/>
      <c r="I25" s="585"/>
      <c r="J25" s="540"/>
      <c r="K25" s="540"/>
      <c r="L25" s="540"/>
      <c r="M25" s="540"/>
    </row>
    <row r="26" spans="1:13">
      <c r="A26" s="2"/>
      <c r="E26" s="73"/>
      <c r="G26" s="73"/>
      <c r="H26" s="586"/>
      <c r="I26" s="585"/>
      <c r="J26" s="540"/>
      <c r="K26" s="540"/>
      <c r="L26" s="540"/>
      <c r="M26" s="540"/>
    </row>
    <row r="27" spans="1:13" ht="15.75" thickBot="1">
      <c r="A27" s="92">
        <f>A25+1</f>
        <v>10</v>
      </c>
      <c r="B27" s="4" t="s">
        <v>158</v>
      </c>
      <c r="D27" s="1057">
        <f>SUM(D19:D25)</f>
        <v>633946532.2927171</v>
      </c>
      <c r="E27" s="65"/>
      <c r="F27" s="1057">
        <f>SUM(F19:F25)</f>
        <v>596130007.08261716</v>
      </c>
      <c r="G27" s="365"/>
      <c r="H27" s="587"/>
      <c r="I27" s="585"/>
      <c r="J27" s="540"/>
      <c r="K27" s="540"/>
      <c r="L27" s="540"/>
      <c r="M27" s="540"/>
    </row>
    <row r="28" spans="1:13" ht="15.75" thickTop="1">
      <c r="D28" s="10"/>
      <c r="E28" s="65"/>
      <c r="F28" s="10"/>
      <c r="G28" s="73"/>
      <c r="H28" s="586"/>
      <c r="J28" s="542"/>
      <c r="K28" s="540"/>
      <c r="L28" s="540"/>
    </row>
    <row r="29" spans="1:13" ht="33.75">
      <c r="B29" s="1033" t="s">
        <v>1434</v>
      </c>
    </row>
    <row r="31" spans="1:13">
      <c r="D31" s="10"/>
      <c r="E31" s="10"/>
      <c r="F31" s="10"/>
    </row>
    <row r="32" spans="1:13">
      <c r="D32" s="10"/>
      <c r="E32" s="10"/>
      <c r="F32" s="10"/>
    </row>
  </sheetData>
  <mergeCells count="4">
    <mergeCell ref="A4:F4"/>
    <mergeCell ref="A3:F3"/>
    <mergeCell ref="A2:F2"/>
    <mergeCell ref="A1:F1"/>
  </mergeCells>
  <phoneticPr fontId="21" type="noConversion"/>
  <printOptions horizontalCentered="1"/>
  <pageMargins left="0.72" right="0.79" top="0.74" bottom="0.5" header="0.5" footer="0.5"/>
  <pageSetup scale="86" orientation="landscape" verticalDpi="300" r:id="rId1"/>
  <headerFooter alignWithMargins="0">
    <oddFooter>&amp;RSchedule &amp;A
Page &amp;P of &amp;N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48">
    <pageSetUpPr fitToPage="1"/>
  </sheetPr>
  <dimension ref="A1:U99"/>
  <sheetViews>
    <sheetView view="pageBreakPreview" topLeftCell="A10" zoomScale="80" zoomScaleNormal="100" zoomScaleSheetLayoutView="80" workbookViewId="0">
      <selection sqref="A1:C1"/>
    </sheetView>
  </sheetViews>
  <sheetFormatPr defaultColWidth="7.109375" defaultRowHeight="15"/>
  <cols>
    <col min="1" max="1" width="5.109375" style="95" customWidth="1"/>
    <col min="2" max="2" width="26.88671875" style="95" customWidth="1"/>
    <col min="3" max="15" width="11.33203125" style="95" customWidth="1"/>
    <col min="16" max="16" width="2.109375" style="95" customWidth="1"/>
    <col min="17" max="17" width="6.5546875" style="95" customWidth="1"/>
    <col min="18" max="18" width="7.109375" style="95"/>
    <col min="19" max="19" width="7.88671875" style="95" customWidth="1"/>
    <col min="20" max="21" width="10.44140625" style="95" bestFit="1" customWidth="1"/>
    <col min="22" max="16384" width="7.109375" style="95"/>
  </cols>
  <sheetData>
    <row r="1" spans="1:16">
      <c r="A1" s="268" t="str">
        <f>'Table of Contents'!A1:C1</f>
        <v>Atmos Energy Corporation, Kentucky/Mid-States Division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  <c r="O1" s="765"/>
    </row>
    <row r="2" spans="1:16">
      <c r="A2" s="268" t="str">
        <f>'Table of Contents'!A2:C2</f>
        <v>Kentucky Jurisdiction Case No. 2021-00214</v>
      </c>
      <c r="B2" s="766"/>
      <c r="C2" s="765"/>
      <c r="D2" s="765"/>
      <c r="E2" s="765"/>
      <c r="F2" s="765"/>
      <c r="G2" s="765"/>
      <c r="H2" s="765"/>
      <c r="I2" s="765"/>
      <c r="J2" s="765"/>
      <c r="K2" s="268"/>
      <c r="L2" s="765"/>
      <c r="M2" s="765"/>
      <c r="N2" s="765"/>
      <c r="O2" s="765"/>
    </row>
    <row r="3" spans="1:16">
      <c r="A3" s="268" t="s">
        <v>1143</v>
      </c>
      <c r="B3" s="767"/>
      <c r="C3" s="765"/>
      <c r="D3" s="765"/>
      <c r="E3" s="765"/>
      <c r="F3" s="765"/>
      <c r="G3" s="765"/>
      <c r="H3" s="765"/>
      <c r="I3" s="765"/>
      <c r="J3" s="765"/>
      <c r="K3" s="765"/>
      <c r="L3" s="765"/>
      <c r="M3" s="765"/>
      <c r="N3" s="765"/>
      <c r="O3" s="765"/>
    </row>
    <row r="4" spans="1:16">
      <c r="A4" s="152" t="str">
        <f>'Table of Contents'!A3:C3</f>
        <v>Base Period: Twelve Months Ended September 30, 2021</v>
      </c>
      <c r="B4" s="268"/>
      <c r="C4" s="765"/>
      <c r="D4" s="765"/>
      <c r="E4" s="765"/>
      <c r="F4" s="765"/>
      <c r="G4" s="765"/>
      <c r="H4" s="765"/>
      <c r="I4" s="765"/>
      <c r="J4" s="765"/>
      <c r="K4" s="765"/>
      <c r="L4" s="765"/>
      <c r="M4" s="765"/>
      <c r="N4" s="765"/>
      <c r="O4" s="765"/>
    </row>
    <row r="5" spans="1:16">
      <c r="A5" s="152" t="str">
        <f>'Table of Contents'!A4:C4</f>
        <v>Forecasted Test Period: Twelve Months Ended December 31, 2022</v>
      </c>
      <c r="B5" s="268"/>
      <c r="C5" s="765"/>
      <c r="D5" s="765"/>
      <c r="E5" s="765"/>
      <c r="F5" s="765"/>
      <c r="G5" s="765"/>
      <c r="H5" s="765"/>
      <c r="I5" s="765"/>
      <c r="J5" s="765"/>
      <c r="K5" s="765"/>
      <c r="L5" s="765"/>
      <c r="M5" s="765"/>
      <c r="N5" s="765"/>
      <c r="O5" s="765"/>
    </row>
    <row r="6" spans="1:16">
      <c r="A6" s="152"/>
      <c r="B6" s="268"/>
      <c r="C6" s="765"/>
      <c r="D6" s="765"/>
      <c r="E6" s="765"/>
      <c r="F6" s="765"/>
      <c r="G6" s="765"/>
      <c r="H6" s="765"/>
      <c r="I6" s="765"/>
      <c r="J6" s="765"/>
      <c r="K6" s="765"/>
      <c r="L6" s="765"/>
      <c r="M6" s="765"/>
      <c r="N6" s="765"/>
      <c r="O6" s="765"/>
    </row>
    <row r="7" spans="1:16">
      <c r="A7" s="472" t="s">
        <v>675</v>
      </c>
      <c r="O7" s="772" t="s">
        <v>1354</v>
      </c>
    </row>
    <row r="8" spans="1:16">
      <c r="A8" s="472" t="s">
        <v>534</v>
      </c>
      <c r="O8" s="631" t="s">
        <v>834</v>
      </c>
    </row>
    <row r="9" spans="1:16">
      <c r="A9" s="773" t="s">
        <v>423</v>
      </c>
      <c r="B9" s="752"/>
      <c r="C9" s="752"/>
      <c r="D9" s="752"/>
      <c r="E9" s="752"/>
      <c r="F9" s="752"/>
      <c r="G9" s="752"/>
      <c r="H9" s="752"/>
      <c r="I9" s="752"/>
      <c r="J9" s="752"/>
      <c r="K9" s="752"/>
      <c r="L9" s="752"/>
      <c r="M9" s="752"/>
      <c r="N9" s="752"/>
      <c r="O9" s="1187" t="str">
        <f>F.1!$I$9</f>
        <v>Witness: Christian</v>
      </c>
      <c r="P9" s="752"/>
    </row>
    <row r="10" spans="1:16">
      <c r="G10" s="768" t="s">
        <v>1663</v>
      </c>
    </row>
    <row r="11" spans="1:16">
      <c r="A11" s="115" t="s">
        <v>92</v>
      </c>
      <c r="M11" s="112" t="s">
        <v>43</v>
      </c>
      <c r="O11" s="112" t="s">
        <v>42</v>
      </c>
    </row>
    <row r="12" spans="1:16">
      <c r="A12" s="769" t="s">
        <v>55</v>
      </c>
      <c r="B12" s="769" t="s">
        <v>972</v>
      </c>
      <c r="C12" s="774">
        <v>2016</v>
      </c>
      <c r="D12" s="527" t="s">
        <v>488</v>
      </c>
      <c r="E12" s="774">
        <f>C12+1</f>
        <v>2017</v>
      </c>
      <c r="F12" s="527" t="s">
        <v>488</v>
      </c>
      <c r="G12" s="774">
        <f>E12+1</f>
        <v>2018</v>
      </c>
      <c r="H12" s="527" t="s">
        <v>488</v>
      </c>
      <c r="I12" s="774">
        <f>G12+1</f>
        <v>2019</v>
      </c>
      <c r="J12" s="527" t="s">
        <v>488</v>
      </c>
      <c r="K12" s="774">
        <f>I12+1</f>
        <v>2020</v>
      </c>
      <c r="L12" s="527" t="s">
        <v>488</v>
      </c>
      <c r="M12" s="527" t="s">
        <v>533</v>
      </c>
      <c r="N12" s="527" t="s">
        <v>488</v>
      </c>
      <c r="O12" s="527" t="s">
        <v>533</v>
      </c>
      <c r="P12" s="752"/>
    </row>
    <row r="14" spans="1:16">
      <c r="A14" s="1036">
        <f t="shared" ref="A14:A50" si="0">+A13+1</f>
        <v>1</v>
      </c>
    </row>
    <row r="15" spans="1:16">
      <c r="A15" s="1036">
        <f t="shared" si="0"/>
        <v>2</v>
      </c>
      <c r="C15" s="115"/>
      <c r="E15" s="115"/>
      <c r="F15" s="115"/>
      <c r="G15" s="115"/>
      <c r="I15" s="115"/>
      <c r="K15" s="115"/>
      <c r="M15" s="115"/>
      <c r="O15" s="115"/>
    </row>
    <row r="16" spans="1:16">
      <c r="A16" s="1036">
        <f t="shared" si="0"/>
        <v>3</v>
      </c>
      <c r="B16" s="770" t="s">
        <v>734</v>
      </c>
      <c r="C16" s="122"/>
      <c r="E16" s="122"/>
      <c r="F16" s="122"/>
      <c r="G16" s="122"/>
      <c r="I16" s="122"/>
      <c r="K16" s="122"/>
      <c r="M16" s="122"/>
      <c r="O16" s="122"/>
    </row>
    <row r="17" spans="1:21">
      <c r="A17" s="1036">
        <f t="shared" si="0"/>
        <v>4</v>
      </c>
      <c r="B17" s="631" t="s">
        <v>782</v>
      </c>
      <c r="C17" s="122">
        <f>[32]G.2!C17</f>
        <v>402264.18</v>
      </c>
      <c r="D17" s="466">
        <f>ROUND((E17-C17)/C17,4)</f>
        <v>-3.32E-2</v>
      </c>
      <c r="E17" s="122">
        <f>[32]G.2!E17</f>
        <v>388905.54</v>
      </c>
      <c r="F17" s="466">
        <f>ROUND((G17-E17)/E17,4)</f>
        <v>-3.3000000000000002E-2</v>
      </c>
      <c r="G17" s="122">
        <f>[32]G.2!G17</f>
        <v>376066.79</v>
      </c>
      <c r="H17" s="466">
        <f>ROUND((I17-G17)/G17,4)</f>
        <v>0.14050000000000001</v>
      </c>
      <c r="I17" s="122">
        <f>[32]G.2!I17</f>
        <v>428909.94</v>
      </c>
      <c r="J17" s="466">
        <f>ROUND((K17-I17)/I17,4)</f>
        <v>-1.01E-2</v>
      </c>
      <c r="K17" s="122">
        <f>[32]G.2!K17</f>
        <v>424587.96</v>
      </c>
      <c r="L17" s="466">
        <f>ROUND((M17-K17)/K17,4)</f>
        <v>-8.8800000000000004E-2</v>
      </c>
      <c r="M17" s="122">
        <f>M49*52*40</f>
        <v>386880</v>
      </c>
      <c r="N17" s="466">
        <f>ROUND((O17-M17)/M17,4)</f>
        <v>0</v>
      </c>
      <c r="O17" s="122">
        <f>O49*52*40</f>
        <v>386880</v>
      </c>
    </row>
    <row r="18" spans="1:21">
      <c r="A18" s="1036">
        <f t="shared" si="0"/>
        <v>5</v>
      </c>
      <c r="B18" s="631" t="s">
        <v>17</v>
      </c>
      <c r="C18" s="523">
        <f>[32]G.2!C18</f>
        <v>23291.75</v>
      </c>
      <c r="D18" s="466">
        <f>ROUND((E18-C18)/C18,4)</f>
        <v>9.2899999999999996E-2</v>
      </c>
      <c r="E18" s="523">
        <f>[32]G.2!E18</f>
        <v>25455.02</v>
      </c>
      <c r="F18" s="466">
        <f>ROUND((G18-E18)/E18,4)</f>
        <v>0.2041</v>
      </c>
      <c r="G18" s="523">
        <f>[32]G.2!G18</f>
        <v>30649.94</v>
      </c>
      <c r="H18" s="466">
        <f>ROUND((I18-G18)/G18,4)</f>
        <v>3.78E-2</v>
      </c>
      <c r="I18" s="523">
        <f>[32]G.2!I18</f>
        <v>31807.95</v>
      </c>
      <c r="J18" s="466">
        <f>ROUND((K18-I18)/I18,4)</f>
        <v>-0.4108</v>
      </c>
      <c r="K18" s="523">
        <f>[32]G.2!K18</f>
        <v>18741.259999999998</v>
      </c>
      <c r="L18" s="466">
        <f>ROUND((M18-K18)/K18,4)</f>
        <v>0.22259999999999999</v>
      </c>
      <c r="M18" s="523">
        <f>($I$18+$K$18)/($I$17+$K$17)*M17</f>
        <v>22913.32921240931</v>
      </c>
      <c r="N18" s="466">
        <f>ROUND((O18-M18)/M18,4)</f>
        <v>0</v>
      </c>
      <c r="O18" s="523">
        <f>($I$18+$K$18)/($I$17+$K$17)*O17</f>
        <v>22913.32921240931</v>
      </c>
    </row>
    <row r="19" spans="1:21">
      <c r="A19" s="1036">
        <f t="shared" si="0"/>
        <v>6</v>
      </c>
      <c r="B19" s="631" t="s">
        <v>960</v>
      </c>
      <c r="C19" s="1188">
        <f>(C17+C18)</f>
        <v>425555.93</v>
      </c>
      <c r="D19" s="466">
        <f>ROUND((E19-C19)/C19,4)</f>
        <v>-2.63E-2</v>
      </c>
      <c r="E19" s="1188">
        <f>(E17+E18)</f>
        <v>414360.56</v>
      </c>
      <c r="F19" s="466">
        <f>ROUND((G19-E19)/E19,4)</f>
        <v>-1.84E-2</v>
      </c>
      <c r="G19" s="1188">
        <f>(G17+G18)</f>
        <v>406716.73</v>
      </c>
      <c r="H19" s="466">
        <f>ROUND((M19-G19)/G19,4)</f>
        <v>7.6E-3</v>
      </c>
      <c r="I19" s="1188">
        <f>(I17+I18)</f>
        <v>460717.89</v>
      </c>
      <c r="J19" s="466">
        <f>ROUND((O19-I19)/I19,4)</f>
        <v>-0.1105</v>
      </c>
      <c r="K19" s="1188">
        <f>(K17+K18)</f>
        <v>443329.22000000003</v>
      </c>
      <c r="L19" s="466">
        <f>ROUND((M19-K19)/K19,4)</f>
        <v>-7.5600000000000001E-2</v>
      </c>
      <c r="M19" s="1188">
        <f>(M17+M18)</f>
        <v>409793.32921240933</v>
      </c>
      <c r="N19" s="466">
        <f>ROUND((O19-M19)/M19,4)</f>
        <v>0</v>
      </c>
      <c r="O19" s="1188">
        <f>(O17+O18)</f>
        <v>409793.32921240933</v>
      </c>
    </row>
    <row r="20" spans="1:21">
      <c r="A20" s="1036">
        <f t="shared" si="0"/>
        <v>7</v>
      </c>
      <c r="B20" s="631" t="s">
        <v>18</v>
      </c>
    </row>
    <row r="21" spans="1:21">
      <c r="A21" s="1036">
        <f t="shared" si="0"/>
        <v>8</v>
      </c>
      <c r="B21" s="631" t="s">
        <v>59</v>
      </c>
      <c r="C21" s="123">
        <f>ROUND((C18/C17),5)</f>
        <v>5.79E-2</v>
      </c>
      <c r="E21" s="123">
        <f>ROUND((E18/E17),5)</f>
        <v>6.5449999999999994E-2</v>
      </c>
      <c r="G21" s="123">
        <f>ROUND((G18/G17),5)</f>
        <v>8.1500000000000003E-2</v>
      </c>
      <c r="I21" s="123">
        <f>ROUND((I18/I17),5)</f>
        <v>7.4160000000000004E-2</v>
      </c>
      <c r="K21" s="123">
        <f>ROUND((K18/K17),5)</f>
        <v>4.4139999999999999E-2</v>
      </c>
      <c r="M21" s="123">
        <f>ROUND((M18/M17),5)</f>
        <v>5.9229999999999998E-2</v>
      </c>
      <c r="O21" s="123">
        <f>ROUND((O18/O17),5)</f>
        <v>5.9229999999999998E-2</v>
      </c>
    </row>
    <row r="22" spans="1:21">
      <c r="A22" s="1036">
        <f t="shared" si="0"/>
        <v>9</v>
      </c>
      <c r="C22" s="122"/>
      <c r="E22" s="122"/>
      <c r="G22" s="122"/>
      <c r="I22" s="122"/>
      <c r="K22" s="122"/>
      <c r="M22" s="122"/>
      <c r="O22" s="122"/>
    </row>
    <row r="23" spans="1:21">
      <c r="A23" s="1036">
        <f t="shared" si="0"/>
        <v>10</v>
      </c>
      <c r="B23" s="770" t="s">
        <v>735</v>
      </c>
      <c r="C23" s="122"/>
      <c r="E23" s="122"/>
      <c r="G23" s="122"/>
      <c r="I23" s="122"/>
      <c r="K23" s="122"/>
      <c r="M23" s="122"/>
      <c r="O23" s="122"/>
    </row>
    <row r="24" spans="1:21">
      <c r="A24" s="1036">
        <f t="shared" si="0"/>
        <v>11</v>
      </c>
      <c r="B24" s="631" t="s">
        <v>736</v>
      </c>
      <c r="C24" s="122">
        <f>[32]G.2!C24</f>
        <v>11387043.539999999</v>
      </c>
      <c r="D24" s="466">
        <f>ROUND((E24-C24)/C24,4)</f>
        <v>-3.2000000000000002E-3</v>
      </c>
      <c r="E24" s="122">
        <f>[32]G.2!E24</f>
        <v>11350420.66</v>
      </c>
      <c r="F24" s="466">
        <f>ROUND((G24-E24)/E24,4)</f>
        <v>4.0000000000000002E-4</v>
      </c>
      <c r="G24" s="122">
        <f>[32]G.2!G24</f>
        <v>11354438.220000001</v>
      </c>
      <c r="H24" s="466">
        <f>ROUND((I24-G24)/G24,4)</f>
        <v>4.2000000000000003E-2</v>
      </c>
      <c r="I24" s="122">
        <f>[32]G.2!I24</f>
        <v>11830931.17</v>
      </c>
      <c r="J24" s="466">
        <f>ROUND((K24-I24)/I24,4)</f>
        <v>2.2700000000000001E-2</v>
      </c>
      <c r="K24" s="122">
        <f>[32]G.2!K24</f>
        <v>12100004.4</v>
      </c>
      <c r="L24" s="466">
        <f>ROUND((M24-K24)/K24,4)</f>
        <v>-6.5000000000000002E-2</v>
      </c>
      <c r="M24" s="516">
        <f>M26-M25</f>
        <v>11312972.655075982</v>
      </c>
      <c r="N24" s="466">
        <f>ROUND((O24-M24)/M24,4)</f>
        <v>4.4299999999999999E-2</v>
      </c>
      <c r="O24" s="516">
        <f>O26-O25</f>
        <v>11813876.863644611</v>
      </c>
      <c r="R24" s="477" t="s">
        <v>1615</v>
      </c>
      <c r="S24" s="1"/>
      <c r="T24" s="1"/>
      <c r="U24" s="1"/>
    </row>
    <row r="25" spans="1:21">
      <c r="A25" s="1036">
        <f t="shared" si="0"/>
        <v>12</v>
      </c>
      <c r="B25" s="631" t="s">
        <v>19</v>
      </c>
      <c r="C25" s="523">
        <f>[32]G.2!C25</f>
        <v>913258.46</v>
      </c>
      <c r="D25" s="466">
        <f>ROUND((E25-C25)/C25,4)</f>
        <v>0.12280000000000001</v>
      </c>
      <c r="E25" s="523">
        <f>[32]G.2!E25</f>
        <v>1025395.66</v>
      </c>
      <c r="F25" s="466">
        <f>ROUND((G25-E25)/E25,4)</f>
        <v>0.21560000000000001</v>
      </c>
      <c r="G25" s="523">
        <f>[32]G.2!G25</f>
        <v>1246475.79</v>
      </c>
      <c r="H25" s="466">
        <f>ROUND((I25-G25)/G25,4)</f>
        <v>0.06</v>
      </c>
      <c r="I25" s="523">
        <f>[32]G.2!I25</f>
        <v>1321264.92</v>
      </c>
      <c r="J25" s="466">
        <f>ROUND((K25-I25)/I25,4)</f>
        <v>-0.38169999999999998</v>
      </c>
      <c r="K25" s="523">
        <f>[32]G.2!K25</f>
        <v>816954.48</v>
      </c>
      <c r="L25" s="466">
        <f>ROUND((M25-K25)/K25,4)</f>
        <v>0.3629</v>
      </c>
      <c r="M25" s="522">
        <f>AVERAGE(I28,K28)*M26</f>
        <v>1113403.2841551052</v>
      </c>
      <c r="N25" s="466">
        <f>ROUND((O25-M25)/M25,4)</f>
        <v>-0.04</v>
      </c>
      <c r="O25" s="522">
        <f>AVERAGE(K28,M28)*O26</f>
        <v>1068882.5484189102</v>
      </c>
      <c r="R25" s="477" t="s">
        <v>1616</v>
      </c>
      <c r="S25" s="477" t="s">
        <v>1617</v>
      </c>
      <c r="T25" s="477" t="s">
        <v>1616</v>
      </c>
      <c r="U25" s="477" t="s">
        <v>1617</v>
      </c>
    </row>
    <row r="26" spans="1:21">
      <c r="A26" s="1036">
        <f t="shared" si="0"/>
        <v>13</v>
      </c>
      <c r="B26" s="631" t="s">
        <v>780</v>
      </c>
      <c r="C26" s="1188">
        <f>(C24+C25)</f>
        <v>12300302</v>
      </c>
      <c r="D26" s="466">
        <f>ROUND((E26-C26)/C26,4)</f>
        <v>6.1000000000000004E-3</v>
      </c>
      <c r="E26" s="1188">
        <f>(E24+E25)</f>
        <v>12375816.32</v>
      </c>
      <c r="F26" s="466">
        <f>ROUND((G26-E26)/E26,4)</f>
        <v>1.8200000000000001E-2</v>
      </c>
      <c r="G26" s="1188">
        <f>(G24+G25)</f>
        <v>12600914.010000002</v>
      </c>
      <c r="H26" s="466">
        <f>ROUND((I26-G26)/G26,4)</f>
        <v>4.3700000000000003E-2</v>
      </c>
      <c r="I26" s="1188">
        <f>(I24+I25)</f>
        <v>13152196.09</v>
      </c>
      <c r="J26" s="466">
        <f>ROUND((K26-I26)/I26,4)</f>
        <v>-1.7899999999999999E-2</v>
      </c>
      <c r="K26" s="1188">
        <f>(K24+K25)</f>
        <v>12916958.880000001</v>
      </c>
      <c r="L26" s="466">
        <f>ROUND((M26-K26)/K26,4)</f>
        <v>-3.7999999999999999E-2</v>
      </c>
      <c r="M26" s="516">
        <f>M30/'[33]Div 9'!$B$35</f>
        <v>12426375.939231087</v>
      </c>
      <c r="N26" s="466">
        <f>ROUND((O26-M26)/M26,4)</f>
        <v>3.6700000000000003E-2</v>
      </c>
      <c r="O26" s="516">
        <f>O30/'[33]Div 9'!$B$43</f>
        <v>12882759.41206352</v>
      </c>
      <c r="R26" s="41">
        <f>'[33]Div 9'!$B$35</f>
        <v>0.43159910630644116</v>
      </c>
      <c r="S26" s="41">
        <f>'[33]Div 9'!$B$43</f>
        <v>0.43184052882726998</v>
      </c>
      <c r="T26" s="84">
        <f>M30/R26</f>
        <v>12426375.939231087</v>
      </c>
      <c r="U26" s="84">
        <f>O30/S26</f>
        <v>12882759.41206352</v>
      </c>
    </row>
    <row r="27" spans="1:21">
      <c r="A27" s="1036">
        <f t="shared" si="0"/>
        <v>14</v>
      </c>
      <c r="B27" s="631" t="s">
        <v>20</v>
      </c>
      <c r="R27" s="477"/>
      <c r="S27" s="1"/>
      <c r="T27" s="84">
        <f>M26-T26</f>
        <v>0</v>
      </c>
      <c r="U27" s="84">
        <f>O26-U26</f>
        <v>0</v>
      </c>
    </row>
    <row r="28" spans="1:21">
      <c r="A28" s="1036">
        <f t="shared" si="0"/>
        <v>15</v>
      </c>
      <c r="B28" s="631" t="s">
        <v>1023</v>
      </c>
      <c r="C28" s="123">
        <f>ROUND((C25/C24),5)</f>
        <v>8.0199999999999994E-2</v>
      </c>
      <c r="E28" s="123">
        <f>ROUND((E25/E24),5)</f>
        <v>9.0340000000000004E-2</v>
      </c>
      <c r="G28" s="123">
        <f>ROUND((G25/G24),5)</f>
        <v>0.10978</v>
      </c>
      <c r="I28" s="123">
        <f>ROUND((I25/I24),5)</f>
        <v>0.11168</v>
      </c>
      <c r="K28" s="123">
        <f>ROUND((K25/K24),5)</f>
        <v>6.7519999999999997E-2</v>
      </c>
      <c r="M28" s="123">
        <f>ROUND((M25/M24),5)</f>
        <v>9.8419999999999994E-2</v>
      </c>
      <c r="O28" s="123">
        <f>ROUND((O25/O24),5)</f>
        <v>9.0480000000000005E-2</v>
      </c>
    </row>
    <row r="29" spans="1:21">
      <c r="A29" s="1036">
        <f t="shared" si="0"/>
        <v>16</v>
      </c>
      <c r="C29" s="122"/>
      <c r="E29" s="122"/>
      <c r="G29" s="122"/>
      <c r="I29" s="122"/>
      <c r="K29" s="122"/>
      <c r="M29" s="122"/>
      <c r="O29" s="122"/>
    </row>
    <row r="30" spans="1:21">
      <c r="A30" s="1036">
        <f t="shared" si="0"/>
        <v>17</v>
      </c>
      <c r="B30" s="631" t="s">
        <v>60</v>
      </c>
      <c r="C30" s="122">
        <f>[32]G.2!C30</f>
        <v>5063947.18</v>
      </c>
      <c r="D30" s="466">
        <f>ROUND((E30-C30)/C30,4)</f>
        <v>4.2700000000000002E-2</v>
      </c>
      <c r="E30" s="122">
        <f>[32]G.2!E30</f>
        <v>5280413.74</v>
      </c>
      <c r="F30" s="466">
        <f>ROUND((G30-E30)/E30,4)</f>
        <v>6.4500000000000002E-2</v>
      </c>
      <c r="G30" s="122">
        <f>[32]G.2!G30</f>
        <v>5621116.71</v>
      </c>
      <c r="H30" s="466">
        <f>ROUND((M30-G30)/G30,4)</f>
        <v>-4.5900000000000003E-2</v>
      </c>
      <c r="I30" s="122">
        <f>[32]G.2!I30</f>
        <v>5432594.3200000003</v>
      </c>
      <c r="J30" s="466">
        <f>ROUND((O30-I30)/I30,4)</f>
        <v>2.41E-2</v>
      </c>
      <c r="K30" s="122">
        <f>[32]G.2!K30</f>
        <v>5104736.3600000003</v>
      </c>
      <c r="L30" s="466">
        <f>ROUND((M30-K30)/K30,4)</f>
        <v>5.0599999999999999E-2</v>
      </c>
      <c r="M30" s="122">
        <f>'[13]O&amp;M Comparison'!$C$6</f>
        <v>5363212.75</v>
      </c>
      <c r="N30" s="466">
        <f>ROUND((O30-M30)/M30,4)</f>
        <v>3.73E-2</v>
      </c>
      <c r="O30" s="122">
        <f>'[13]O&amp;M Comparison'!$D$6</f>
        <v>5563297.6372600002</v>
      </c>
    </row>
    <row r="31" spans="1:21">
      <c r="A31" s="1036">
        <f t="shared" si="0"/>
        <v>18</v>
      </c>
      <c r="B31" s="631" t="s">
        <v>61</v>
      </c>
    </row>
    <row r="32" spans="1:21">
      <c r="A32" s="1036">
        <f t="shared" si="0"/>
        <v>19</v>
      </c>
      <c r="B32" s="631" t="s">
        <v>611</v>
      </c>
      <c r="C32" s="123">
        <f>ROUND((C30/C26),5)</f>
        <v>0.41169</v>
      </c>
      <c r="E32" s="123">
        <f>ROUND((E30/E26),5)</f>
        <v>0.42666999999999999</v>
      </c>
      <c r="G32" s="123">
        <f>ROUND((G30/G26),5)</f>
        <v>0.44608999999999999</v>
      </c>
      <c r="I32" s="123">
        <f>ROUND((I30/I26),5)</f>
        <v>0.41305999999999998</v>
      </c>
      <c r="K32" s="123">
        <f>ROUND((K30/K26),5)</f>
        <v>0.3952</v>
      </c>
      <c r="M32" s="123">
        <f>ROUND((M30/M26),5)</f>
        <v>0.43159999999999998</v>
      </c>
      <c r="O32" s="123">
        <f>ROUND((O30/O26),5)</f>
        <v>0.43184</v>
      </c>
    </row>
    <row r="33" spans="1:16">
      <c r="A33" s="1036">
        <f t="shared" si="0"/>
        <v>20</v>
      </c>
    </row>
    <row r="34" spans="1:16">
      <c r="A34" s="1036">
        <f t="shared" si="0"/>
        <v>21</v>
      </c>
      <c r="B34" s="770" t="s">
        <v>612</v>
      </c>
      <c r="C34" s="122"/>
      <c r="E34" s="122"/>
      <c r="G34" s="122"/>
      <c r="I34" s="122"/>
      <c r="K34" s="122"/>
      <c r="M34" s="122"/>
      <c r="O34" s="122"/>
    </row>
    <row r="35" spans="1:16">
      <c r="A35" s="1036">
        <f t="shared" si="0"/>
        <v>22</v>
      </c>
      <c r="B35" s="631" t="s">
        <v>729</v>
      </c>
      <c r="C35" s="100">
        <f>[32]G.2!C35</f>
        <v>4593454.8626551144</v>
      </c>
      <c r="D35" s="466">
        <f>ROUND((E35-C35)/C35,4)</f>
        <v>-8.2600000000000007E-2</v>
      </c>
      <c r="E35" s="100">
        <f>[32]G.2!E35</f>
        <v>4213987.9676855821</v>
      </c>
      <c r="F35" s="466">
        <f>ROUND((G35-E35)/E35,4)</f>
        <v>-1.6899999999999998E-2</v>
      </c>
      <c r="G35" s="100">
        <f>[32]G.2!G35</f>
        <v>4142788.8665795103</v>
      </c>
      <c r="H35" s="466">
        <f>ROUND((I35-G35)/G35,4)</f>
        <v>0.10390000000000001</v>
      </c>
      <c r="I35" s="100">
        <f>[32]G.2!I35</f>
        <v>4573153.9197517596</v>
      </c>
      <c r="J35" s="466">
        <f>ROUND((K35-I35)/I35,4)</f>
        <v>-6.3299999999999995E-2</v>
      </c>
      <c r="K35" s="100">
        <f>[32]G.2!K35</f>
        <v>4283536.9489974706</v>
      </c>
      <c r="L35" s="466">
        <f>ROUND((M35-K35)/K35,4)</f>
        <v>-2.3699999999999999E-2</v>
      </c>
      <c r="M35" s="100">
        <f>M36/M32</f>
        <v>4182203.8229842447</v>
      </c>
      <c r="N35" s="466">
        <f>ROUND((O35-M35)/M35,4)</f>
        <v>-6.1499999999999999E-2</v>
      </c>
      <c r="O35" s="100">
        <f>O36/O32</f>
        <v>3925151.7963131238</v>
      </c>
      <c r="P35" s="100"/>
    </row>
    <row r="36" spans="1:16">
      <c r="A36" s="1036">
        <f t="shared" si="0"/>
        <v>23</v>
      </c>
      <c r="B36" s="631" t="s">
        <v>730</v>
      </c>
      <c r="C36" s="122">
        <f>[32]G.2!C36</f>
        <v>1957208.1800000004</v>
      </c>
      <c r="D36" s="466">
        <f>ROUND((E36-C36)/C36,4)</f>
        <v>-3.7900000000000003E-2</v>
      </c>
      <c r="E36" s="122">
        <f>[32]G.2!E36</f>
        <v>1883009.9400000006</v>
      </c>
      <c r="F36" s="466">
        <f>ROUND((G36-E36)/E36,4)</f>
        <v>-3.6200000000000003E-2</v>
      </c>
      <c r="G36" s="122">
        <f>[32]G.2!G36</f>
        <v>1814786.55</v>
      </c>
      <c r="H36" s="466">
        <f>ROUND((I36-G36)/G36,4)</f>
        <v>7.3999999999999996E-2</v>
      </c>
      <c r="I36" s="122">
        <f>[32]G.2!I36</f>
        <v>1949161.7799999993</v>
      </c>
      <c r="J36" s="466">
        <f>ROUND((K36-I36)/I36,4)</f>
        <v>-9.7100000000000006E-2</v>
      </c>
      <c r="K36" s="122">
        <f>[32]G.2!K36</f>
        <v>1759955.1800000006</v>
      </c>
      <c r="L36" s="466">
        <f>ROUND((M36-K36)/K36,4)</f>
        <v>2.5600000000000001E-2</v>
      </c>
      <c r="M36" s="122">
        <f>'[13]O&amp;M Comparison'!$C$7</f>
        <v>1805039.17</v>
      </c>
      <c r="N36" s="466">
        <f>ROUND((O36-M36)/M36,4)</f>
        <v>-6.0900000000000003E-2</v>
      </c>
      <c r="O36" s="122">
        <f>'[13]O&amp;M Comparison'!$D$7</f>
        <v>1695037.5517198595</v>
      </c>
      <c r="P36" s="100"/>
    </row>
    <row r="37" spans="1:16">
      <c r="A37" s="1036">
        <f t="shared" si="0"/>
        <v>24</v>
      </c>
      <c r="B37" s="631" t="s">
        <v>788</v>
      </c>
    </row>
    <row r="38" spans="1:16">
      <c r="A38" s="1036">
        <f t="shared" si="0"/>
        <v>25</v>
      </c>
      <c r="B38" s="472" t="s">
        <v>789</v>
      </c>
      <c r="C38" s="358"/>
      <c r="E38" s="358"/>
      <c r="G38" s="358"/>
      <c r="I38" s="358"/>
      <c r="K38" s="358"/>
    </row>
    <row r="39" spans="1:16">
      <c r="A39" s="1036">
        <f t="shared" si="0"/>
        <v>26</v>
      </c>
      <c r="B39" s="631" t="s">
        <v>790</v>
      </c>
      <c r="C39" s="123">
        <f>ROUND((C36/C35),5)</f>
        <v>0.42609000000000002</v>
      </c>
      <c r="E39" s="123">
        <f>ROUND((E36/E35),5)</f>
        <v>0.44685000000000002</v>
      </c>
      <c r="G39" s="123">
        <f>ROUND((G36/G35),5)</f>
        <v>0.43806</v>
      </c>
      <c r="I39" s="123">
        <f>ROUND((I36/I35),5)</f>
        <v>0.42621999999999999</v>
      </c>
      <c r="K39" s="123">
        <f>ROUND((K36/K35),5)</f>
        <v>0.41086</v>
      </c>
      <c r="M39" s="123">
        <f>ROUND((M36/M35),5)</f>
        <v>0.43159999999999998</v>
      </c>
      <c r="O39" s="123">
        <f>ROUND((O36/O35),5)</f>
        <v>0.43184</v>
      </c>
    </row>
    <row r="40" spans="1:16">
      <c r="A40" s="1036">
        <f t="shared" si="0"/>
        <v>27</v>
      </c>
    </row>
    <row r="41" spans="1:16">
      <c r="A41" s="1036">
        <f t="shared" si="0"/>
        <v>28</v>
      </c>
      <c r="B41" s="500" t="s">
        <v>791</v>
      </c>
    </row>
    <row r="42" spans="1:16">
      <c r="A42" s="1036">
        <f t="shared" si="0"/>
        <v>29</v>
      </c>
      <c r="B42" s="631" t="s">
        <v>627</v>
      </c>
      <c r="C42" s="100">
        <f>[32]G.2!C42</f>
        <v>937780.34000000008</v>
      </c>
      <c r="D42" s="466">
        <f>ROUND((E42-C42)/C42,4)</f>
        <v>0.19259999999999999</v>
      </c>
      <c r="E42" s="100">
        <f>[32]G.2!E42</f>
        <v>1118350.7199999997</v>
      </c>
      <c r="F42" s="466">
        <f>ROUND((G42-E42)/E42,4)</f>
        <v>-0.1638</v>
      </c>
      <c r="G42" s="100">
        <f>[32]G.2!G42</f>
        <v>935217.53</v>
      </c>
      <c r="H42" s="466">
        <f>ROUND((I42-G42)/G42,4)</f>
        <v>0.58630000000000004</v>
      </c>
      <c r="I42" s="100">
        <f>[32]G.2!I42</f>
        <v>1483579.8100000003</v>
      </c>
      <c r="J42" s="466">
        <f>ROUND((K42-I42)/I42,4)</f>
        <v>-0.16889999999999999</v>
      </c>
      <c r="K42" s="100">
        <f>[32]G.2!K42</f>
        <v>1233010.93</v>
      </c>
      <c r="L42" s="466">
        <f>ROUND((M42-K42)/K42,4)</f>
        <v>-0.1709</v>
      </c>
      <c r="M42" s="100">
        <f>M43/M32</f>
        <v>1022347.7062094533</v>
      </c>
      <c r="N42" s="466">
        <f>ROUND((O42-M42)/M42,4)</f>
        <v>0.27010000000000001</v>
      </c>
      <c r="O42" s="100">
        <f>O43/O32</f>
        <v>1298474.041311597</v>
      </c>
      <c r="P42" s="100"/>
    </row>
    <row r="43" spans="1:16">
      <c r="A43" s="1036">
        <f t="shared" si="0"/>
        <v>30</v>
      </c>
      <c r="B43" s="631" t="s">
        <v>1087</v>
      </c>
      <c r="C43" s="122">
        <f>[32]G.2!C43</f>
        <v>352392.23999999993</v>
      </c>
      <c r="D43" s="466">
        <f>ROUND((E43-C43)/C43,4)</f>
        <v>-2.9100000000000001E-2</v>
      </c>
      <c r="E43" s="122">
        <f>[32]G.2!E43</f>
        <v>342144.76999999996</v>
      </c>
      <c r="F43" s="466">
        <f>ROUND((G43-E43)/E43,4)</f>
        <v>6.6000000000000003E-2</v>
      </c>
      <c r="G43" s="122">
        <f>[32]G.2!G43</f>
        <v>364719.13000000012</v>
      </c>
      <c r="H43" s="466">
        <f>ROUND((I43-G43)/G43,4)</f>
        <v>0.11990000000000001</v>
      </c>
      <c r="I43" s="122">
        <f>[32]G.2!I43</f>
        <v>408462.87000000017</v>
      </c>
      <c r="J43" s="466">
        <f>ROUND((K43-I43)/I43,4)</f>
        <v>-0.17829999999999999</v>
      </c>
      <c r="K43" s="122">
        <f>[32]G.2!K43</f>
        <v>335620.93</v>
      </c>
      <c r="L43" s="466">
        <f>ROUND((M43-K43)/K43,4)</f>
        <v>0.31469999999999998</v>
      </c>
      <c r="M43" s="100">
        <f>SUM('C.2.3 B'!O12:O14)</f>
        <v>441245.27</v>
      </c>
      <c r="N43" s="466">
        <f>ROUND((O43-M43)/M43,4)</f>
        <v>0.27079999999999999</v>
      </c>
      <c r="O43" s="100">
        <f>SUM('C.2.3 F'!O13:O15)</f>
        <v>560733.03</v>
      </c>
      <c r="P43" s="100"/>
    </row>
    <row r="44" spans="1:16">
      <c r="A44" s="1036">
        <f t="shared" si="0"/>
        <v>31</v>
      </c>
      <c r="B44" s="631" t="s">
        <v>624</v>
      </c>
    </row>
    <row r="45" spans="1:16">
      <c r="A45" s="1036">
        <f t="shared" si="0"/>
        <v>32</v>
      </c>
      <c r="B45" s="631" t="s">
        <v>625</v>
      </c>
    </row>
    <row r="46" spans="1:16">
      <c r="A46" s="1036">
        <f t="shared" si="0"/>
        <v>33</v>
      </c>
      <c r="B46" s="472" t="s">
        <v>629</v>
      </c>
      <c r="C46" s="123">
        <f>ROUND((C43/C42),5)</f>
        <v>0.37576999999999999</v>
      </c>
      <c r="D46" s="123"/>
      <c r="E46" s="123">
        <f>ROUND((E43/E42),5)</f>
        <v>0.30593999999999999</v>
      </c>
      <c r="G46" s="123">
        <f>ROUND((G43/G42),5)</f>
        <v>0.38997999999999999</v>
      </c>
      <c r="I46" s="123">
        <f>ROUND((I43/I42),5)</f>
        <v>0.27532000000000001</v>
      </c>
      <c r="K46" s="123">
        <f>ROUND((K43/K42),5)</f>
        <v>0.2722</v>
      </c>
      <c r="M46" s="123">
        <f>ROUND((M43/M42),5)</f>
        <v>0.43159999999999998</v>
      </c>
      <c r="O46" s="123">
        <f>ROUND((O43/O42),5)</f>
        <v>0.43184</v>
      </c>
    </row>
    <row r="47" spans="1:16">
      <c r="A47" s="1036">
        <f t="shared" si="0"/>
        <v>34</v>
      </c>
    </row>
    <row r="48" spans="1:16">
      <c r="A48" s="1036">
        <f t="shared" si="0"/>
        <v>35</v>
      </c>
      <c r="B48" s="770" t="s">
        <v>1139</v>
      </c>
    </row>
    <row r="49" spans="1:19">
      <c r="A49" s="1036">
        <f t="shared" si="0"/>
        <v>36</v>
      </c>
      <c r="B49" s="631" t="s">
        <v>1140</v>
      </c>
      <c r="C49" s="95">
        <f>[32]G.2!C49</f>
        <v>213</v>
      </c>
      <c r="D49" s="1189">
        <f>ROUND((E49-C49)/C49,4)</f>
        <v>-3.2899999999999999E-2</v>
      </c>
      <c r="E49" s="95">
        <f>[32]G.2!E49</f>
        <v>206</v>
      </c>
      <c r="F49" s="466">
        <f>ROUND((G49-E49)/E49,4)</f>
        <v>-4.1300000000000003E-2</v>
      </c>
      <c r="G49" s="95">
        <f>[32]G.2!G49</f>
        <v>197.5</v>
      </c>
      <c r="H49" s="466">
        <f>ROUND((I49-G49)/G49,4)</f>
        <v>-1.2699999999999999E-2</v>
      </c>
      <c r="I49" s="95">
        <f>[32]G.2!I49</f>
        <v>195</v>
      </c>
      <c r="J49" s="466">
        <f>ROUND((K49-I49)/I49,4)</f>
        <v>-2.3099999999999999E-2</v>
      </c>
      <c r="K49" s="95">
        <f>[32]G.2!K49</f>
        <v>190.5</v>
      </c>
      <c r="L49" s="466">
        <f>ROUND((M49-K49)/K49,4)</f>
        <v>-2.3599999999999999E-2</v>
      </c>
      <c r="M49" s="775">
        <f>M50</f>
        <v>186</v>
      </c>
      <c r="N49" s="466">
        <f>ROUND((O49-M49)/M49,4)</f>
        <v>0</v>
      </c>
      <c r="O49" s="775">
        <f>O50</f>
        <v>186</v>
      </c>
    </row>
    <row r="50" spans="1:19">
      <c r="A50" s="1036">
        <f t="shared" si="0"/>
        <v>37</v>
      </c>
      <c r="B50" s="631" t="s">
        <v>1141</v>
      </c>
      <c r="C50" s="775">
        <f>[32]G.2!C50</f>
        <v>211</v>
      </c>
      <c r="D50" s="466">
        <f>ROUND((E50-C50)/C50,4)</f>
        <v>-5.21E-2</v>
      </c>
      <c r="E50" s="775">
        <f>[32]G.2!E50</f>
        <v>200</v>
      </c>
      <c r="F50" s="466">
        <f>ROUND((G50-E50)/E50,4)</f>
        <v>-2.5000000000000001E-2</v>
      </c>
      <c r="G50" s="775">
        <f>[32]G.2!G50</f>
        <v>195</v>
      </c>
      <c r="H50" s="466">
        <f>ROUND((I50-G50)/G50,4)</f>
        <v>0</v>
      </c>
      <c r="I50" s="775">
        <f>[32]G.2!I50</f>
        <v>195</v>
      </c>
      <c r="J50" s="466">
        <f>ROUND((K50-I50)/I50,4)</f>
        <v>-4.6199999999999998E-2</v>
      </c>
      <c r="K50" s="775">
        <f>[32]G.2!K50</f>
        <v>186</v>
      </c>
      <c r="L50" s="466">
        <f>ROUND((M50-K50)/K50,4)</f>
        <v>0</v>
      </c>
      <c r="M50" s="775">
        <f>K50</f>
        <v>186</v>
      </c>
      <c r="N50" s="466">
        <f>ROUND((O50-M50)/M50,4)</f>
        <v>0</v>
      </c>
      <c r="O50" s="775">
        <f>M50</f>
        <v>186</v>
      </c>
    </row>
    <row r="52" spans="1:19">
      <c r="R52" s="100"/>
    </row>
    <row r="53" spans="1:19">
      <c r="R53" s="100"/>
    </row>
    <row r="54" spans="1:19">
      <c r="B54" s="535" t="s">
        <v>1681</v>
      </c>
    </row>
    <row r="55" spans="1:19">
      <c r="B55" s="535" t="s">
        <v>1341</v>
      </c>
    </row>
    <row r="58" spans="1:19">
      <c r="B58" s="95" t="s">
        <v>1215</v>
      </c>
      <c r="R58" s="100"/>
      <c r="S58" s="100"/>
    </row>
    <row r="59" spans="1:19">
      <c r="B59" s="535" t="s">
        <v>1619</v>
      </c>
      <c r="R59" s="100"/>
      <c r="S59" s="100"/>
    </row>
    <row r="60" spans="1:19">
      <c r="B60" s="95" t="s">
        <v>1618</v>
      </c>
    </row>
    <row r="61" spans="1:19">
      <c r="B61" s="95" t="s">
        <v>1571</v>
      </c>
    </row>
    <row r="67" spans="1:15">
      <c r="A67" s="115"/>
    </row>
    <row r="68" spans="1:15">
      <c r="A68" s="115"/>
      <c r="B68" s="115"/>
      <c r="G68" s="771"/>
      <c r="I68" s="771"/>
      <c r="K68" s="771"/>
      <c r="M68" s="771"/>
      <c r="O68" s="771"/>
    </row>
    <row r="69" spans="1:15">
      <c r="G69" s="122"/>
    </row>
    <row r="70" spans="1:15">
      <c r="A70" s="115"/>
    </row>
    <row r="71" spans="1:15">
      <c r="A71" s="115"/>
    </row>
    <row r="95" spans="7:17">
      <c r="G95" s="122"/>
      <c r="I95" s="122"/>
      <c r="K95" s="122"/>
      <c r="M95" s="122"/>
      <c r="O95" s="122"/>
      <c r="Q95" s="122"/>
    </row>
    <row r="96" spans="7:17">
      <c r="G96" s="122"/>
      <c r="I96" s="122"/>
      <c r="K96" s="122"/>
      <c r="M96" s="122"/>
      <c r="O96" s="122"/>
      <c r="Q96" s="122"/>
    </row>
    <row r="97" spans="7:17">
      <c r="G97" s="122"/>
      <c r="I97" s="122"/>
      <c r="K97" s="122"/>
      <c r="M97" s="122"/>
      <c r="O97" s="122"/>
      <c r="Q97" s="122"/>
    </row>
    <row r="98" spans="7:17">
      <c r="G98" s="122"/>
      <c r="I98" s="122"/>
      <c r="K98" s="122"/>
      <c r="M98" s="122"/>
      <c r="O98" s="122"/>
      <c r="Q98" s="122"/>
    </row>
    <row r="99" spans="7:17">
      <c r="G99" s="122"/>
      <c r="I99" s="122"/>
      <c r="K99" s="122"/>
      <c r="M99" s="122"/>
      <c r="O99" s="122"/>
      <c r="Q99" s="122"/>
    </row>
  </sheetData>
  <phoneticPr fontId="21" type="noConversion"/>
  <pageMargins left="0.5" right="0.5" top="0.75" bottom="0.5" header="0.5" footer="0.5"/>
  <pageSetup scale="58" orientation="landscape" verticalDpi="300" r:id="rId1"/>
  <headerFooter alignWithMargins="0">
    <oddFooter>&amp;RSchedule &amp;A
Page &amp;P of &amp;N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49">
    <pageSetUpPr fitToPage="1"/>
  </sheetPr>
  <dimension ref="A1:Q66"/>
  <sheetViews>
    <sheetView view="pageBreakPreview" topLeftCell="A7" zoomScale="80" zoomScaleNormal="100" zoomScaleSheetLayoutView="80" workbookViewId="0">
      <selection sqref="A1:C1"/>
    </sheetView>
  </sheetViews>
  <sheetFormatPr defaultColWidth="8.44140625" defaultRowHeight="15"/>
  <cols>
    <col min="1" max="1" width="7.5546875" style="1" customWidth="1"/>
    <col min="2" max="2" width="3.33203125" style="1" customWidth="1"/>
    <col min="3" max="3" width="47.44140625" style="1" customWidth="1"/>
    <col min="4" max="4" width="3" style="1" customWidth="1"/>
    <col min="5" max="5" width="9.77734375" style="1" customWidth="1"/>
    <col min="6" max="7" width="9.88671875" style="1" customWidth="1"/>
    <col min="8" max="8" width="14.88671875" style="1" bestFit="1" customWidth="1"/>
    <col min="9" max="9" width="6" style="1" bestFit="1" customWidth="1"/>
    <col min="10" max="10" width="11.88671875" style="1" customWidth="1"/>
    <col min="11" max="11" width="3.77734375" style="1" customWidth="1"/>
    <col min="12" max="12" width="15.77734375" style="1" customWidth="1"/>
    <col min="13" max="14" width="9.33203125" style="1" customWidth="1"/>
    <col min="15" max="15" width="8.6640625" style="1" customWidth="1"/>
    <col min="16" max="16" width="8" style="1" customWidth="1"/>
    <col min="17" max="17" width="10.77734375" style="1" customWidth="1"/>
    <col min="18" max="18" width="10.21875" style="1" customWidth="1"/>
    <col min="19" max="16384" width="8.44140625" style="1"/>
  </cols>
  <sheetData>
    <row r="1" spans="1:16">
      <c r="A1" s="152" t="str">
        <f>'Table of Contents'!A1:C1</f>
        <v>Atmos Energy Corporation, Kentucky/Mid-States Division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/>
      <c r="P1"/>
    </row>
    <row r="2" spans="1:16">
      <c r="A2" s="152" t="str">
        <f>'Table of Contents'!A2:C2</f>
        <v>Kentucky Jurisdiction Case No. 2021-00214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/>
      <c r="P2"/>
    </row>
    <row r="3" spans="1:16">
      <c r="A3" s="81" t="s">
        <v>489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/>
      <c r="P3"/>
    </row>
    <row r="4" spans="1:16">
      <c r="A4" s="81" t="str">
        <f>'Table of Contents'!A3:C3</f>
        <v>Base Period: Twelve Months Ended September 30, 2021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/>
      <c r="P4"/>
    </row>
    <row r="5" spans="1:16">
      <c r="A5" s="81" t="str">
        <f>'Table of Contents'!A4:C4</f>
        <v>Forecasted Test Period: Twelve Months Ended December 31, 2022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/>
      <c r="P5"/>
    </row>
    <row r="6" spans="1:16">
      <c r="A6" s="153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/>
      <c r="P6"/>
    </row>
    <row r="7" spans="1:16">
      <c r="A7" s="82" t="s">
        <v>197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322" t="s">
        <v>1354</v>
      </c>
      <c r="M7" s="84"/>
      <c r="N7" s="84"/>
      <c r="O7"/>
      <c r="P7"/>
    </row>
    <row r="8" spans="1:16">
      <c r="A8" s="82" t="s">
        <v>1103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458" t="s">
        <v>620</v>
      </c>
      <c r="M8" s="84"/>
      <c r="N8" s="84"/>
      <c r="O8"/>
      <c r="P8"/>
    </row>
    <row r="9" spans="1:16">
      <c r="A9" s="83" t="s">
        <v>363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1165" t="str">
        <f>F.1!$I$9</f>
        <v>Witness: Christian</v>
      </c>
      <c r="M9" s="85"/>
      <c r="N9" s="643"/>
      <c r="O9"/>
      <c r="P9"/>
    </row>
    <row r="10" spans="1:16" ht="15.75">
      <c r="A10" s="84"/>
      <c r="B10" s="84"/>
      <c r="C10" s="106"/>
      <c r="D10" s="84"/>
      <c r="E10" s="84"/>
      <c r="F10" s="84"/>
      <c r="G10" s="84"/>
      <c r="H10" s="84"/>
      <c r="I10" s="84"/>
      <c r="J10" s="84"/>
      <c r="K10" s="84"/>
      <c r="L10" s="84"/>
      <c r="M10" s="85"/>
      <c r="N10" s="85"/>
      <c r="O10"/>
      <c r="P10"/>
    </row>
    <row r="11" spans="1:16">
      <c r="A11" s="84"/>
      <c r="B11" s="84"/>
      <c r="C11" s="84"/>
      <c r="D11" s="84"/>
      <c r="E11" s="84"/>
      <c r="F11" s="84"/>
      <c r="G11" s="84"/>
      <c r="H11" s="341" t="s">
        <v>322</v>
      </c>
      <c r="I11" s="85"/>
      <c r="J11" s="85"/>
      <c r="K11" s="85"/>
      <c r="L11" s="341" t="s">
        <v>323</v>
      </c>
      <c r="M11" s="85"/>
      <c r="N11" s="85"/>
      <c r="O11"/>
      <c r="P11"/>
    </row>
    <row r="12" spans="1:16">
      <c r="A12" s="92" t="s">
        <v>92</v>
      </c>
      <c r="B12" s="84"/>
      <c r="C12" s="84"/>
      <c r="D12" s="524"/>
      <c r="E12" s="524" t="s">
        <v>1219</v>
      </c>
      <c r="F12" s="524"/>
      <c r="G12" s="524"/>
      <c r="H12" s="341" t="s">
        <v>101</v>
      </c>
      <c r="I12" s="85"/>
      <c r="J12" s="85"/>
      <c r="K12" s="85"/>
      <c r="L12" s="341" t="s">
        <v>101</v>
      </c>
      <c r="M12" s="84"/>
      <c r="N12" s="84"/>
      <c r="O12"/>
      <c r="P12"/>
    </row>
    <row r="13" spans="1:16">
      <c r="A13" s="93" t="s">
        <v>98</v>
      </c>
      <c r="B13" s="84"/>
      <c r="C13" s="93" t="s">
        <v>972</v>
      </c>
      <c r="D13" s="341"/>
      <c r="E13" s="344" t="s">
        <v>1217</v>
      </c>
      <c r="F13" s="341"/>
      <c r="G13" s="341"/>
      <c r="H13" s="93" t="s">
        <v>458</v>
      </c>
      <c r="I13" s="84"/>
      <c r="J13" s="93" t="s">
        <v>974</v>
      </c>
      <c r="K13" s="84"/>
      <c r="L13" s="93" t="s">
        <v>458</v>
      </c>
      <c r="M13" s="84"/>
      <c r="N13" s="84"/>
      <c r="O13"/>
      <c r="P13"/>
    </row>
    <row r="14" spans="1:16">
      <c r="A14" s="84"/>
      <c r="B14" s="84"/>
      <c r="C14" s="84"/>
      <c r="D14" s="84"/>
      <c r="E14" s="84"/>
      <c r="F14" s="84"/>
      <c r="G14" s="84"/>
      <c r="H14" s="92"/>
      <c r="I14" s="84"/>
      <c r="J14" s="92"/>
      <c r="K14" s="82"/>
      <c r="L14" s="92"/>
      <c r="M14" s="84"/>
      <c r="N14" s="84"/>
      <c r="O14"/>
      <c r="P14"/>
    </row>
    <row r="15" spans="1:16">
      <c r="A15" s="92" t="s">
        <v>364</v>
      </c>
      <c r="B15" s="84"/>
      <c r="C15" s="16" t="s">
        <v>1514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/>
      <c r="P15"/>
    </row>
    <row r="16" spans="1:16">
      <c r="A16" s="92">
        <f>A15+1</f>
        <v>2</v>
      </c>
      <c r="B16" s="84"/>
      <c r="C16" s="84"/>
      <c r="D16" s="84"/>
      <c r="E16" s="84"/>
      <c r="F16" s="84"/>
      <c r="G16" s="84"/>
      <c r="H16" s="95"/>
      <c r="I16" s="84"/>
      <c r="J16" s="84"/>
      <c r="K16" s="84"/>
      <c r="L16" s="95"/>
      <c r="M16" s="84"/>
      <c r="N16" s="84"/>
      <c r="O16"/>
      <c r="P16"/>
    </row>
    <row r="17" spans="1:17">
      <c r="A17" s="92">
        <f t="shared" ref="A17:A32" si="0">A16+1</f>
        <v>3</v>
      </c>
      <c r="B17" s="84"/>
      <c r="C17" s="16" t="s">
        <v>414</v>
      </c>
      <c r="D17" s="84"/>
      <c r="E17" s="84"/>
      <c r="F17" s="84"/>
      <c r="G17" s="84"/>
      <c r="H17" s="362"/>
      <c r="I17" s="84"/>
      <c r="J17" s="84"/>
      <c r="K17" s="84"/>
      <c r="L17" s="95"/>
      <c r="M17" s="84"/>
      <c r="N17" s="84"/>
      <c r="O17"/>
      <c r="P17"/>
    </row>
    <row r="18" spans="1:17">
      <c r="A18" s="92">
        <f t="shared" si="0"/>
        <v>4</v>
      </c>
      <c r="B18" s="84"/>
      <c r="C18" s="82" t="s">
        <v>1081</v>
      </c>
      <c r="D18" s="84"/>
      <c r="E18" s="84"/>
      <c r="F18" s="84"/>
      <c r="G18" s="84"/>
      <c r="H18" s="275">
        <f>[34]G.3!$G$20</f>
        <v>3266810.7099999995</v>
      </c>
      <c r="I18" s="95"/>
      <c r="J18" s="275">
        <f>L18-H18</f>
        <v>130672.42840000009</v>
      </c>
      <c r="K18" s="95"/>
      <c r="L18" s="275">
        <f>H18*1.04</f>
        <v>3397483.1383999996</v>
      </c>
      <c r="M18" s="49"/>
      <c r="N18" s="49"/>
      <c r="O18"/>
      <c r="P18" s="477"/>
      <c r="Q18" s="477"/>
    </row>
    <row r="19" spans="1:17">
      <c r="A19" s="92">
        <f t="shared" si="0"/>
        <v>5</v>
      </c>
      <c r="B19" s="84"/>
      <c r="C19" s="82" t="s">
        <v>1082</v>
      </c>
      <c r="D19" s="84"/>
      <c r="E19" s="84"/>
      <c r="F19" s="84"/>
      <c r="G19" s="84"/>
      <c r="H19" s="100">
        <f>[34]G.3!$G$21</f>
        <v>9307884.7601225805</v>
      </c>
      <c r="I19" s="95"/>
      <c r="J19" s="101">
        <f>L19-H19</f>
        <v>372315.39040490426</v>
      </c>
      <c r="K19" s="95"/>
      <c r="L19" s="275">
        <f>H19*1.04</f>
        <v>9680200.1505274847</v>
      </c>
      <c r="M19" s="82"/>
      <c r="N19" s="82"/>
      <c r="O19"/>
      <c r="P19" s="521"/>
      <c r="Q19" s="521"/>
    </row>
    <row r="20" spans="1:17">
      <c r="A20" s="92">
        <f t="shared" si="0"/>
        <v>6</v>
      </c>
      <c r="B20" s="84"/>
      <c r="C20" s="82" t="s">
        <v>1083</v>
      </c>
      <c r="D20" s="84"/>
      <c r="E20" s="84"/>
      <c r="F20" s="84"/>
      <c r="G20" s="84"/>
      <c r="H20" s="1124">
        <f>SUM(H18:H19)</f>
        <v>12574695.470122579</v>
      </c>
      <c r="I20" s="95"/>
      <c r="J20" s="275">
        <f>SUM(J18:J19)</f>
        <v>502987.81880490435</v>
      </c>
      <c r="K20" s="95"/>
      <c r="L20" s="1124">
        <f>SUM(L18:L19)</f>
        <v>13077683.288927484</v>
      </c>
      <c r="M20" s="84"/>
      <c r="O20"/>
      <c r="P20" s="521"/>
      <c r="Q20" s="521"/>
    </row>
    <row r="21" spans="1:17">
      <c r="A21" s="92">
        <f t="shared" si="0"/>
        <v>7</v>
      </c>
      <c r="B21" s="84"/>
      <c r="C21" s="84"/>
      <c r="D21" s="84"/>
      <c r="E21" s="84"/>
      <c r="F21" s="84"/>
      <c r="G21" s="84"/>
      <c r="H21" s="100"/>
      <c r="I21" s="95"/>
      <c r="J21" s="100"/>
      <c r="K21" s="95"/>
      <c r="L21" s="100"/>
      <c r="M21" s="84"/>
      <c r="O21"/>
      <c r="P21" s="521"/>
      <c r="Q21" s="521"/>
    </row>
    <row r="22" spans="1:17">
      <c r="A22" s="92">
        <f t="shared" si="0"/>
        <v>8</v>
      </c>
      <c r="B22" s="84"/>
      <c r="C22" s="16" t="s">
        <v>612</v>
      </c>
      <c r="D22" s="477"/>
      <c r="E22" s="84" t="str">
        <f>[34]G.3!$D$24</f>
        <v>FY19</v>
      </c>
      <c r="F22" s="84" t="str">
        <f>[34]G.3!$E$24</f>
        <v>FY20</v>
      </c>
      <c r="G22" s="84" t="s">
        <v>1656</v>
      </c>
      <c r="H22" s="95"/>
      <c r="I22" s="95"/>
      <c r="J22" s="95"/>
      <c r="K22" s="95"/>
      <c r="L22" s="95"/>
      <c r="M22" s="84"/>
    </row>
    <row r="23" spans="1:17">
      <c r="A23" s="92">
        <f t="shared" si="0"/>
        <v>9</v>
      </c>
      <c r="B23" s="84"/>
      <c r="C23" s="82" t="s">
        <v>1084</v>
      </c>
      <c r="D23" s="521"/>
      <c r="E23" s="41">
        <f>[34]G.3!$D$25</f>
        <v>3.1100000000000003E-2</v>
      </c>
      <c r="F23" s="41">
        <f>[34]G.3!$E$25</f>
        <v>3.78E-2</v>
      </c>
      <c r="G23" s="41">
        <f>[34]G.3!$F$25</f>
        <v>3.4450000000000001E-2</v>
      </c>
      <c r="H23" s="275">
        <f>H$18*G23</f>
        <v>112541.62895949998</v>
      </c>
      <c r="I23" s="95"/>
      <c r="J23" s="275">
        <f>L23-H23</f>
        <v>4501.6651583800121</v>
      </c>
      <c r="K23" s="95"/>
      <c r="L23" s="275">
        <f>L$18*G23</f>
        <v>117043.29411788</v>
      </c>
      <c r="M23" s="84"/>
      <c r="P23" s="521"/>
      <c r="Q23" s="521"/>
    </row>
    <row r="24" spans="1:17">
      <c r="A24" s="92">
        <f t="shared" si="0"/>
        <v>10</v>
      </c>
      <c r="B24" s="84"/>
      <c r="C24" s="82" t="s">
        <v>1511</v>
      </c>
      <c r="D24" s="521"/>
      <c r="E24" s="49"/>
      <c r="F24" s="49"/>
      <c r="G24" s="49"/>
      <c r="H24" s="275">
        <f>[34]G.3!$G$26</f>
        <v>3063427</v>
      </c>
      <c r="I24" s="95"/>
      <c r="J24" s="553">
        <f>L24-H24</f>
        <v>122537.08000000007</v>
      </c>
      <c r="K24" s="95"/>
      <c r="L24" s="307">
        <f>H24*1.04</f>
        <v>3185964.08</v>
      </c>
      <c r="M24" s="84"/>
      <c r="P24" s="521"/>
      <c r="Q24" s="521"/>
    </row>
    <row r="25" spans="1:17">
      <c r="A25" s="92">
        <f t="shared" si="0"/>
        <v>11</v>
      </c>
      <c r="B25" s="84"/>
      <c r="C25" s="82" t="s">
        <v>1085</v>
      </c>
      <c r="D25" s="521"/>
      <c r="E25" s="41">
        <f>[34]G.3!$D$27</f>
        <v>0.29730000000000001</v>
      </c>
      <c r="F25" s="41">
        <f>[34]G.3!$E$27</f>
        <v>0.30759999999999998</v>
      </c>
      <c r="G25" s="41">
        <f>[34]G.3!$F$27</f>
        <v>0.30245000000000005</v>
      </c>
      <c r="H25" s="101">
        <f>H$18*G25</f>
        <v>988046.89923950005</v>
      </c>
      <c r="I25" s="95"/>
      <c r="J25" s="101">
        <f>L25-H25</f>
        <v>39521.875969580025</v>
      </c>
      <c r="K25" s="95"/>
      <c r="L25" s="101">
        <f>L$18*G25</f>
        <v>1027568.7752090801</v>
      </c>
      <c r="M25" s="84"/>
      <c r="P25" s="521"/>
    </row>
    <row r="26" spans="1:17">
      <c r="A26" s="92">
        <f t="shared" si="0"/>
        <v>12</v>
      </c>
      <c r="B26" s="84"/>
      <c r="C26" s="82" t="s">
        <v>1086</v>
      </c>
      <c r="D26" s="84"/>
      <c r="E26" s="84"/>
      <c r="F26" s="84"/>
      <c r="G26" s="84"/>
      <c r="H26" s="275">
        <f>SUM(H23:H25)</f>
        <v>4164015.5281989998</v>
      </c>
      <c r="I26" s="95"/>
      <c r="J26" s="275">
        <f>SUM(J23:J25)</f>
        <v>166560.6211279601</v>
      </c>
      <c r="K26" s="95"/>
      <c r="L26" s="275">
        <f>SUM(L23:L25)</f>
        <v>4330576.1493269606</v>
      </c>
      <c r="M26" s="84"/>
      <c r="O26"/>
      <c r="P26"/>
    </row>
    <row r="27" spans="1:17">
      <c r="A27" s="92">
        <f t="shared" si="0"/>
        <v>13</v>
      </c>
      <c r="B27" s="84"/>
      <c r="C27" s="84"/>
      <c r="D27" s="84"/>
      <c r="E27" s="84"/>
      <c r="F27" s="84"/>
      <c r="G27" s="84"/>
      <c r="H27" s="95"/>
      <c r="I27" s="95"/>
      <c r="J27" s="95"/>
      <c r="K27" s="95"/>
      <c r="L27" s="95"/>
      <c r="M27" s="84"/>
      <c r="O27"/>
      <c r="P27"/>
    </row>
    <row r="28" spans="1:17">
      <c r="A28" s="92">
        <f t="shared" si="0"/>
        <v>14</v>
      </c>
      <c r="B28" s="84"/>
      <c r="C28" s="16" t="s">
        <v>791</v>
      </c>
      <c r="D28" s="84"/>
      <c r="E28" s="84"/>
      <c r="F28" s="84"/>
      <c r="G28" s="84"/>
      <c r="H28" s="100"/>
      <c r="I28" s="358"/>
      <c r="J28" s="100"/>
      <c r="K28" s="95"/>
      <c r="L28" s="100" t="s">
        <v>321</v>
      </c>
      <c r="M28" s="84"/>
      <c r="N28" s="521"/>
      <c r="O28"/>
      <c r="P28"/>
    </row>
    <row r="29" spans="1:17">
      <c r="A29" s="92">
        <f t="shared" si="0"/>
        <v>15</v>
      </c>
      <c r="B29" s="84"/>
      <c r="C29" s="82" t="s">
        <v>1512</v>
      </c>
      <c r="D29" s="84"/>
      <c r="E29" s="84"/>
      <c r="F29" s="84"/>
      <c r="G29" s="84"/>
      <c r="H29" s="275">
        <f>[34]G.3!$G$31</f>
        <v>538017.9600000002</v>
      </c>
      <c r="I29" s="358"/>
      <c r="J29" s="275">
        <f>L29-H29</f>
        <v>21520.718400000012</v>
      </c>
      <c r="K29" s="95"/>
      <c r="L29" s="275">
        <f>[34]G.3!$K$31</f>
        <v>559538.67840000021</v>
      </c>
      <c r="M29" s="84"/>
      <c r="N29" s="521"/>
      <c r="O29"/>
      <c r="P29"/>
    </row>
    <row r="30" spans="1:17">
      <c r="A30" s="92">
        <f t="shared" si="0"/>
        <v>16</v>
      </c>
      <c r="B30" s="84"/>
      <c r="C30" s="82" t="s">
        <v>677</v>
      </c>
      <c r="D30" s="84"/>
      <c r="E30" s="84"/>
      <c r="F30" s="84"/>
      <c r="G30" s="84"/>
      <c r="H30" s="1124">
        <f>SUM(H29:H29)</f>
        <v>538017.9600000002</v>
      </c>
      <c r="I30" s="84"/>
      <c r="J30" s="275">
        <f>SUM(J29:J29)</f>
        <v>21520.718400000012</v>
      </c>
      <c r="K30" s="84"/>
      <c r="L30" s="1124">
        <f>SUM(L29:L29)</f>
        <v>559538.67840000021</v>
      </c>
      <c r="M30" s="84"/>
      <c r="N30" s="84"/>
      <c r="O30"/>
      <c r="P30"/>
    </row>
    <row r="31" spans="1:17">
      <c r="A31" s="92">
        <f t="shared" si="0"/>
        <v>17</v>
      </c>
      <c r="B31" s="84"/>
      <c r="C31" s="84"/>
      <c r="D31" s="84"/>
      <c r="E31" s="84"/>
      <c r="F31" s="84"/>
      <c r="G31" s="84"/>
      <c r="H31" s="100"/>
      <c r="I31" s="84"/>
      <c r="J31" s="100"/>
      <c r="K31" s="84"/>
      <c r="L31" s="100" t="s">
        <v>321</v>
      </c>
      <c r="M31" s="84"/>
      <c r="N31" s="84"/>
      <c r="O31"/>
      <c r="P31"/>
    </row>
    <row r="32" spans="1:17" ht="15.75" thickBot="1">
      <c r="A32" s="92">
        <f t="shared" si="0"/>
        <v>18</v>
      </c>
      <c r="B32" s="84"/>
      <c r="C32" s="82" t="s">
        <v>678</v>
      </c>
      <c r="D32" s="84"/>
      <c r="E32" s="84"/>
      <c r="F32" s="84"/>
      <c r="G32" s="84"/>
      <c r="H32" s="1125">
        <f>(+H20+H26+H30)</f>
        <v>17276728.958321579</v>
      </c>
      <c r="I32" s="84"/>
      <c r="J32" s="1125">
        <f>(+J20+J26+J30)</f>
        <v>691069.1583328644</v>
      </c>
      <c r="K32" s="84"/>
      <c r="L32" s="1125">
        <f>(+L20+L26+L30)</f>
        <v>17967798.116654444</v>
      </c>
      <c r="M32" s="84"/>
      <c r="N32" s="84"/>
      <c r="O32"/>
      <c r="P32"/>
    </row>
    <row r="33" spans="1:16" ht="15.75" thickTop="1">
      <c r="A33" s="84"/>
      <c r="B33" s="84"/>
      <c r="C33" s="84"/>
      <c r="D33" s="84"/>
      <c r="E33" s="84"/>
      <c r="F33" s="84"/>
      <c r="G33" s="84"/>
      <c r="H33" s="98"/>
      <c r="I33" s="84"/>
      <c r="J33" s="98"/>
      <c r="K33" s="84"/>
      <c r="L33" s="124" t="s">
        <v>321</v>
      </c>
      <c r="M33" s="84"/>
      <c r="N33" s="84"/>
      <c r="O33"/>
      <c r="P33"/>
    </row>
    <row r="34" spans="1:16" ht="15.75">
      <c r="A34" s="94" t="s">
        <v>826</v>
      </c>
      <c r="B34" s="82"/>
      <c r="C34" s="84"/>
      <c r="D34" s="84"/>
      <c r="E34" s="84"/>
      <c r="F34" s="84"/>
      <c r="G34" s="84"/>
      <c r="H34" s="98"/>
      <c r="I34" s="84"/>
      <c r="J34" s="98"/>
      <c r="K34" s="84"/>
      <c r="L34" s="98"/>
      <c r="M34" s="84"/>
      <c r="N34" s="84"/>
      <c r="O34"/>
      <c r="P34"/>
    </row>
    <row r="35" spans="1:16">
      <c r="B35" s="82"/>
      <c r="C35" s="84"/>
      <c r="D35" s="84"/>
      <c r="E35" s="84"/>
      <c r="F35" s="84"/>
      <c r="G35" s="84"/>
      <c r="H35" s="98"/>
      <c r="I35" s="84"/>
      <c r="J35" s="98"/>
      <c r="K35" s="84"/>
      <c r="L35" s="98"/>
      <c r="M35" s="84"/>
      <c r="N35" s="84"/>
      <c r="O35"/>
      <c r="P35"/>
    </row>
    <row r="36" spans="1:16">
      <c r="A36" s="526" t="s">
        <v>389</v>
      </c>
      <c r="C36" s="82"/>
      <c r="D36" s="84"/>
      <c r="E36" s="477"/>
      <c r="F36" s="84"/>
      <c r="G36" s="84"/>
      <c r="H36" s="100"/>
      <c r="I36" s="84"/>
      <c r="J36" s="100"/>
      <c r="K36" s="84"/>
      <c r="L36" s="100"/>
      <c r="M36" s="84"/>
      <c r="N36" s="84"/>
      <c r="O36"/>
      <c r="P36"/>
    </row>
    <row r="37" spans="1:16">
      <c r="A37" s="84" t="s">
        <v>1686</v>
      </c>
      <c r="C37" s="84"/>
      <c r="D37" s="84"/>
      <c r="E37" s="84"/>
      <c r="F37" s="84"/>
      <c r="G37" s="84"/>
      <c r="H37" s="98"/>
      <c r="I37" s="84"/>
      <c r="J37" s="98"/>
      <c r="K37" s="84"/>
      <c r="L37" s="98"/>
      <c r="M37" s="84"/>
      <c r="N37" s="84"/>
      <c r="O37"/>
      <c r="P37"/>
    </row>
    <row r="38" spans="1:16">
      <c r="A38" s="84" t="s">
        <v>1515</v>
      </c>
      <c r="C38" s="84"/>
      <c r="D38" s="84"/>
      <c r="E38" s="84"/>
      <c r="F38" s="84"/>
      <c r="G38" s="84"/>
      <c r="H38" s="98"/>
      <c r="I38" s="84"/>
      <c r="J38" s="98"/>
      <c r="K38" s="84"/>
      <c r="L38" s="98"/>
      <c r="M38" s="84"/>
      <c r="N38" s="84"/>
      <c r="O38"/>
      <c r="P38"/>
    </row>
    <row r="39" spans="1:16">
      <c r="A39" s="84" t="s">
        <v>1687</v>
      </c>
      <c r="C39" s="84"/>
      <c r="D39" s="84"/>
      <c r="E39" s="84"/>
      <c r="F39" s="84"/>
      <c r="G39" s="84"/>
      <c r="H39" s="84"/>
      <c r="I39" s="49"/>
      <c r="J39" s="84"/>
      <c r="K39" s="84"/>
      <c r="L39" s="84"/>
      <c r="M39" s="84"/>
      <c r="N39" s="84"/>
      <c r="O39"/>
      <c r="P39"/>
    </row>
    <row r="40" spans="1:16">
      <c r="A40" s="84" t="s">
        <v>1688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/>
      <c r="P40"/>
    </row>
    <row r="41" spans="1:16">
      <c r="A41" s="84" t="s">
        <v>1516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/>
      <c r="P41"/>
    </row>
    <row r="42" spans="1:16">
      <c r="A42" s="84" t="s">
        <v>1689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/>
      <c r="P42"/>
    </row>
    <row r="43" spans="1:16"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/>
      <c r="P43"/>
    </row>
    <row r="44" spans="1:16">
      <c r="A44" s="1" t="s">
        <v>390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639"/>
      <c r="P44" s="639"/>
    </row>
    <row r="45" spans="1:16">
      <c r="A45" s="207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/>
      <c r="P45"/>
    </row>
    <row r="46" spans="1:16">
      <c r="A46" s="84"/>
      <c r="B46"/>
      <c r="C46"/>
      <c r="D46"/>
      <c r="E46"/>
      <c r="F46"/>
      <c r="G46" s="639"/>
      <c r="H46"/>
      <c r="I46"/>
      <c r="J46"/>
      <c r="K46"/>
      <c r="L46"/>
      <c r="M46"/>
      <c r="N46"/>
      <c r="O46"/>
      <c r="P46"/>
    </row>
    <row r="47" spans="1:16">
      <c r="B47"/>
      <c r="C47"/>
      <c r="D47"/>
      <c r="E47"/>
      <c r="F47"/>
      <c r="G47" s="639"/>
      <c r="H47"/>
      <c r="I47"/>
      <c r="J47"/>
      <c r="K47"/>
      <c r="L47"/>
      <c r="M47"/>
      <c r="N47"/>
      <c r="O47"/>
      <c r="P47"/>
    </row>
    <row r="48" spans="1:16">
      <c r="A48" t="s">
        <v>1216</v>
      </c>
      <c r="B48"/>
      <c r="D48"/>
      <c r="E48"/>
      <c r="F48"/>
      <c r="G48" s="639"/>
      <c r="H48"/>
      <c r="I48"/>
      <c r="J48"/>
      <c r="K48"/>
      <c r="L48"/>
      <c r="M48"/>
      <c r="N48"/>
      <c r="O48"/>
      <c r="P48"/>
    </row>
    <row r="49" spans="1:16">
      <c r="A49" s="567" t="s">
        <v>1685</v>
      </c>
      <c r="B49" s="72"/>
      <c r="C49" s="73"/>
      <c r="D49" s="72"/>
      <c r="E49" s="72"/>
      <c r="F49" s="72"/>
      <c r="G49" s="72"/>
      <c r="H49" s="72"/>
      <c r="I49"/>
      <c r="J49"/>
      <c r="K49"/>
      <c r="L49" s="477"/>
      <c r="M49"/>
      <c r="N49"/>
      <c r="O49"/>
      <c r="P49"/>
    </row>
    <row r="50" spans="1:16">
      <c r="A50" s="664" t="s">
        <v>1597</v>
      </c>
      <c r="B50" s="56"/>
      <c r="C50" s="520"/>
      <c r="D50"/>
      <c r="E50"/>
      <c r="F50"/>
      <c r="G50" s="639"/>
      <c r="H50"/>
      <c r="I50"/>
      <c r="J50"/>
      <c r="K50"/>
      <c r="L50"/>
      <c r="M50"/>
      <c r="N50"/>
      <c r="O50"/>
      <c r="P50"/>
    </row>
    <row r="51" spans="1:16">
      <c r="A51"/>
      <c r="B51"/>
      <c r="C51"/>
      <c r="D51"/>
      <c r="E51"/>
      <c r="F51"/>
      <c r="G51" s="639"/>
      <c r="H51"/>
      <c r="I51"/>
      <c r="J51"/>
      <c r="K51"/>
      <c r="L51"/>
      <c r="M51"/>
      <c r="N51"/>
      <c r="O51"/>
      <c r="P51"/>
    </row>
    <row r="52" spans="1:16">
      <c r="A52"/>
      <c r="B52"/>
      <c r="C52"/>
      <c r="D52"/>
      <c r="E52"/>
      <c r="F52"/>
      <c r="G52" s="639"/>
      <c r="H52"/>
      <c r="I52"/>
      <c r="J52"/>
      <c r="K52"/>
      <c r="L52"/>
      <c r="M52"/>
      <c r="N52"/>
      <c r="O52"/>
      <c r="P52"/>
    </row>
    <row r="53" spans="1:16">
      <c r="A53"/>
      <c r="B53"/>
      <c r="C53"/>
      <c r="D53"/>
      <c r="E53"/>
      <c r="F53"/>
      <c r="G53" s="639"/>
      <c r="H53"/>
      <c r="I53"/>
      <c r="J53"/>
      <c r="K53"/>
      <c r="L53"/>
      <c r="M53"/>
      <c r="N53"/>
      <c r="O53"/>
      <c r="P53"/>
    </row>
    <row r="54" spans="1:16">
      <c r="A54"/>
      <c r="B54"/>
      <c r="C54"/>
      <c r="D54"/>
      <c r="E54"/>
      <c r="F54"/>
      <c r="G54" s="639"/>
      <c r="H54"/>
      <c r="I54"/>
      <c r="J54"/>
      <c r="K54"/>
      <c r="L54"/>
      <c r="M54"/>
      <c r="N54"/>
      <c r="O54"/>
      <c r="P54"/>
    </row>
    <row r="55" spans="1:16">
      <c r="A55"/>
      <c r="B55"/>
      <c r="C55"/>
      <c r="D55"/>
      <c r="E55"/>
      <c r="F55"/>
      <c r="G55" s="639"/>
      <c r="H55"/>
      <c r="I55"/>
      <c r="J55"/>
      <c r="K55"/>
      <c r="L55"/>
      <c r="M55"/>
      <c r="N55"/>
      <c r="O55"/>
      <c r="P55"/>
    </row>
    <row r="56" spans="1:16">
      <c r="A56"/>
      <c r="B56"/>
      <c r="C56"/>
      <c r="D56"/>
      <c r="E56"/>
      <c r="F56"/>
      <c r="G56" s="639"/>
      <c r="H56"/>
      <c r="I56"/>
      <c r="J56"/>
      <c r="K56"/>
      <c r="L56"/>
      <c r="M56"/>
      <c r="N56"/>
      <c r="O56"/>
      <c r="P56"/>
    </row>
    <row r="57" spans="1:16">
      <c r="A57"/>
      <c r="B57"/>
      <c r="C57"/>
      <c r="D57"/>
      <c r="E57"/>
      <c r="F57"/>
      <c r="G57" s="639"/>
      <c r="H57"/>
      <c r="I57"/>
      <c r="J57"/>
      <c r="K57"/>
      <c r="L57"/>
      <c r="M57"/>
      <c r="N57"/>
      <c r="O57"/>
      <c r="P57"/>
    </row>
    <row r="58" spans="1:16">
      <c r="A58"/>
      <c r="B58"/>
      <c r="C58"/>
      <c r="D58"/>
      <c r="E58"/>
      <c r="F58"/>
      <c r="G58" s="639"/>
      <c r="H58"/>
      <c r="I58"/>
      <c r="J58"/>
      <c r="K58"/>
      <c r="L58"/>
      <c r="M58"/>
      <c r="N58"/>
      <c r="O58"/>
      <c r="P58"/>
    </row>
    <row r="59" spans="1:16">
      <c r="A59"/>
      <c r="B59"/>
      <c r="C59"/>
      <c r="D59"/>
      <c r="E59"/>
      <c r="F59"/>
      <c r="G59" s="639"/>
      <c r="H59"/>
      <c r="I59"/>
      <c r="J59"/>
      <c r="K59"/>
      <c r="L59"/>
      <c r="M59"/>
      <c r="N59"/>
      <c r="O59"/>
      <c r="P59"/>
    </row>
    <row r="60" spans="1:16">
      <c r="A60"/>
      <c r="B60"/>
      <c r="C60"/>
      <c r="D60"/>
      <c r="E60"/>
      <c r="F60"/>
      <c r="G60" s="639"/>
      <c r="H60"/>
      <c r="I60"/>
      <c r="J60"/>
      <c r="K60"/>
      <c r="L60"/>
      <c r="M60"/>
      <c r="N60"/>
      <c r="O60"/>
      <c r="P60"/>
    </row>
    <row r="61" spans="1:16">
      <c r="A61"/>
      <c r="B61"/>
      <c r="C61"/>
      <c r="D61"/>
      <c r="E61"/>
      <c r="F61"/>
      <c r="G61" s="639"/>
      <c r="H61"/>
      <c r="I61"/>
      <c r="J61"/>
      <c r="K61"/>
      <c r="L61"/>
      <c r="M61"/>
      <c r="N61"/>
      <c r="O61"/>
      <c r="P61"/>
    </row>
    <row r="62" spans="1:16">
      <c r="A62"/>
      <c r="B62"/>
      <c r="C62"/>
      <c r="D62"/>
      <c r="E62"/>
      <c r="F62"/>
      <c r="G62" s="639"/>
      <c r="H62"/>
      <c r="I62"/>
      <c r="J62"/>
      <c r="K62"/>
      <c r="L62"/>
      <c r="M62"/>
      <c r="N62"/>
      <c r="O62"/>
      <c r="P62"/>
    </row>
    <row r="63" spans="1:16">
      <c r="A63"/>
      <c r="B63"/>
      <c r="C63"/>
      <c r="D63"/>
      <c r="E63"/>
      <c r="F63"/>
      <c r="G63" s="639"/>
      <c r="H63"/>
      <c r="I63"/>
      <c r="J63"/>
      <c r="K63"/>
      <c r="L63"/>
      <c r="M63"/>
      <c r="N63"/>
      <c r="O63"/>
      <c r="P63"/>
    </row>
    <row r="64" spans="1:16">
      <c r="A64"/>
      <c r="B64"/>
      <c r="C64"/>
      <c r="D64"/>
      <c r="E64"/>
      <c r="F64"/>
      <c r="G64" s="639"/>
      <c r="H64"/>
      <c r="I64"/>
      <c r="J64"/>
      <c r="K64"/>
      <c r="L64"/>
      <c r="M64"/>
      <c r="N64"/>
      <c r="O64"/>
      <c r="P64"/>
    </row>
    <row r="65" spans="1:16">
      <c r="A65"/>
      <c r="B65"/>
      <c r="C65"/>
      <c r="D65"/>
      <c r="E65"/>
      <c r="F65"/>
      <c r="G65" s="639"/>
      <c r="H65"/>
      <c r="I65"/>
      <c r="J65"/>
      <c r="K65"/>
      <c r="L65"/>
      <c r="M65"/>
      <c r="N65"/>
      <c r="O65"/>
      <c r="P65"/>
    </row>
    <row r="66" spans="1:16">
      <c r="A66"/>
      <c r="B66"/>
      <c r="C66"/>
      <c r="D66"/>
      <c r="E66"/>
      <c r="F66"/>
      <c r="G66" s="639"/>
      <c r="H66"/>
      <c r="I66"/>
      <c r="J66"/>
      <c r="K66"/>
      <c r="L66"/>
      <c r="M66"/>
      <c r="N66"/>
      <c r="O66"/>
      <c r="P66"/>
    </row>
  </sheetData>
  <phoneticPr fontId="21" type="noConversion"/>
  <printOptions horizontalCentered="1"/>
  <pageMargins left="0.5" right="0.5" top="0.75" bottom="0.52" header="0.25" footer="0.25"/>
  <pageSetup scale="74" orientation="landscape" verticalDpi="300" r:id="rId1"/>
  <headerFooter alignWithMargins="0">
    <oddFooter>&amp;RSchedule &amp;A
Page &amp;P of &amp;N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50">
    <pageSetUpPr fitToPage="1"/>
  </sheetPr>
  <dimension ref="A1:G44"/>
  <sheetViews>
    <sheetView view="pageBreakPreview" zoomScale="80" zoomScaleNormal="100" zoomScaleSheetLayoutView="80" workbookViewId="0">
      <selection sqref="A1:E1"/>
    </sheetView>
  </sheetViews>
  <sheetFormatPr defaultColWidth="9.6640625" defaultRowHeight="15"/>
  <cols>
    <col min="1" max="1" width="9.6640625" style="1"/>
    <col min="2" max="2" width="34.77734375" style="1" customWidth="1"/>
    <col min="3" max="3" width="6.77734375" style="1" customWidth="1"/>
    <col min="4" max="4" width="15.88671875" style="1" customWidth="1"/>
    <col min="5" max="5" width="15.77734375" style="1" customWidth="1"/>
    <col min="6" max="16384" width="9.6640625" style="1"/>
  </cols>
  <sheetData>
    <row r="1" spans="1:7">
      <c r="A1" s="1270" t="str">
        <f>'Table of Contents'!A1:C1</f>
        <v>Atmos Energy Corporation, Kentucky/Mid-States Division</v>
      </c>
      <c r="B1" s="1270"/>
      <c r="C1" s="1270"/>
      <c r="D1" s="1270"/>
      <c r="E1" s="1270"/>
    </row>
    <row r="2" spans="1:7">
      <c r="A2" s="1270" t="str">
        <f>'Table of Contents'!A2:C2</f>
        <v>Kentucky Jurisdiction Case No. 2021-00214</v>
      </c>
      <c r="B2" s="1270"/>
      <c r="C2" s="1270"/>
      <c r="D2" s="1270"/>
      <c r="E2" s="1270"/>
    </row>
    <row r="3" spans="1:7">
      <c r="A3" s="1271" t="s">
        <v>606</v>
      </c>
      <c r="B3" s="1271"/>
      <c r="C3" s="1271"/>
      <c r="D3" s="1271"/>
      <c r="E3" s="1271"/>
    </row>
    <row r="4" spans="1:7">
      <c r="A4" s="1270" t="str">
        <f>'Table of Contents'!A3:C3</f>
        <v>Base Period: Twelve Months Ended September 30, 2021</v>
      </c>
      <c r="B4" s="1270"/>
      <c r="C4" s="1270"/>
      <c r="D4" s="1270"/>
      <c r="E4" s="1270"/>
    </row>
    <row r="5" spans="1:7">
      <c r="A5" s="1270" t="str">
        <f>'Table of Contents'!A4:C4</f>
        <v>Forecasted Test Period: Twelve Months Ended December 31, 2022</v>
      </c>
      <c r="B5" s="1270"/>
      <c r="C5" s="1270"/>
      <c r="D5" s="1270"/>
      <c r="E5" s="1270"/>
    </row>
    <row r="6" spans="1:7">
      <c r="A6" s="149"/>
      <c r="B6" s="149"/>
      <c r="C6" s="149"/>
      <c r="D6" s="149"/>
      <c r="E6" s="149"/>
      <c r="G6" s="640"/>
    </row>
    <row r="8" spans="1:7">
      <c r="A8" s="4" t="s">
        <v>197</v>
      </c>
      <c r="E8" s="322" t="s">
        <v>1355</v>
      </c>
    </row>
    <row r="9" spans="1:7">
      <c r="A9" s="60" t="s">
        <v>610</v>
      </c>
      <c r="E9" s="413" t="s">
        <v>35</v>
      </c>
    </row>
    <row r="10" spans="1:7">
      <c r="A10" s="5" t="s">
        <v>423</v>
      </c>
      <c r="B10" s="6"/>
      <c r="C10" s="6"/>
      <c r="D10" s="6"/>
      <c r="E10" s="453" t="s">
        <v>1683</v>
      </c>
    </row>
    <row r="12" spans="1:7" ht="15.75">
      <c r="D12" s="269" t="s">
        <v>1109</v>
      </c>
      <c r="E12" s="269" t="s">
        <v>127</v>
      </c>
    </row>
    <row r="13" spans="1:7">
      <c r="D13" s="2" t="s">
        <v>883</v>
      </c>
      <c r="E13" s="2" t="s">
        <v>883</v>
      </c>
    </row>
    <row r="14" spans="1:7">
      <c r="A14" s="2" t="s">
        <v>92</v>
      </c>
      <c r="D14" s="2" t="s">
        <v>884</v>
      </c>
      <c r="E14" s="2" t="s">
        <v>884</v>
      </c>
    </row>
    <row r="15" spans="1:7">
      <c r="A15" s="28" t="s">
        <v>98</v>
      </c>
      <c r="B15" s="349" t="s">
        <v>972</v>
      </c>
      <c r="C15" s="29"/>
      <c r="D15" s="28" t="s">
        <v>124</v>
      </c>
      <c r="E15" s="28" t="s">
        <v>124</v>
      </c>
    </row>
    <row r="17" spans="1:7">
      <c r="A17" s="2" t="s">
        <v>364</v>
      </c>
      <c r="B17" s="4" t="s">
        <v>732</v>
      </c>
      <c r="D17" s="21">
        <v>1</v>
      </c>
      <c r="E17" s="21">
        <v>1</v>
      </c>
    </row>
    <row r="19" spans="1:7">
      <c r="A19" s="2" t="s">
        <v>366</v>
      </c>
      <c r="B19" s="4" t="s">
        <v>885</v>
      </c>
      <c r="D19" s="465">
        <v>5.0000000000000001E-3</v>
      </c>
      <c r="E19" s="465">
        <v>5.0000000000000001E-3</v>
      </c>
    </row>
    <row r="21" spans="1:7">
      <c r="A21" s="2" t="s">
        <v>368</v>
      </c>
      <c r="B21" s="4" t="s">
        <v>886</v>
      </c>
      <c r="D21" s="1190">
        <f>[35]Sheet1!$D$23</f>
        <v>2E-3</v>
      </c>
      <c r="E21" s="1190">
        <f>[35]Sheet1!$D$23</f>
        <v>2E-3</v>
      </c>
      <c r="G21" s="640"/>
    </row>
    <row r="23" spans="1:7">
      <c r="A23" s="2" t="s">
        <v>369</v>
      </c>
      <c r="B23" s="4" t="s">
        <v>887</v>
      </c>
      <c r="D23" s="1191">
        <f>D17-D19-D21</f>
        <v>0.99299999999999999</v>
      </c>
      <c r="E23" s="1191">
        <f>E17-E19-E21</f>
        <v>0.99299999999999999</v>
      </c>
    </row>
    <row r="25" spans="1:7">
      <c r="A25" s="2" t="s">
        <v>370</v>
      </c>
      <c r="B25" s="4" t="s">
        <v>252</v>
      </c>
      <c r="C25" s="61">
        <v>0.05</v>
      </c>
      <c r="D25" s="1192">
        <f>ROUND(D23*C25,8)</f>
        <v>4.965E-2</v>
      </c>
      <c r="E25" s="1192">
        <f>ROUND(E23*C25,8)</f>
        <v>4.965E-2</v>
      </c>
    </row>
    <row r="27" spans="1:7">
      <c r="A27" s="2" t="s">
        <v>371</v>
      </c>
      <c r="B27" s="4" t="s">
        <v>888</v>
      </c>
      <c r="D27" s="1191">
        <f>(D23-D25)</f>
        <v>0.94335000000000002</v>
      </c>
      <c r="E27" s="1191">
        <f>(E23-E25)</f>
        <v>0.94335000000000002</v>
      </c>
    </row>
    <row r="29" spans="1:7">
      <c r="A29" s="2" t="s">
        <v>372</v>
      </c>
      <c r="B29" s="60" t="s">
        <v>168</v>
      </c>
      <c r="C29" s="62">
        <v>0.21</v>
      </c>
      <c r="D29" s="1193">
        <f>ROUND(D27*C29,6)</f>
        <v>0.198104</v>
      </c>
      <c r="E29" s="1193">
        <f>ROUND(E27*C29,6)</f>
        <v>0.198104</v>
      </c>
    </row>
    <row r="31" spans="1:7">
      <c r="A31" s="2" t="s">
        <v>374</v>
      </c>
      <c r="B31" s="4" t="s">
        <v>384</v>
      </c>
      <c r="D31" s="1191">
        <f>D27-D29</f>
        <v>0.74524600000000008</v>
      </c>
      <c r="E31" s="1191">
        <f>E27-E29</f>
        <v>0.74524600000000008</v>
      </c>
    </row>
    <row r="33" spans="1:5">
      <c r="A33" s="2" t="s">
        <v>375</v>
      </c>
      <c r="B33" s="4" t="s">
        <v>125</v>
      </c>
    </row>
    <row r="34" spans="1:5">
      <c r="A34" s="2" t="s">
        <v>376</v>
      </c>
      <c r="B34" s="4" t="s">
        <v>889</v>
      </c>
      <c r="D34" s="1194">
        <f>ROUND(1/$D$31,6)</f>
        <v>1.341839</v>
      </c>
      <c r="E34" s="1194">
        <f>ROUND(1/$E$31,6)</f>
        <v>1.341839</v>
      </c>
    </row>
    <row r="37" spans="1:5">
      <c r="B37" s="4"/>
    </row>
    <row r="38" spans="1:5">
      <c r="A38" s="639" t="s">
        <v>1216</v>
      </c>
    </row>
    <row r="39" spans="1:5">
      <c r="A39" s="1" t="s">
        <v>1598</v>
      </c>
    </row>
    <row r="44" spans="1:5">
      <c r="A44" s="4" t="s">
        <v>558</v>
      </c>
    </row>
  </sheetData>
  <mergeCells count="5">
    <mergeCell ref="A5:E5"/>
    <mergeCell ref="A1:E1"/>
    <mergeCell ref="A2:E2"/>
    <mergeCell ref="A3:E3"/>
    <mergeCell ref="A4:E4"/>
  </mergeCells>
  <phoneticPr fontId="21" type="noConversion"/>
  <pageMargins left="0.83" right="0.5" top="1.0900000000000001" bottom="0.5" header="0.5" footer="0.5"/>
  <pageSetup scale="92" orientation="portrait" verticalDpi="300" r:id="rId1"/>
  <headerFooter alignWithMargins="0">
    <oddFooter>&amp;RSchedule &amp;A
Page &amp;P of &amp;N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51"/>
  <dimension ref="A1:AN58"/>
  <sheetViews>
    <sheetView view="pageBreakPreview" zoomScale="80" zoomScaleNormal="100" zoomScaleSheetLayoutView="80" workbookViewId="0">
      <selection sqref="A1:P1"/>
    </sheetView>
  </sheetViews>
  <sheetFormatPr defaultColWidth="7.109375" defaultRowHeight="15"/>
  <cols>
    <col min="1" max="1" width="5.109375" style="95" customWidth="1"/>
    <col min="2" max="2" width="18.109375" style="95" customWidth="1"/>
    <col min="3" max="3" width="5" style="95" customWidth="1"/>
    <col min="4" max="6" width="10.33203125" style="95" customWidth="1"/>
    <col min="7" max="7" width="11.44140625" style="95" bestFit="1" customWidth="1"/>
    <col min="8" max="8" width="10.44140625" style="95" customWidth="1"/>
    <col min="9" max="9" width="1.6640625" style="95" customWidth="1"/>
    <col min="10" max="10" width="10.6640625" style="95" bestFit="1" customWidth="1"/>
    <col min="11" max="11" width="1.109375" style="95" customWidth="1"/>
    <col min="12" max="12" width="10.21875" style="95" customWidth="1"/>
    <col min="13" max="13" width="1.6640625" style="95" customWidth="1"/>
    <col min="14" max="14" width="10.44140625" style="95" bestFit="1" customWidth="1"/>
    <col min="15" max="15" width="8.21875" style="95" customWidth="1"/>
    <col min="16" max="16" width="8.77734375" style="95" customWidth="1"/>
    <col min="17" max="17" width="12" bestFit="1" customWidth="1"/>
    <col min="18" max="18" width="7.5546875" bestFit="1" customWidth="1"/>
    <col min="19" max="19" width="8" bestFit="1" customWidth="1"/>
    <col min="20" max="20" width="8.5546875" bestFit="1" customWidth="1"/>
    <col min="41" max="16384" width="7.109375" style="95"/>
  </cols>
  <sheetData>
    <row r="1" spans="1:16">
      <c r="A1" s="1270" t="str">
        <f>'Table of Contents'!A1:C1</f>
        <v>Atmos Energy Corporation, Kentucky/Mid-States Division</v>
      </c>
      <c r="B1" s="1270"/>
      <c r="C1" s="1270"/>
      <c r="D1" s="1270"/>
      <c r="E1" s="1270"/>
      <c r="F1" s="1270"/>
      <c r="G1" s="1270"/>
      <c r="H1" s="1270"/>
      <c r="I1" s="1270"/>
      <c r="J1" s="1270"/>
      <c r="K1" s="1270"/>
      <c r="L1" s="1270"/>
      <c r="M1" s="1270"/>
      <c r="N1" s="1270"/>
      <c r="O1" s="1270"/>
      <c r="P1" s="1270"/>
    </row>
    <row r="2" spans="1:16">
      <c r="A2" s="1270" t="str">
        <f>'Table of Contents'!A2:C2</f>
        <v>Kentucky Jurisdiction Case No. 2021-00214</v>
      </c>
      <c r="B2" s="1270"/>
      <c r="C2" s="1270"/>
      <c r="D2" s="1270"/>
      <c r="E2" s="1270"/>
      <c r="F2" s="1270"/>
      <c r="G2" s="1270"/>
      <c r="H2" s="1270"/>
      <c r="I2" s="1270"/>
      <c r="J2" s="1270"/>
      <c r="K2" s="1270"/>
      <c r="L2" s="1270"/>
      <c r="M2" s="1270"/>
      <c r="N2" s="1270"/>
      <c r="O2" s="1270"/>
      <c r="P2" s="1270"/>
    </row>
    <row r="3" spans="1:16">
      <c r="A3" s="1270" t="s">
        <v>607</v>
      </c>
      <c r="B3" s="1270"/>
      <c r="C3" s="1270"/>
      <c r="D3" s="1270"/>
      <c r="E3" s="1270"/>
      <c r="F3" s="1270"/>
      <c r="G3" s="1270"/>
      <c r="H3" s="1270"/>
      <c r="I3" s="1270"/>
      <c r="J3" s="1270"/>
      <c r="K3" s="1270"/>
      <c r="L3" s="1270"/>
      <c r="M3" s="1270"/>
      <c r="N3" s="1270"/>
      <c r="O3" s="1270"/>
      <c r="P3" s="1270"/>
    </row>
    <row r="4" spans="1:16">
      <c r="A4" s="1270" t="str">
        <f>'Table of Contents'!A3:C3</f>
        <v>Base Period: Twelve Months Ended September 30, 2021</v>
      </c>
      <c r="B4" s="1270"/>
      <c r="C4" s="1270"/>
      <c r="D4" s="1270"/>
      <c r="E4" s="1270"/>
      <c r="F4" s="1270"/>
      <c r="G4" s="1270"/>
      <c r="H4" s="1270"/>
      <c r="I4" s="1270"/>
      <c r="J4" s="1270"/>
      <c r="K4" s="1270"/>
      <c r="L4" s="1270"/>
      <c r="M4" s="1270"/>
      <c r="N4" s="1270"/>
      <c r="O4" s="1270"/>
      <c r="P4" s="1270"/>
    </row>
    <row r="5" spans="1:16">
      <c r="A5" s="1270" t="str">
        <f>'Table of Contents'!A4:C4</f>
        <v>Forecasted Test Period: Twelve Months Ended December 31, 2022</v>
      </c>
      <c r="B5" s="1270"/>
      <c r="C5" s="1270"/>
      <c r="D5" s="1270"/>
      <c r="E5" s="1270"/>
      <c r="F5" s="1270"/>
      <c r="G5" s="1270"/>
      <c r="H5" s="1270"/>
      <c r="I5" s="1270"/>
      <c r="J5" s="1270"/>
      <c r="K5" s="1270"/>
      <c r="L5" s="1270"/>
      <c r="M5" s="1270"/>
      <c r="N5" s="1270"/>
      <c r="O5" s="1270"/>
      <c r="P5" s="1270"/>
    </row>
    <row r="6" spans="1:16">
      <c r="A6" s="619"/>
      <c r="B6" s="619"/>
      <c r="C6" s="619"/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  <c r="O6" s="619"/>
      <c r="P6" s="619"/>
    </row>
    <row r="7" spans="1:16">
      <c r="A7" s="472" t="s">
        <v>675</v>
      </c>
      <c r="P7" s="772" t="s">
        <v>1382</v>
      </c>
    </row>
    <row r="8" spans="1:16">
      <c r="A8" s="472" t="s">
        <v>610</v>
      </c>
      <c r="P8" s="778" t="s">
        <v>1117</v>
      </c>
    </row>
    <row r="9" spans="1:16">
      <c r="A9" s="773" t="s">
        <v>363</v>
      </c>
      <c r="B9" s="752"/>
      <c r="C9" s="752"/>
      <c r="D9" s="752"/>
      <c r="E9" s="752"/>
      <c r="F9" s="752"/>
      <c r="G9" s="752"/>
      <c r="H9" s="752"/>
      <c r="I9" s="752"/>
      <c r="J9" s="752"/>
      <c r="K9" s="752"/>
      <c r="L9" s="752"/>
      <c r="M9" s="769"/>
      <c r="N9" s="779"/>
      <c r="O9" s="779"/>
      <c r="P9" s="780" t="s">
        <v>1622</v>
      </c>
    </row>
    <row r="10" spans="1:16">
      <c r="D10" s="1301" t="s">
        <v>1142</v>
      </c>
      <c r="E10" s="1301"/>
      <c r="F10" s="1301"/>
      <c r="G10" s="1301"/>
      <c r="H10" s="1301"/>
      <c r="J10" s="781" t="s">
        <v>1109</v>
      </c>
      <c r="K10" s="619"/>
      <c r="L10" s="781" t="s">
        <v>127</v>
      </c>
      <c r="N10" s="782"/>
      <c r="O10" s="782"/>
      <c r="P10" s="782"/>
    </row>
    <row r="11" spans="1:16">
      <c r="D11" s="1299" t="s">
        <v>1601</v>
      </c>
      <c r="E11" s="1299"/>
      <c r="F11" s="1299"/>
      <c r="G11" s="1299"/>
      <c r="H11" s="1299"/>
      <c r="J11" s="966" t="s">
        <v>1601</v>
      </c>
      <c r="K11" s="776"/>
      <c r="L11" s="966" t="s">
        <v>1601</v>
      </c>
      <c r="M11" s="776"/>
      <c r="N11" s="1300" t="s">
        <v>1601</v>
      </c>
      <c r="O11" s="1300"/>
      <c r="P11" s="1300"/>
    </row>
    <row r="12" spans="1:16">
      <c r="D12" s="514"/>
      <c r="E12" s="514"/>
      <c r="F12" s="514"/>
      <c r="G12" s="514"/>
      <c r="H12" s="514"/>
      <c r="J12" s="783"/>
      <c r="K12" s="784"/>
      <c r="L12" s="783"/>
    </row>
    <row r="13" spans="1:16">
      <c r="A13" s="785"/>
      <c r="B13" s="785"/>
      <c r="C13" s="785"/>
      <c r="D13" s="965">
        <v>2016</v>
      </c>
      <c r="E13" s="965">
        <f>D13+1</f>
        <v>2017</v>
      </c>
      <c r="F13" s="965">
        <f t="shared" ref="F13:H13" si="0">E13+1</f>
        <v>2018</v>
      </c>
      <c r="G13" s="965">
        <f t="shared" si="0"/>
        <v>2019</v>
      </c>
      <c r="H13" s="965">
        <f t="shared" si="0"/>
        <v>2020</v>
      </c>
      <c r="J13" s="786">
        <v>44469</v>
      </c>
      <c r="K13" s="787"/>
      <c r="L13" s="786">
        <v>44926</v>
      </c>
      <c r="N13" s="556">
        <v>2023</v>
      </c>
      <c r="O13" s="965">
        <f>N13+1</f>
        <v>2024</v>
      </c>
      <c r="P13" s="965">
        <f>O13+1</f>
        <v>2025</v>
      </c>
    </row>
    <row r="14" spans="1:16">
      <c r="A14" s="95" t="s">
        <v>592</v>
      </c>
      <c r="D14" s="619" t="s">
        <v>145</v>
      </c>
      <c r="E14" s="619" t="s">
        <v>145</v>
      </c>
      <c r="F14" s="619" t="s">
        <v>145</v>
      </c>
      <c r="G14" s="619" t="s">
        <v>145</v>
      </c>
      <c r="H14" s="619" t="s">
        <v>145</v>
      </c>
      <c r="J14" s="619" t="s">
        <v>145</v>
      </c>
      <c r="L14" s="619" t="s">
        <v>145</v>
      </c>
      <c r="N14" s="964" t="s">
        <v>145</v>
      </c>
      <c r="O14" s="964" t="s">
        <v>145</v>
      </c>
      <c r="P14" s="964" t="s">
        <v>145</v>
      </c>
    </row>
    <row r="15" spans="1:16">
      <c r="A15" s="95" t="s">
        <v>593</v>
      </c>
    </row>
    <row r="16" spans="1:16">
      <c r="B16" s="95" t="s">
        <v>594</v>
      </c>
      <c r="D16" s="515">
        <f>'[36]Div 9'!D12/1000</f>
        <v>129826.66337000002</v>
      </c>
      <c r="E16" s="515">
        <f>'[36]Div 9'!E12/1000</f>
        <v>144869.82665</v>
      </c>
      <c r="F16" s="515">
        <f>'[36]Div 9'!F12/1000</f>
        <v>161584.11093999998</v>
      </c>
      <c r="G16" s="515">
        <f>'[36]Div 9'!G12/1000</f>
        <v>157506.29086999997</v>
      </c>
      <c r="H16" s="515">
        <f>'[36]Div 9'!H12/1000</f>
        <v>134241.51697</v>
      </c>
      <c r="I16" s="515"/>
      <c r="J16" s="515">
        <f>'C.2.1 B'!D23/1000</f>
        <v>147760.4611316068</v>
      </c>
      <c r="K16" s="515"/>
      <c r="L16" s="515">
        <f>'C.2.1 F'!D19/1000</f>
        <v>154074.43576019327</v>
      </c>
      <c r="M16" s="515"/>
      <c r="N16" s="515">
        <f>'[9]Summary of Revenue'!AO15/1000</f>
        <v>153425.64824722949</v>
      </c>
      <c r="O16" s="515">
        <f>'[9]Summary of Revenue'!AP15/1000</f>
        <v>152977.73954946102</v>
      </c>
      <c r="P16" s="515">
        <f>'[9]Summary of Revenue'!AQ15/1000</f>
        <v>153371.24951904305</v>
      </c>
    </row>
    <row r="17" spans="1:17">
      <c r="B17" s="95" t="s">
        <v>179</v>
      </c>
      <c r="D17" s="515">
        <f>'[36]Div 9'!D13/1000</f>
        <v>15747.936089999999</v>
      </c>
      <c r="E17" s="515">
        <f>'[36]Div 9'!E13/1000</f>
        <v>17214.913700000001</v>
      </c>
      <c r="F17" s="515">
        <f>'[36]Div 9'!F13/1000</f>
        <v>18537.372689999997</v>
      </c>
      <c r="G17" s="515">
        <f>'[36]Div 9'!G13/1000</f>
        <v>18324.533030000002</v>
      </c>
      <c r="H17" s="515">
        <f>'[36]Div 9'!H13/1000</f>
        <v>17179.778549999995</v>
      </c>
      <c r="I17" s="515"/>
      <c r="J17" s="515">
        <f>('C.2.1 B'!D28)/1000</f>
        <v>16646.735096687651</v>
      </c>
      <c r="K17" s="515"/>
      <c r="L17" s="515">
        <f>('C.2.1 F'!D24)/1000</f>
        <v>15144.509466240135</v>
      </c>
      <c r="M17" s="515"/>
      <c r="N17" s="515">
        <f>'[9]Summary of Revenue'!AO20/1000</f>
        <v>15144.509466240135</v>
      </c>
      <c r="O17" s="515">
        <f>'[9]Summary of Revenue'!AP20/1000</f>
        <v>15144.509466240135</v>
      </c>
      <c r="P17" s="515">
        <f>'[9]Summary of Revenue'!AQ20/1000</f>
        <v>15144.509466240135</v>
      </c>
    </row>
    <row r="18" spans="1:17">
      <c r="B18" s="95" t="s">
        <v>595</v>
      </c>
      <c r="D18" s="522">
        <f>SUM('[36]Div 9'!D14:D15)/1000</f>
        <v>1856.60124</v>
      </c>
      <c r="E18" s="522">
        <f>SUM('[36]Div 9'!E14:E15)/1000</f>
        <v>2017.2438300000001</v>
      </c>
      <c r="F18" s="522">
        <f>SUM('[36]Div 9'!F14:F15)/1000</f>
        <v>732.99732000000006</v>
      </c>
      <c r="G18" s="522">
        <f>SUM('[36]Div 9'!G14:G15)/1000</f>
        <v>1877.6864200000002</v>
      </c>
      <c r="H18" s="522">
        <f>SUM('[36]Div 9'!H14:H15)/1000</f>
        <v>2087.0900200000001</v>
      </c>
      <c r="I18" s="522"/>
      <c r="J18" s="522">
        <f>('C.2.1 B'!D26+'C.2.1 B'!D27+'C.2.1 B'!D29)/1000</f>
        <v>1947.5094386196752</v>
      </c>
      <c r="K18" s="522"/>
      <c r="L18" s="522">
        <f>('C.2.1 F'!D22+'C.2.1 F'!D23+'C.2.1 F'!D25)/1000</f>
        <v>4247.9777232360639</v>
      </c>
      <c r="M18" s="522"/>
      <c r="N18" s="522">
        <f t="shared" ref="N18:P18" si="1">N19-N16-N17</f>
        <v>4239.7002674792493</v>
      </c>
      <c r="O18" s="522">
        <f t="shared" si="1"/>
        <v>4235.7570494489228</v>
      </c>
      <c r="P18" s="522">
        <f t="shared" si="1"/>
        <v>4239.2718934013283</v>
      </c>
    </row>
    <row r="19" spans="1:17">
      <c r="A19" s="95" t="s">
        <v>596</v>
      </c>
      <c r="D19" s="515">
        <f>SUM(D16:D18)</f>
        <v>147431.20070000002</v>
      </c>
      <c r="E19" s="515">
        <f>SUM(E16:E18)</f>
        <v>164101.98418</v>
      </c>
      <c r="F19" s="515">
        <f>SUM(F16:F18)</f>
        <v>180854.48094999997</v>
      </c>
      <c r="G19" s="515">
        <f>SUM(G16:G18)</f>
        <v>177708.51031999997</v>
      </c>
      <c r="H19" s="515">
        <f>SUM(H16:H18)</f>
        <v>153508.38553999999</v>
      </c>
      <c r="I19" s="515"/>
      <c r="J19" s="515">
        <f>SUM(J16:J18)</f>
        <v>166354.70566691415</v>
      </c>
      <c r="K19" s="515"/>
      <c r="L19" s="515">
        <f>SUM(L16:L18)</f>
        <v>173466.92294966945</v>
      </c>
      <c r="M19" s="515"/>
      <c r="N19" s="515">
        <f>'[9]Summary of Revenue'!AO23/1000</f>
        <v>172809.85798094887</v>
      </c>
      <c r="O19" s="515">
        <f>'[9]Summary of Revenue'!AP23/1000</f>
        <v>172358.00606515008</v>
      </c>
      <c r="P19" s="515">
        <f>'[9]Summary of Revenue'!AQ23/1000</f>
        <v>172755.03087868451</v>
      </c>
    </row>
    <row r="20" spans="1:17">
      <c r="D20" s="515"/>
      <c r="E20" s="515"/>
      <c r="F20" s="515"/>
      <c r="G20" s="515"/>
      <c r="H20" s="515"/>
      <c r="I20" s="515"/>
      <c r="J20" s="515"/>
      <c r="K20" s="515"/>
      <c r="L20" s="515"/>
      <c r="M20" s="515"/>
      <c r="N20" s="515"/>
      <c r="O20" s="515"/>
      <c r="P20" s="515"/>
    </row>
    <row r="21" spans="1:17">
      <c r="A21" s="95" t="s">
        <v>597</v>
      </c>
      <c r="D21" s="515">
        <f>'[36]Div 9'!D18/1000</f>
        <v>61180.230949999997</v>
      </c>
      <c r="E21" s="515">
        <f>'[36]Div 9'!E18/1000</f>
        <v>70880.021340000007</v>
      </c>
      <c r="F21" s="515">
        <f>'[36]Div 9'!F18/1000</f>
        <v>89006.235690000001</v>
      </c>
      <c r="G21" s="515">
        <f>'[36]Div 9'!G18/1000</f>
        <v>83688.773440000004</v>
      </c>
      <c r="H21" s="515">
        <f>'[36]Div 9'!H18/1000</f>
        <v>59995.688329999997</v>
      </c>
      <c r="I21" s="522"/>
      <c r="J21" s="522">
        <f>'C.2.1 B'!D105/1000</f>
        <v>70283.865695086715</v>
      </c>
      <c r="K21" s="522"/>
      <c r="L21" s="522">
        <f>'C.2.1 F'!D100/1000</f>
        <v>77873.656336473563</v>
      </c>
      <c r="M21" s="522"/>
      <c r="N21" s="515">
        <f>'[9]Summary of Revenue'!AO25/1000</f>
        <v>77014.485830880614</v>
      </c>
      <c r="O21" s="515">
        <f>'[9]Summary of Revenue'!AP25/1000</f>
        <v>76287.502888390984</v>
      </c>
      <c r="P21" s="515">
        <f>'[9]Summary of Revenue'!AQ25/1000</f>
        <v>76401.996904516767</v>
      </c>
    </row>
    <row r="22" spans="1:17">
      <c r="A22" s="95" t="s">
        <v>112</v>
      </c>
      <c r="D22" s="516">
        <f>+D19-D21</f>
        <v>86250.969750000018</v>
      </c>
      <c r="E22" s="516">
        <f>+E19-E21</f>
        <v>93221.962839999993</v>
      </c>
      <c r="F22" s="516">
        <f>+F19-F21</f>
        <v>91848.245259999967</v>
      </c>
      <c r="G22" s="516">
        <f>+G19-G21</f>
        <v>94019.736879999968</v>
      </c>
      <c r="H22" s="516">
        <f>+H19-H21</f>
        <v>93512.697209999984</v>
      </c>
      <c r="I22" s="515"/>
      <c r="J22" s="515">
        <f>+J19-J21</f>
        <v>96070.83997182743</v>
      </c>
      <c r="K22" s="515"/>
      <c r="L22" s="515">
        <f>+L19-L21</f>
        <v>95593.266613195883</v>
      </c>
      <c r="M22" s="515"/>
      <c r="N22" s="516">
        <f>+N19-N21</f>
        <v>95795.372150068259</v>
      </c>
      <c r="O22" s="516">
        <f>+O19-O21</f>
        <v>96070.503176759099</v>
      </c>
      <c r="P22" s="516">
        <f>+P19-P21</f>
        <v>96353.033974167745</v>
      </c>
    </row>
    <row r="23" spans="1:17">
      <c r="D23" s="515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</row>
    <row r="24" spans="1:17">
      <c r="A24" s="95" t="s">
        <v>977</v>
      </c>
      <c r="D24" s="515"/>
      <c r="E24" s="515"/>
      <c r="F24" s="515"/>
      <c r="G24" s="515"/>
      <c r="H24" s="515"/>
      <c r="I24" s="515"/>
      <c r="J24" s="515"/>
      <c r="K24" s="515"/>
      <c r="L24" s="515"/>
      <c r="M24" s="515"/>
      <c r="N24" s="515"/>
      <c r="O24" s="515"/>
      <c r="P24" s="515"/>
    </row>
    <row r="25" spans="1:17" ht="15.75">
      <c r="B25" s="95" t="s">
        <v>113</v>
      </c>
      <c r="D25" s="515">
        <f>SUM('[36]Div 9'!D23:D24)/1000</f>
        <v>14518.409320000001</v>
      </c>
      <c r="E25" s="515">
        <f>SUM('[36]Div 9'!E23:E24)/1000</f>
        <v>16031.043749999999</v>
      </c>
      <c r="F25" s="515">
        <f>SUM('[36]Div 9'!F23:F24)/1000</f>
        <v>17403.32143</v>
      </c>
      <c r="G25" s="515">
        <f>SUM('[36]Div 9'!G23:G24)/1000</f>
        <v>18980.651690000002</v>
      </c>
      <c r="H25" s="515">
        <f>SUM('[36]Div 9'!H23:H24)/1000</f>
        <v>15673.209889999998</v>
      </c>
      <c r="I25" s="515"/>
      <c r="J25" s="515">
        <f>(SUM('C.2.2 B 09'!P47:P111)-'C.2.2 B 09'!P102)/1000</f>
        <v>16133.468920000003</v>
      </c>
      <c r="K25" s="515"/>
      <c r="L25" s="515">
        <f>'C.1'!F19/1000-I.1!L26</f>
        <v>13583.762612668112</v>
      </c>
      <c r="M25" s="515"/>
      <c r="N25" s="1035">
        <v>20850.932316961862</v>
      </c>
      <c r="O25" s="1035">
        <v>21093.115246788733</v>
      </c>
      <c r="P25" s="1035">
        <v>21336.315527382823</v>
      </c>
      <c r="Q25" s="988"/>
    </row>
    <row r="26" spans="1:17" ht="15.75">
      <c r="B26" s="95" t="s">
        <v>556</v>
      </c>
      <c r="D26" s="515">
        <f>'[36]Div 9'!D25/1000</f>
        <v>12708.20644</v>
      </c>
      <c r="E26" s="515">
        <f>'[36]Div 9'!E25/1000</f>
        <v>11828.783839999998</v>
      </c>
      <c r="F26" s="515">
        <f>'[36]Div 9'!F25/1000</f>
        <v>12110.085370000001</v>
      </c>
      <c r="G26" s="515">
        <f>'[36]Div 9'!G25/1000</f>
        <v>13264.6566</v>
      </c>
      <c r="H26" s="515">
        <f>'[36]Div 9'!H25/1000</f>
        <v>13189.254380000002</v>
      </c>
      <c r="I26" s="515"/>
      <c r="J26" s="515">
        <f>'C.2.2 B 09'!P102/1000</f>
        <v>15178.190516582308</v>
      </c>
      <c r="K26" s="515"/>
      <c r="L26" s="515">
        <f>'C.2.2-F 09'!P102/1000</f>
        <v>15463.672796832643</v>
      </c>
      <c r="M26" s="515"/>
      <c r="N26" s="1035">
        <v>11926.247654181723</v>
      </c>
      <c r="O26" s="1035">
        <v>12352.849804952175</v>
      </c>
      <c r="P26" s="1035">
        <v>12804.885710881917</v>
      </c>
      <c r="Q26" s="988"/>
    </row>
    <row r="27" spans="1:17" ht="15.75">
      <c r="B27" s="95" t="s">
        <v>114</v>
      </c>
      <c r="D27" s="515">
        <f>'[36]Div 9'!D26/1000</f>
        <v>19120.630430000001</v>
      </c>
      <c r="E27" s="515">
        <f>'[36]Div 9'!E26/1000</f>
        <v>19379.359540000005</v>
      </c>
      <c r="F27" s="515">
        <f>'[36]Div 9'!F26/1000</f>
        <v>20842.245660000004</v>
      </c>
      <c r="G27" s="515">
        <f>'[36]Div 9'!G26/1000</f>
        <v>20421.992340000004</v>
      </c>
      <c r="H27" s="515">
        <f>'[36]Div 9'!H26/1000</f>
        <v>20474.841170000003</v>
      </c>
      <c r="I27" s="515"/>
      <c r="J27" s="515">
        <f>'C.2.1 B'!D176/1000</f>
        <v>19295.728648829721</v>
      </c>
      <c r="K27" s="515"/>
      <c r="L27" s="515">
        <f>'C.2'!K26/1000</f>
        <v>20604.446985372451</v>
      </c>
      <c r="M27" s="515"/>
      <c r="N27" s="1035">
        <v>20820.704516952421</v>
      </c>
      <c r="O27" s="1035">
        <v>22394.171429863236</v>
      </c>
      <c r="P27" s="1035">
        <v>23952.99698530696</v>
      </c>
      <c r="Q27" s="988"/>
    </row>
    <row r="28" spans="1:17" ht="15.75">
      <c r="B28" s="95" t="s">
        <v>115</v>
      </c>
      <c r="D28" s="515">
        <f>'[36]Div 9'!D27/1000</f>
        <v>5919.1201500000006</v>
      </c>
      <c r="E28" s="515">
        <f>'[36]Div 9'!E27/1000</f>
        <v>6335.9178899999997</v>
      </c>
      <c r="F28" s="515">
        <f>'[36]Div 9'!F27/1000</f>
        <v>6454.8750500000006</v>
      </c>
      <c r="G28" s="515">
        <f>'[36]Div 9'!G27/1000</f>
        <v>8673.0926400000008</v>
      </c>
      <c r="H28" s="515">
        <f>'[36]Div 9'!H27/1000</f>
        <v>9400.8409300000003</v>
      </c>
      <c r="I28" s="522"/>
      <c r="J28" s="522">
        <f>'C.2.1 B'!D178/1000</f>
        <v>9749.3033507630826</v>
      </c>
      <c r="K28" s="522"/>
      <c r="L28" s="522">
        <f>'C.2.1 F'!D172/1000</f>
        <v>10326.386977940097</v>
      </c>
      <c r="M28" s="522"/>
      <c r="N28" s="1035">
        <v>10730.261173852117</v>
      </c>
      <c r="O28" s="1035">
        <v>11249.294195174672</v>
      </c>
      <c r="P28" s="1035">
        <v>11737.527758027705</v>
      </c>
      <c r="Q28" s="988"/>
    </row>
    <row r="29" spans="1:17">
      <c r="A29" s="95" t="s">
        <v>1102</v>
      </c>
      <c r="D29" s="516">
        <f>SUM(D25:D28)</f>
        <v>52266.366340000008</v>
      </c>
      <c r="E29" s="516">
        <f>SUM(E25:E28)</f>
        <v>53575.105020000003</v>
      </c>
      <c r="F29" s="516">
        <f>SUM(F25:F28)</f>
        <v>56810.527510000007</v>
      </c>
      <c r="G29" s="516">
        <f>SUM(G25:G28)</f>
        <v>61340.393270000008</v>
      </c>
      <c r="H29" s="516">
        <f>SUM(H25:H28)</f>
        <v>58738.146370000002</v>
      </c>
      <c r="I29" s="515"/>
      <c r="J29" s="515">
        <f>SUM(J25:J28)</f>
        <v>60356.691436175119</v>
      </c>
      <c r="K29" s="515"/>
      <c r="L29" s="515">
        <f>SUM(L25:L28)</f>
        <v>59978.269372813302</v>
      </c>
      <c r="M29" s="515"/>
      <c r="N29" s="516">
        <f>SUM(N25:N28)</f>
        <v>64328.145661948125</v>
      </c>
      <c r="O29" s="516">
        <f t="shared" ref="O29:P29" si="2">SUM(O25:O28)</f>
        <v>67089.430676778822</v>
      </c>
      <c r="P29" s="516">
        <f t="shared" si="2"/>
        <v>69831.725981599404</v>
      </c>
      <c r="Q29" s="51"/>
    </row>
    <row r="30" spans="1:17">
      <c r="D30" s="522"/>
      <c r="E30" s="522"/>
      <c r="F30" s="522"/>
      <c r="G30" s="522"/>
      <c r="H30" s="522"/>
      <c r="I30" s="522"/>
      <c r="J30" s="522"/>
      <c r="K30" s="522"/>
      <c r="L30" s="522"/>
      <c r="M30" s="522"/>
      <c r="N30" s="522"/>
      <c r="O30" s="522"/>
      <c r="P30" s="522"/>
    </row>
    <row r="31" spans="1:17">
      <c r="A31" s="95" t="s">
        <v>576</v>
      </c>
      <c r="D31" s="515">
        <f>+D22-D29</f>
        <v>33984.603410000011</v>
      </c>
      <c r="E31" s="515">
        <f>+E22-E29</f>
        <v>39646.85781999999</v>
      </c>
      <c r="F31" s="515">
        <f>+F22-F29</f>
        <v>35037.71774999996</v>
      </c>
      <c r="G31" s="515">
        <f>+G22-G29</f>
        <v>32679.34360999996</v>
      </c>
      <c r="H31" s="515">
        <f>+H22-H29</f>
        <v>34774.550839999982</v>
      </c>
      <c r="I31" s="515"/>
      <c r="J31" s="515">
        <f>+J22-J29</f>
        <v>35714.148535652312</v>
      </c>
      <c r="K31" s="515"/>
      <c r="L31" s="515">
        <f>+L22-L29</f>
        <v>35614.997240382581</v>
      </c>
      <c r="M31" s="515"/>
      <c r="N31" s="515">
        <f>+N22-N29</f>
        <v>31467.226488120134</v>
      </c>
      <c r="O31" s="515">
        <f>+O22-O29</f>
        <v>28981.072499980277</v>
      </c>
      <c r="P31" s="515">
        <f>+P22-P29</f>
        <v>26521.307992568341</v>
      </c>
    </row>
    <row r="32" spans="1:17"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</row>
    <row r="33" spans="1:17">
      <c r="A33" s="95" t="s">
        <v>577</v>
      </c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515"/>
      <c r="P33" s="515"/>
    </row>
    <row r="34" spans="1:17">
      <c r="B34" s="95" t="s">
        <v>792</v>
      </c>
      <c r="D34" s="515">
        <f>'[36]Div 9'!D33/1000</f>
        <v>42.014340000000004</v>
      </c>
      <c r="E34" s="515">
        <f>'[36]Div 9'!E33/1000</f>
        <v>32.01484</v>
      </c>
      <c r="F34" s="515">
        <f>'[36]Div 9'!F33/1000</f>
        <v>-2.4927299999999986</v>
      </c>
      <c r="G34" s="515">
        <f>'[36]Div 9'!G33/1000</f>
        <v>31.29035</v>
      </c>
      <c r="H34" s="515">
        <f>'[36]Div 9'!H33/1000</f>
        <v>38.990180000000002</v>
      </c>
      <c r="I34" s="515"/>
      <c r="J34" s="515">
        <f>H34</f>
        <v>38.990180000000002</v>
      </c>
      <c r="K34" s="515"/>
      <c r="L34" s="515">
        <f>J34</f>
        <v>38.990180000000002</v>
      </c>
      <c r="M34" s="515"/>
      <c r="N34" s="515">
        <f>L34</f>
        <v>38.990180000000002</v>
      </c>
      <c r="O34" s="515">
        <f>N34</f>
        <v>38.990180000000002</v>
      </c>
      <c r="P34" s="515">
        <f>N34</f>
        <v>38.990180000000002</v>
      </c>
    </row>
    <row r="35" spans="1:17" ht="15.75">
      <c r="B35" s="95" t="s">
        <v>49</v>
      </c>
      <c r="D35" s="515">
        <f>'[36]Div 9'!D34/1000</f>
        <v>2791.57728</v>
      </c>
      <c r="E35" s="515">
        <f>'[36]Div 9'!E34/1000</f>
        <v>3246.14876</v>
      </c>
      <c r="F35" s="515">
        <f>'[36]Div 9'!F34/1000</f>
        <v>3241.3958700000003</v>
      </c>
      <c r="G35" s="515">
        <f>'[36]Div 9'!G34/1000</f>
        <v>3425.3495099999996</v>
      </c>
      <c r="H35" s="515">
        <f>'[36]Div 9'!H34/1000</f>
        <v>3358.9845699999996</v>
      </c>
      <c r="I35" s="515"/>
      <c r="J35" s="515">
        <f>H35</f>
        <v>3358.9845699999996</v>
      </c>
      <c r="K35" s="515"/>
      <c r="L35" s="515">
        <v>3000</v>
      </c>
      <c r="M35" s="515"/>
      <c r="N35" s="515">
        <v>3000</v>
      </c>
      <c r="O35" s="515">
        <v>3000</v>
      </c>
      <c r="P35" s="515">
        <v>3000</v>
      </c>
      <c r="Q35" s="989"/>
    </row>
    <row r="36" spans="1:17">
      <c r="B36" s="95" t="s">
        <v>1510</v>
      </c>
      <c r="D36" s="515">
        <f>-'[36]Div 9'!D40/1000</f>
        <v>-354.79807000000005</v>
      </c>
      <c r="E36" s="515">
        <f>-'[36]Div 9'!E40/1000</f>
        <v>-360.83670999999993</v>
      </c>
      <c r="F36" s="515">
        <f>-'[36]Div 9'!F40/1000</f>
        <v>-455.43557000000004</v>
      </c>
      <c r="G36" s="515">
        <f>-'[36]Div 9'!G40/1000</f>
        <v>-476.97109999999992</v>
      </c>
      <c r="H36" s="515">
        <f>-'[36]Div 9'!H40/1000</f>
        <v>-816.71387000000016</v>
      </c>
      <c r="I36" s="515"/>
      <c r="J36" s="515">
        <f>H36</f>
        <v>-816.71387000000016</v>
      </c>
      <c r="K36" s="515"/>
      <c r="L36" s="515">
        <f t="shared" ref="L36" si="3">J36</f>
        <v>-816.71387000000016</v>
      </c>
      <c r="M36" s="515"/>
      <c r="N36" s="515">
        <f>L36</f>
        <v>-816.71387000000016</v>
      </c>
      <c r="O36" s="515">
        <f>N36</f>
        <v>-816.71387000000016</v>
      </c>
      <c r="P36" s="515">
        <f t="shared" ref="P36" si="4">N36</f>
        <v>-816.71387000000016</v>
      </c>
    </row>
    <row r="37" spans="1:17">
      <c r="B37" s="95" t="s">
        <v>578</v>
      </c>
      <c r="D37" s="515">
        <f>'[36]Div 9'!D35/1000-'[36]Div 9'!D41/1000</f>
        <v>-391.44266000000005</v>
      </c>
      <c r="E37" s="515">
        <f>'[36]Div 9'!E35/1000-'[36]Div 9'!E41/1000</f>
        <v>-403.49966999999998</v>
      </c>
      <c r="F37" s="515">
        <f>'[36]Div 9'!F35/1000-'[36]Div 9'!F41/1000</f>
        <v>-427.67327</v>
      </c>
      <c r="G37" s="515">
        <f>'[36]Div 9'!G35/1000-'[36]Div 9'!G41/1000</f>
        <v>1248.7482299999995</v>
      </c>
      <c r="H37" s="515">
        <f>'[36]Div 9'!H35/1000-'[36]Div 9'!H41/1000</f>
        <v>122.76372000000015</v>
      </c>
      <c r="I37" s="522"/>
      <c r="J37" s="522">
        <f>H37</f>
        <v>122.76372000000015</v>
      </c>
      <c r="K37" s="522"/>
      <c r="L37" s="522">
        <f>J37</f>
        <v>122.76372000000015</v>
      </c>
      <c r="M37" s="522"/>
      <c r="N37" s="522">
        <f>L37</f>
        <v>122.76372000000015</v>
      </c>
      <c r="O37" s="522">
        <f>N37</f>
        <v>122.76372000000015</v>
      </c>
      <c r="P37" s="522">
        <f>O37</f>
        <v>122.76372000000015</v>
      </c>
    </row>
    <row r="38" spans="1:17">
      <c r="A38" s="95" t="s">
        <v>50</v>
      </c>
      <c r="D38" s="516">
        <f>SUM(D34:D37)</f>
        <v>2087.3508900000002</v>
      </c>
      <c r="E38" s="516">
        <f t="shared" ref="E38:P38" si="5">SUM(E34:E37)</f>
        <v>2513.8272199999997</v>
      </c>
      <c r="F38" s="516">
        <f t="shared" si="5"/>
        <v>2355.7943000000005</v>
      </c>
      <c r="G38" s="516">
        <f t="shared" si="5"/>
        <v>4228.4169899999997</v>
      </c>
      <c r="H38" s="516">
        <f t="shared" si="5"/>
        <v>2704.0245999999997</v>
      </c>
      <c r="I38" s="516"/>
      <c r="J38" s="516">
        <f t="shared" si="5"/>
        <v>2704.0245999999997</v>
      </c>
      <c r="K38" s="516">
        <f t="shared" si="5"/>
        <v>0</v>
      </c>
      <c r="L38" s="516">
        <f t="shared" si="5"/>
        <v>2345.0400300000001</v>
      </c>
      <c r="M38" s="516"/>
      <c r="N38" s="516">
        <f>SUM(N34:N37)</f>
        <v>2345.0400300000001</v>
      </c>
      <c r="O38" s="516">
        <f t="shared" si="5"/>
        <v>2345.0400300000001</v>
      </c>
      <c r="P38" s="516">
        <f t="shared" si="5"/>
        <v>2345.0400300000001</v>
      </c>
    </row>
    <row r="39" spans="1:17">
      <c r="D39" s="515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</row>
    <row r="40" spans="1:17">
      <c r="A40" s="95" t="s">
        <v>976</v>
      </c>
      <c r="D40" s="515"/>
      <c r="E40" s="515"/>
      <c r="F40" s="515"/>
      <c r="G40" s="515"/>
      <c r="H40" s="515"/>
      <c r="I40" s="515"/>
      <c r="J40" s="515"/>
      <c r="K40" s="515"/>
      <c r="L40" s="515"/>
      <c r="M40" s="515"/>
      <c r="N40" s="515"/>
      <c r="O40" s="515"/>
      <c r="P40" s="515"/>
    </row>
    <row r="41" spans="1:17" ht="15.75">
      <c r="A41" s="95" t="s">
        <v>717</v>
      </c>
      <c r="D41" s="517">
        <f>SUM('[36]Div 9'!D38:D39)/1000</f>
        <v>7377.4536399999997</v>
      </c>
      <c r="E41" s="517">
        <f>SUM('[36]Div 9'!E38:E39)/1000</f>
        <v>8008.5934800000005</v>
      </c>
      <c r="F41" s="517">
        <f>SUM('[36]Div 9'!F38:F39)/1000</f>
        <v>8021.673630000003</v>
      </c>
      <c r="G41" s="517">
        <f>SUM('[36]Div 9'!G38:G39)/1000</f>
        <v>9455.5509100000017</v>
      </c>
      <c r="H41" s="517">
        <f>SUM('[36]Div 9'!H38:H39)/1000</f>
        <v>9366.1394500000006</v>
      </c>
      <c r="I41" s="517"/>
      <c r="J41" s="517">
        <f>E!E32/1000</f>
        <v>9651.4713099451128</v>
      </c>
      <c r="K41" s="517"/>
      <c r="L41" s="517">
        <f>E!G32/1000</f>
        <v>10496.657164710725</v>
      </c>
      <c r="M41" s="517"/>
      <c r="N41" s="517">
        <v>10431</v>
      </c>
      <c r="O41" s="517">
        <v>11462</v>
      </c>
      <c r="P41" s="517">
        <v>12587</v>
      </c>
      <c r="Q41" s="988"/>
    </row>
    <row r="42" spans="1:17">
      <c r="A42" s="95" t="s">
        <v>718</v>
      </c>
      <c r="D42" s="517">
        <f>+D31+D38-D41</f>
        <v>28694.500660000012</v>
      </c>
      <c r="E42" s="517">
        <f>+E31+E38-E41</f>
        <v>34152.091559999986</v>
      </c>
      <c r="F42" s="517">
        <f>+F31+F38-F41</f>
        <v>29371.838419999956</v>
      </c>
      <c r="G42" s="517">
        <f>+G31+G38-G41</f>
        <v>27452.209689999956</v>
      </c>
      <c r="H42" s="517">
        <f>+H31+H38-H41</f>
        <v>28112.435989999976</v>
      </c>
      <c r="I42" s="517"/>
      <c r="J42" s="517">
        <f>+J31+J38-J41</f>
        <v>28766.701825707198</v>
      </c>
      <c r="K42" s="517"/>
      <c r="L42" s="517">
        <f>+L31+L38-L41</f>
        <v>27463.380105671858</v>
      </c>
      <c r="M42" s="517"/>
      <c r="N42" s="517">
        <f>+N31+N38-N41</f>
        <v>23381.26651812013</v>
      </c>
      <c r="O42" s="517">
        <f>+O31+O38-O41</f>
        <v>19864.112529980277</v>
      </c>
      <c r="P42" s="517">
        <f>+P31+P38-P41</f>
        <v>16279.348022568342</v>
      </c>
    </row>
    <row r="43" spans="1:17">
      <c r="B43" s="95" t="s">
        <v>719</v>
      </c>
      <c r="D43" s="517">
        <f>'[36]Div 9'!D48/1000</f>
        <v>9516.4333000000006</v>
      </c>
      <c r="E43" s="517">
        <f>'[36]Div 9'!E48/1000</f>
        <v>9696.7549999999992</v>
      </c>
      <c r="F43" s="517">
        <f>'[36]Div 9'!F48/1000</f>
        <v>8860.9265299999988</v>
      </c>
      <c r="G43" s="517">
        <f>'[36]Div 9'!G48/1000</f>
        <v>6288.4629999999997</v>
      </c>
      <c r="H43" s="517">
        <f>'[36]Div 9'!H48/1000</f>
        <v>3380.3330000000001</v>
      </c>
      <c r="I43" s="517"/>
      <c r="J43" s="517">
        <f>J42*E!$G$21</f>
        <v>7177.2921055139459</v>
      </c>
      <c r="K43" s="517"/>
      <c r="L43" s="517">
        <f>L42*E!$G$21</f>
        <v>6852.1133363651288</v>
      </c>
      <c r="M43" s="517"/>
      <c r="N43" s="517">
        <f>N42*(ROUND(0.05+0.21*(1-0.05),5))</f>
        <v>5833.6259962709728</v>
      </c>
      <c r="O43" s="517">
        <f t="shared" ref="O43:P43" si="6">O42*(ROUND(0.05+0.21*(1-0.05),5))</f>
        <v>4956.0960762300792</v>
      </c>
      <c r="P43" s="517">
        <f t="shared" si="6"/>
        <v>4061.6973316308013</v>
      </c>
      <c r="Q43" s="992"/>
    </row>
    <row r="44" spans="1:17">
      <c r="D44" s="515"/>
      <c r="E44" s="515"/>
      <c r="F44" s="515"/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17" ht="15.75" thickBot="1">
      <c r="A45" s="95" t="s">
        <v>171</v>
      </c>
      <c r="D45" s="518">
        <f>+D42-D43</f>
        <v>19178.067360000012</v>
      </c>
      <c r="E45" s="518">
        <f>+E42-E43</f>
        <v>24455.336559999989</v>
      </c>
      <c r="F45" s="518">
        <f>+F42-F43</f>
        <v>20510.911889999959</v>
      </c>
      <c r="G45" s="518">
        <f>+G42-G43</f>
        <v>21163.746689999956</v>
      </c>
      <c r="H45" s="518">
        <f>+H42-H43</f>
        <v>24732.102989999978</v>
      </c>
      <c r="I45" s="518"/>
      <c r="J45" s="518">
        <f>+J42-J43</f>
        <v>21589.409720193253</v>
      </c>
      <c r="K45" s="518"/>
      <c r="L45" s="518">
        <f>+L42-L43</f>
        <v>20611.266769306731</v>
      </c>
      <c r="M45" s="518"/>
      <c r="N45" s="518">
        <f>+N42-N43</f>
        <v>17547.640521849156</v>
      </c>
      <c r="O45" s="518">
        <f>+O42-O43</f>
        <v>14908.016453750199</v>
      </c>
      <c r="P45" s="518">
        <f>+P42-P43</f>
        <v>12217.65069093754</v>
      </c>
    </row>
    <row r="46" spans="1:17" ht="15.75" thickTop="1">
      <c r="D46" s="362"/>
      <c r="E46" s="362"/>
      <c r="F46" s="362"/>
      <c r="G46" s="362"/>
      <c r="H46" s="362"/>
      <c r="I46" s="515"/>
      <c r="J46" s="362"/>
      <c r="K46" s="362"/>
      <c r="L46" s="362"/>
      <c r="M46" s="362"/>
      <c r="N46" s="362"/>
      <c r="O46" s="362"/>
      <c r="P46" s="362"/>
    </row>
    <row r="47" spans="1:17">
      <c r="B47" s="776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</row>
    <row r="48" spans="1:17">
      <c r="B48" s="776"/>
      <c r="D48" s="515"/>
      <c r="E48" s="515"/>
      <c r="F48" s="515"/>
      <c r="G48" s="515"/>
      <c r="H48" s="515"/>
      <c r="I48" s="515"/>
      <c r="J48" s="515"/>
      <c r="K48" s="515"/>
      <c r="L48" s="515"/>
      <c r="M48" s="515"/>
      <c r="N48" s="515"/>
      <c r="O48" s="515"/>
      <c r="P48" s="515"/>
    </row>
    <row r="49" spans="1:16">
      <c r="D49" s="515"/>
      <c r="E49" s="515"/>
      <c r="F49" s="515"/>
      <c r="G49" s="515"/>
      <c r="H49" s="515"/>
      <c r="I49" s="515"/>
      <c r="J49" s="515"/>
      <c r="K49" s="515"/>
      <c r="L49" s="515"/>
      <c r="M49" s="515"/>
      <c r="N49" s="515"/>
      <c r="O49" s="515"/>
      <c r="P49" s="515"/>
    </row>
    <row r="50" spans="1:16">
      <c r="D50" s="515"/>
      <c r="E50" s="515"/>
      <c r="F50" s="515"/>
      <c r="G50" s="515"/>
      <c r="H50" s="515"/>
      <c r="I50" s="515"/>
      <c r="J50" s="515"/>
      <c r="K50" s="515"/>
      <c r="L50" s="515"/>
      <c r="M50" s="515"/>
      <c r="N50" s="515"/>
      <c r="O50" s="515"/>
      <c r="P50" s="515"/>
    </row>
    <row r="51" spans="1:16">
      <c r="A51" s="95" t="s">
        <v>1599</v>
      </c>
      <c r="D51" s="515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5"/>
    </row>
    <row r="52" spans="1:16">
      <c r="A52" s="95" t="s">
        <v>1600</v>
      </c>
      <c r="D52" s="515"/>
      <c r="E52" s="515"/>
      <c r="F52" s="515"/>
      <c r="G52" s="515"/>
      <c r="H52" s="515"/>
      <c r="I52" s="515"/>
      <c r="J52" s="515"/>
      <c r="K52" s="515"/>
      <c r="L52" s="515"/>
      <c r="M52" s="515"/>
      <c r="N52" s="515"/>
      <c r="O52" s="515"/>
      <c r="P52" s="515"/>
    </row>
    <row r="53" spans="1:16">
      <c r="A53" s="95" t="s">
        <v>1591</v>
      </c>
      <c r="D53" s="515"/>
      <c r="E53" s="515"/>
      <c r="F53" s="515"/>
      <c r="G53" s="515"/>
      <c r="H53" s="515"/>
      <c r="I53" s="515"/>
      <c r="J53" s="515"/>
      <c r="K53" s="515"/>
      <c r="L53" s="515"/>
      <c r="M53" s="515"/>
      <c r="N53" s="515"/>
      <c r="O53" s="515"/>
      <c r="P53" s="515"/>
    </row>
    <row r="54" spans="1:16">
      <c r="A54" s="95" t="s">
        <v>1664</v>
      </c>
      <c r="D54" s="515"/>
      <c r="E54" s="515"/>
      <c r="F54" s="515"/>
      <c r="G54" s="515"/>
      <c r="H54" s="515"/>
      <c r="I54" s="515"/>
      <c r="J54" s="515"/>
      <c r="K54" s="515"/>
      <c r="L54" s="515"/>
      <c r="M54" s="515"/>
      <c r="N54" s="515"/>
      <c r="O54" s="515"/>
      <c r="P54" s="515"/>
    </row>
    <row r="55" spans="1:16">
      <c r="D55" s="515"/>
      <c r="E55" s="515"/>
      <c r="F55" s="515"/>
      <c r="G55" s="515"/>
      <c r="H55" s="515"/>
      <c r="I55" s="515"/>
      <c r="J55" s="515"/>
      <c r="K55" s="515"/>
      <c r="L55" s="515"/>
      <c r="M55" s="515"/>
      <c r="N55" s="100"/>
      <c r="O55" s="100"/>
      <c r="P55" s="515"/>
    </row>
    <row r="56" spans="1:16">
      <c r="D56" s="515"/>
      <c r="E56" s="515"/>
      <c r="F56" s="515"/>
      <c r="G56" s="515"/>
      <c r="H56" s="515"/>
      <c r="I56" s="515"/>
      <c r="J56" s="515"/>
      <c r="K56" s="515"/>
      <c r="L56" s="515"/>
      <c r="M56" s="515"/>
      <c r="N56" s="100"/>
      <c r="O56" s="100"/>
      <c r="P56" s="515"/>
    </row>
    <row r="57" spans="1:16">
      <c r="D57" s="515"/>
      <c r="E57" s="515"/>
      <c r="F57" s="515"/>
      <c r="G57" s="515"/>
      <c r="H57" s="515"/>
      <c r="I57" s="515"/>
      <c r="J57" s="515"/>
      <c r="K57" s="515"/>
      <c r="L57" s="515"/>
      <c r="M57" s="515"/>
      <c r="N57" s="515"/>
      <c r="O57" s="515"/>
      <c r="P57" s="515"/>
    </row>
    <row r="58" spans="1:16">
      <c r="D58" s="515"/>
      <c r="E58" s="515"/>
      <c r="F58" s="515"/>
      <c r="G58" s="515"/>
      <c r="H58" s="515"/>
      <c r="I58" s="515"/>
      <c r="J58" s="515"/>
      <c r="K58" s="515"/>
      <c r="L58" s="515"/>
      <c r="M58" s="515"/>
      <c r="N58" s="515"/>
      <c r="O58" s="515"/>
      <c r="P58" s="515"/>
    </row>
  </sheetData>
  <mergeCells count="8">
    <mergeCell ref="D11:H11"/>
    <mergeCell ref="N11:P11"/>
    <mergeCell ref="D10:H10"/>
    <mergeCell ref="A1:P1"/>
    <mergeCell ref="A2:P2"/>
    <mergeCell ref="A3:P3"/>
    <mergeCell ref="A4:P4"/>
    <mergeCell ref="A5:P5"/>
  </mergeCells>
  <phoneticPr fontId="21" type="noConversion"/>
  <printOptions horizontalCentered="1"/>
  <pageMargins left="0.5" right="0.5" top="0.66" bottom="0.5" header="0.5" footer="0.5"/>
  <pageSetup scale="70" orientation="landscape" verticalDpi="300" r:id="rId1"/>
  <headerFooter alignWithMargins="0">
    <oddFooter>&amp;RSchedule &amp;A
Page &amp;P of &amp;N</oddFooter>
  </headerFooter>
  <ignoredErrors>
    <ignoredError sqref="O36" formula="1"/>
  </ignoredError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52">
    <pageSetUpPr fitToPage="1"/>
  </sheetPr>
  <dimension ref="A1:V74"/>
  <sheetViews>
    <sheetView view="pageBreakPreview" zoomScale="80" zoomScaleNormal="100" zoomScaleSheetLayoutView="80" workbookViewId="0">
      <selection sqref="A1:R1"/>
    </sheetView>
  </sheetViews>
  <sheetFormatPr defaultColWidth="7.109375" defaultRowHeight="15"/>
  <cols>
    <col min="1" max="1" width="4.44140625" style="95" customWidth="1"/>
    <col min="2" max="2" width="0" style="95" hidden="1" customWidth="1"/>
    <col min="3" max="3" width="12.33203125" style="95" customWidth="1"/>
    <col min="4" max="4" width="7.109375" style="95"/>
    <col min="5" max="5" width="4.44140625" style="95" customWidth="1"/>
    <col min="6" max="6" width="1.44140625" style="95" customWidth="1"/>
    <col min="7" max="7" width="13.33203125" style="95" bestFit="1" customWidth="1"/>
    <col min="8" max="8" width="12.88671875" style="95" customWidth="1"/>
    <col min="9" max="10" width="13.33203125" style="95" bestFit="1" customWidth="1"/>
    <col min="11" max="11" width="13.33203125" style="95" customWidth="1"/>
    <col min="12" max="12" width="1.44140625" style="95" customWidth="1"/>
    <col min="13" max="13" width="13.109375" style="95" bestFit="1" customWidth="1"/>
    <col min="14" max="14" width="1.44140625" style="95" customWidth="1"/>
    <col min="15" max="15" width="13.109375" style="95" bestFit="1" customWidth="1"/>
    <col min="16" max="16" width="1.44140625" style="95" customWidth="1"/>
    <col min="17" max="17" width="13.44140625" style="95" customWidth="1"/>
    <col min="18" max="19" width="13.5546875" style="95" customWidth="1"/>
    <col min="20" max="20" width="9.33203125" style="95" customWidth="1"/>
    <col min="21" max="22" width="11.44140625" style="95" bestFit="1" customWidth="1"/>
    <col min="23" max="16384" width="7.109375" style="95"/>
  </cols>
  <sheetData>
    <row r="1" spans="1:21">
      <c r="A1" s="1270" t="str">
        <f>'Table of Contents'!A1:C1</f>
        <v>Atmos Energy Corporation, Kentucky/Mid-States Division</v>
      </c>
      <c r="B1" s="1270"/>
      <c r="C1" s="1270"/>
      <c r="D1" s="1270"/>
      <c r="E1" s="1270"/>
      <c r="F1" s="1270"/>
      <c r="G1" s="1270"/>
      <c r="H1" s="1270"/>
      <c r="I1" s="1270"/>
      <c r="J1" s="1270"/>
      <c r="K1" s="1270"/>
      <c r="L1" s="1270"/>
      <c r="M1" s="1270"/>
      <c r="N1" s="1270"/>
      <c r="O1" s="1270"/>
      <c r="P1" s="1270"/>
      <c r="Q1" s="1270"/>
      <c r="R1" s="1270"/>
      <c r="S1" s="619"/>
    </row>
    <row r="2" spans="1:21">
      <c r="A2" s="1270" t="str">
        <f>'Table of Contents'!A2:C2</f>
        <v>Kentucky Jurisdiction Case No. 2021-00214</v>
      </c>
      <c r="B2" s="1270"/>
      <c r="C2" s="1270"/>
      <c r="D2" s="1270"/>
      <c r="E2" s="1270"/>
      <c r="F2" s="1270"/>
      <c r="G2" s="1270"/>
      <c r="H2" s="1270"/>
      <c r="I2" s="1270"/>
      <c r="J2" s="1270"/>
      <c r="K2" s="1270"/>
      <c r="L2" s="1270"/>
      <c r="M2" s="1270"/>
      <c r="N2" s="1270"/>
      <c r="O2" s="1270"/>
      <c r="P2" s="1270"/>
      <c r="Q2" s="1270"/>
      <c r="R2" s="1270"/>
      <c r="S2" s="619"/>
    </row>
    <row r="3" spans="1:21">
      <c r="A3" s="1270" t="s">
        <v>311</v>
      </c>
      <c r="B3" s="1270"/>
      <c r="C3" s="1270"/>
      <c r="D3" s="1270"/>
      <c r="E3" s="1270"/>
      <c r="F3" s="1270"/>
      <c r="G3" s="1270"/>
      <c r="H3" s="1270"/>
      <c r="I3" s="1270"/>
      <c r="J3" s="1270"/>
      <c r="K3" s="1270"/>
      <c r="L3" s="1270"/>
      <c r="M3" s="1270"/>
      <c r="N3" s="1270"/>
      <c r="O3" s="1270"/>
      <c r="P3" s="1270"/>
      <c r="Q3" s="1270"/>
      <c r="R3" s="1270"/>
      <c r="S3" s="619"/>
    </row>
    <row r="4" spans="1:21">
      <c r="A4" s="1270" t="str">
        <f>'Table of Contents'!A3:C3</f>
        <v>Base Period: Twelve Months Ended September 30, 2021</v>
      </c>
      <c r="B4" s="1270"/>
      <c r="C4" s="1270"/>
      <c r="D4" s="1270"/>
      <c r="E4" s="1270"/>
      <c r="F4" s="1270"/>
      <c r="G4" s="1270"/>
      <c r="H4" s="1270"/>
      <c r="I4" s="1270"/>
      <c r="J4" s="1270"/>
      <c r="K4" s="1270"/>
      <c r="L4" s="1270"/>
      <c r="M4" s="1270"/>
      <c r="N4" s="1270"/>
      <c r="O4" s="1270"/>
      <c r="P4" s="1270"/>
      <c r="Q4" s="1270"/>
      <c r="R4" s="1270"/>
      <c r="S4" s="619"/>
    </row>
    <row r="5" spans="1:21">
      <c r="A5" s="1270" t="str">
        <f>'Table of Contents'!A4:C4</f>
        <v>Forecasted Test Period: Twelve Months Ended December 31, 2022</v>
      </c>
      <c r="B5" s="1270"/>
      <c r="C5" s="1270"/>
      <c r="D5" s="1270"/>
      <c r="E5" s="1270"/>
      <c r="F5" s="1270"/>
      <c r="G5" s="1270"/>
      <c r="H5" s="1270"/>
      <c r="I5" s="1270"/>
      <c r="J5" s="1270"/>
      <c r="K5" s="1270"/>
      <c r="L5" s="1270"/>
      <c r="M5" s="1270"/>
      <c r="N5" s="1270"/>
      <c r="O5" s="1270"/>
      <c r="P5" s="1270"/>
      <c r="Q5" s="1270"/>
      <c r="R5" s="1270"/>
      <c r="S5" s="619"/>
    </row>
    <row r="6" spans="1:21">
      <c r="T6" s="646"/>
      <c r="U6" s="646"/>
    </row>
    <row r="7" spans="1:21">
      <c r="A7" s="472" t="s">
        <v>675</v>
      </c>
      <c r="S7" s="772" t="s">
        <v>1383</v>
      </c>
      <c r="T7" s="646"/>
      <c r="U7" s="646"/>
    </row>
    <row r="8" spans="1:21">
      <c r="A8" s="472" t="s">
        <v>534</v>
      </c>
      <c r="Q8" s="472"/>
      <c r="S8" s="745" t="s">
        <v>1117</v>
      </c>
      <c r="T8" s="646"/>
      <c r="U8" s="646"/>
    </row>
    <row r="9" spans="1:21">
      <c r="A9" s="773" t="s">
        <v>363</v>
      </c>
      <c r="B9" s="752"/>
      <c r="C9" s="752"/>
      <c r="D9" s="752"/>
      <c r="E9" s="752"/>
      <c r="F9" s="752"/>
      <c r="G9" s="752"/>
      <c r="H9" s="752"/>
      <c r="I9" s="752"/>
      <c r="J9" s="752"/>
      <c r="K9" s="752"/>
      <c r="L9" s="752"/>
      <c r="M9" s="752"/>
      <c r="N9" s="752"/>
      <c r="O9" s="752"/>
      <c r="P9" s="752"/>
      <c r="Q9" s="773"/>
      <c r="R9" s="779"/>
      <c r="S9" s="979" t="s">
        <v>1623</v>
      </c>
      <c r="T9" s="646"/>
      <c r="U9" s="646"/>
    </row>
    <row r="10" spans="1:21">
      <c r="M10" s="112" t="s">
        <v>43</v>
      </c>
      <c r="O10" s="112" t="s">
        <v>42</v>
      </c>
      <c r="P10" s="112"/>
      <c r="T10" s="646"/>
      <c r="U10" s="646"/>
    </row>
    <row r="11" spans="1:21">
      <c r="A11" s="472" t="s">
        <v>92</v>
      </c>
      <c r="G11" s="1302" t="s">
        <v>1142</v>
      </c>
      <c r="H11" s="1302"/>
      <c r="I11" s="1302"/>
      <c r="J11" s="1302"/>
      <c r="K11" s="1302"/>
      <c r="M11" s="112" t="s">
        <v>533</v>
      </c>
      <c r="O11" s="112" t="s">
        <v>533</v>
      </c>
      <c r="P11" s="112"/>
      <c r="Q11" s="1302"/>
      <c r="R11" s="1302"/>
      <c r="S11" s="1302"/>
      <c r="T11" s="646"/>
      <c r="U11" s="646"/>
    </row>
    <row r="12" spans="1:21">
      <c r="A12" s="773" t="s">
        <v>98</v>
      </c>
      <c r="B12" s="752"/>
      <c r="C12" s="527" t="s">
        <v>972</v>
      </c>
      <c r="D12" s="752"/>
      <c r="E12" s="752"/>
      <c r="F12" s="752"/>
      <c r="G12" s="1195">
        <f>I.1!D13</f>
        <v>2016</v>
      </c>
      <c r="H12" s="1195">
        <f>I.1!E13</f>
        <v>2017</v>
      </c>
      <c r="I12" s="1195">
        <f>I.1!F13</f>
        <v>2018</v>
      </c>
      <c r="J12" s="1195">
        <f>I.1!G13</f>
        <v>2019</v>
      </c>
      <c r="K12" s="1195">
        <f>I.1!H13</f>
        <v>2020</v>
      </c>
      <c r="L12" s="788"/>
      <c r="M12" s="786">
        <f>I.1!J13</f>
        <v>44469</v>
      </c>
      <c r="N12" s="787"/>
      <c r="O12" s="786">
        <f>I.1!L13</f>
        <v>44926</v>
      </c>
      <c r="P12" s="789"/>
      <c r="Q12" s="1195">
        <f>I.1!N13</f>
        <v>2023</v>
      </c>
      <c r="R12" s="1195">
        <f>I.1!O13</f>
        <v>2024</v>
      </c>
      <c r="S12" s="1195">
        <f>I.1!P13</f>
        <v>2025</v>
      </c>
      <c r="T12" s="646"/>
      <c r="U12" s="646"/>
    </row>
    <row r="13" spans="1:21">
      <c r="G13" s="112"/>
      <c r="H13" s="112"/>
      <c r="I13" s="112"/>
      <c r="J13" s="112"/>
      <c r="K13" s="112"/>
      <c r="M13" s="112"/>
      <c r="O13" s="112"/>
      <c r="P13" s="112"/>
      <c r="Q13" s="112"/>
      <c r="R13" s="112"/>
      <c r="S13" s="112"/>
      <c r="T13" s="646"/>
      <c r="U13" s="646"/>
    </row>
    <row r="14" spans="1:21">
      <c r="T14" s="646"/>
      <c r="U14" s="646"/>
    </row>
    <row r="15" spans="1:21">
      <c r="A15" s="112" t="s">
        <v>364</v>
      </c>
      <c r="C15" s="472" t="s">
        <v>711</v>
      </c>
      <c r="M15" s="95" t="s">
        <v>321</v>
      </c>
      <c r="T15" s="646"/>
      <c r="U15" s="646"/>
    </row>
    <row r="16" spans="1:21">
      <c r="A16" s="112" t="s">
        <v>366</v>
      </c>
      <c r="C16" s="472" t="s">
        <v>129</v>
      </c>
      <c r="G16" s="275">
        <f>SUM('[36]gas rev'!D12:D13)</f>
        <v>85596831.810000017</v>
      </c>
      <c r="H16" s="275">
        <f>SUM('[36]gas rev'!E12:E13)</f>
        <v>94138421.609999985</v>
      </c>
      <c r="I16" s="275">
        <f>SUM('[36]gas rev'!F12:F13)</f>
        <v>102705470.96000001</v>
      </c>
      <c r="J16" s="275">
        <f>SUM('[36]gas rev'!G12:G13)</f>
        <v>97529079.299999997</v>
      </c>
      <c r="K16" s="275">
        <f>SUM('[36]gas rev'!H12:H13)</f>
        <v>88021107.090000004</v>
      </c>
      <c r="M16" s="275">
        <f>'C.2.1 B'!D15+'C.2.1 B'!D16</f>
        <v>95747266.152966991</v>
      </c>
      <c r="O16" s="275">
        <f>'C.2.1 F'!D15</f>
        <v>100196511.94965912</v>
      </c>
      <c r="Q16" s="275">
        <f>'[9]Summary of Revenue'!AO11</f>
        <v>99877929.798762828</v>
      </c>
      <c r="R16" s="275">
        <f>'[9]Summary of Revenue'!AP11</f>
        <v>99645930.625346795</v>
      </c>
      <c r="S16" s="275">
        <f>'[9]Summary of Revenue'!AQ11</f>
        <v>99924437.526092067</v>
      </c>
      <c r="T16" s="553"/>
      <c r="U16" s="646"/>
    </row>
    <row r="17" spans="1:22">
      <c r="A17" s="112" t="s">
        <v>368</v>
      </c>
      <c r="C17" s="472" t="s">
        <v>130</v>
      </c>
      <c r="D17" s="112"/>
      <c r="G17" s="100">
        <f>'[36]gas rev'!D14</f>
        <v>34032004.469999999</v>
      </c>
      <c r="H17" s="100">
        <f>'[36]gas rev'!E14</f>
        <v>38222731.340000004</v>
      </c>
      <c r="I17" s="100">
        <f>'[36]gas rev'!F14</f>
        <v>44941378.350000001</v>
      </c>
      <c r="J17" s="100">
        <f>'[36]gas rev'!G14</f>
        <v>43100803.260000005</v>
      </c>
      <c r="K17" s="100">
        <f>'[36]gas rev'!H14</f>
        <v>35926641.920000002</v>
      </c>
      <c r="M17" s="100">
        <f>'C.2.1 B'!D17+'C.2.1 B'!D19</f>
        <v>41385686.253622569</v>
      </c>
      <c r="O17" s="100">
        <f>'C.2.1 F'!D16</f>
        <v>42523546.818897888</v>
      </c>
      <c r="Q17" s="275">
        <f>'[9]Summary of Revenue'!AO12</f>
        <v>42314290.336463265</v>
      </c>
      <c r="R17" s="275">
        <f>'[9]Summary of Revenue'!AP12</f>
        <v>42197437.733505689</v>
      </c>
      <c r="S17" s="275">
        <f>'[9]Summary of Revenue'!AQ12</f>
        <v>42327246.692024782</v>
      </c>
      <c r="T17" s="553"/>
      <c r="U17" s="646"/>
    </row>
    <row r="18" spans="1:22">
      <c r="A18" s="112" t="s">
        <v>369</v>
      </c>
      <c r="C18" s="472" t="s">
        <v>131</v>
      </c>
      <c r="D18" s="112"/>
      <c r="G18" s="100">
        <f>'[36]gas rev'!D15</f>
        <v>4441439.42</v>
      </c>
      <c r="H18" s="100">
        <f>'[36]gas rev'!E15</f>
        <v>6400149.6800000006</v>
      </c>
      <c r="I18" s="100">
        <f>'[36]gas rev'!F15</f>
        <v>6556064.4399999995</v>
      </c>
      <c r="J18" s="100">
        <f>'[36]gas rev'!G15</f>
        <v>9909683.3900000006</v>
      </c>
      <c r="K18" s="100">
        <f>'[36]gas rev'!H15</f>
        <v>4916762.0599999996</v>
      </c>
      <c r="M18" s="100">
        <f>'C.2.1 B'!D18+'C.2.1 B'!D20</f>
        <v>4565301.5970437285</v>
      </c>
      <c r="O18" s="100">
        <f>'C.2.1 F'!D17</f>
        <v>4941524.9316062424</v>
      </c>
      <c r="Q18" s="275">
        <f>'[9]Summary of Revenue'!AO13</f>
        <v>4877577.6879574424</v>
      </c>
      <c r="R18" s="275">
        <f>'[9]Summary of Revenue'!AP13</f>
        <v>4831144.0186616089</v>
      </c>
      <c r="S18" s="275">
        <f>'[9]Summary of Revenue'!AQ13</f>
        <v>4824110.8559931982</v>
      </c>
      <c r="T18" s="553"/>
      <c r="U18" s="646"/>
    </row>
    <row r="19" spans="1:22">
      <c r="A19" s="112" t="s">
        <v>370</v>
      </c>
      <c r="C19" s="472" t="s">
        <v>162</v>
      </c>
      <c r="D19" s="112"/>
      <c r="G19" s="100">
        <f>'[36]gas rev'!D16</f>
        <v>5756387.6699999999</v>
      </c>
      <c r="H19" s="100">
        <f>'[36]gas rev'!E16</f>
        <v>6108524.0199999996</v>
      </c>
      <c r="I19" s="100">
        <f>'[36]gas rev'!F16</f>
        <v>7381197.1900000013</v>
      </c>
      <c r="J19" s="100">
        <f>'[36]gas rev'!G16</f>
        <v>6966724.9199999999</v>
      </c>
      <c r="K19" s="100">
        <f>'[36]gas rev'!H16</f>
        <v>5377005.9000000004</v>
      </c>
      <c r="M19" s="100">
        <f>'C.2.1 B'!D21+'C.2.1 B'!D22</f>
        <v>6062207.1279734848</v>
      </c>
      <c r="O19" s="100">
        <f>'C.2.1 F'!D18</f>
        <v>6412852.0600300189</v>
      </c>
      <c r="Q19" s="275">
        <f>'[9]Summary of Revenue'!AO14</f>
        <v>6355850.4240459632</v>
      </c>
      <c r="R19" s="275">
        <f>'[9]Summary of Revenue'!AP14</f>
        <v>6303227.1719469503</v>
      </c>
      <c r="S19" s="275">
        <f>'[9]Summary of Revenue'!AQ14</f>
        <v>6295454.4449329963</v>
      </c>
      <c r="T19" s="553"/>
      <c r="U19" s="646"/>
    </row>
    <row r="20" spans="1:22">
      <c r="A20" s="112" t="s">
        <v>371</v>
      </c>
      <c r="C20" s="472" t="s">
        <v>84</v>
      </c>
      <c r="G20" s="361"/>
      <c r="H20" s="361"/>
      <c r="I20" s="361"/>
      <c r="J20" s="361"/>
      <c r="K20" s="361"/>
      <c r="M20" s="361"/>
      <c r="N20" s="752"/>
      <c r="O20" s="101"/>
      <c r="Q20" s="101"/>
      <c r="R20" s="101"/>
      <c r="S20" s="101"/>
      <c r="T20" s="553"/>
      <c r="U20" s="646"/>
    </row>
    <row r="21" spans="1:22">
      <c r="G21" s="100"/>
      <c r="H21" s="100"/>
      <c r="I21" s="100"/>
      <c r="J21" s="100"/>
      <c r="K21" s="100"/>
      <c r="M21" s="100"/>
      <c r="O21" s="100"/>
      <c r="Q21" s="100"/>
      <c r="R21" s="100"/>
      <c r="S21" s="100"/>
      <c r="T21" s="553"/>
    </row>
    <row r="22" spans="1:22">
      <c r="A22" s="112" t="s">
        <v>372</v>
      </c>
      <c r="C22" s="472" t="s">
        <v>416</v>
      </c>
      <c r="G22" s="275">
        <f>SUM(G16:G20)</f>
        <v>129826663.37000002</v>
      </c>
      <c r="H22" s="275">
        <f>SUM(H16:H20)</f>
        <v>144869826.65000001</v>
      </c>
      <c r="I22" s="275">
        <f>SUM(I16:I20)</f>
        <v>161584110.94</v>
      </c>
      <c r="J22" s="275">
        <f>SUM(J16:J20)</f>
        <v>157506290.86999997</v>
      </c>
      <c r="K22" s="275">
        <f>SUM(K16:K20)</f>
        <v>134241516.97</v>
      </c>
      <c r="M22" s="275">
        <f>SUM(M16:M20)</f>
        <v>147760461.13160679</v>
      </c>
      <c r="N22" s="310"/>
      <c r="O22" s="275">
        <f>SUM(O16:O20)</f>
        <v>154074435.76019326</v>
      </c>
      <c r="Q22" s="275">
        <f>SUM(Q16:Q20)</f>
        <v>153425648.24722949</v>
      </c>
      <c r="R22" s="275">
        <f>SUM(R16:R20)</f>
        <v>152977739.54946104</v>
      </c>
      <c r="S22" s="275">
        <f>SUM(S16:S20)</f>
        <v>153371249.51904306</v>
      </c>
      <c r="T22" s="553"/>
      <c r="U22" s="646"/>
      <c r="V22" s="646"/>
    </row>
    <row r="23" spans="1:22">
      <c r="G23" s="100"/>
      <c r="H23" s="100"/>
      <c r="I23" s="100"/>
      <c r="J23" s="100"/>
      <c r="K23" s="100"/>
      <c r="M23" s="100"/>
      <c r="O23" s="100"/>
      <c r="Q23" s="100"/>
      <c r="R23" s="100"/>
      <c r="S23" s="100"/>
      <c r="T23" s="553"/>
    </row>
    <row r="24" spans="1:22">
      <c r="A24" s="112">
        <v>8</v>
      </c>
      <c r="C24" s="472" t="s">
        <v>163</v>
      </c>
      <c r="G24" s="100"/>
      <c r="H24" s="100"/>
      <c r="I24" s="100"/>
      <c r="J24" s="100"/>
      <c r="K24" s="100"/>
      <c r="M24" s="100"/>
      <c r="O24" s="100"/>
      <c r="Q24" s="100"/>
      <c r="R24" s="100"/>
      <c r="S24" s="100"/>
      <c r="T24" s="553"/>
      <c r="U24" s="646"/>
    </row>
    <row r="25" spans="1:22">
      <c r="A25" s="112" t="s">
        <v>375</v>
      </c>
      <c r="C25" s="472" t="s">
        <v>129</v>
      </c>
      <c r="D25" s="112" t="s">
        <v>321</v>
      </c>
      <c r="G25" s="307">
        <f>'[36]gas customers'!J28</f>
        <v>156173.75</v>
      </c>
      <c r="H25" s="307">
        <f>'[36]gas customers'!K28</f>
        <v>156811.08333333334</v>
      </c>
      <c r="I25" s="307">
        <f>'[36]gas customers'!L28</f>
        <v>157629</v>
      </c>
      <c r="J25" s="307">
        <f>'[36]gas customers'!M28</f>
        <v>158010.5</v>
      </c>
      <c r="K25" s="307">
        <f>'[36]gas customers'!N28</f>
        <v>159524.5</v>
      </c>
      <c r="M25" s="307">
        <f>'[9]Summary of Stats'!$O$11</f>
        <v>159821.83333333334</v>
      </c>
      <c r="N25" s="498"/>
      <c r="O25" s="307">
        <f>'[9]Summary of Stats'!$AL$11</f>
        <v>160871.83333333334</v>
      </c>
      <c r="Q25" s="307">
        <f>'[9]Summary of Stats'!AO11</f>
        <v>161321.83333333334</v>
      </c>
      <c r="R25" s="307">
        <f>'[9]Summary of Stats'!AP11</f>
        <v>161921.83333333334</v>
      </c>
      <c r="S25" s="307">
        <f>'[9]Summary of Stats'!AQ11</f>
        <v>162521.83333333334</v>
      </c>
      <c r="T25" s="553"/>
      <c r="U25" s="646"/>
    </row>
    <row r="26" spans="1:22">
      <c r="A26" s="112" t="s">
        <v>376</v>
      </c>
      <c r="C26" s="472" t="s">
        <v>130</v>
      </c>
      <c r="D26" s="112"/>
      <c r="G26" s="307">
        <f>'[36]gas customers'!J42</f>
        <v>17353.666666666668</v>
      </c>
      <c r="H26" s="307">
        <f>'[36]gas customers'!K42</f>
        <v>17431.833333333332</v>
      </c>
      <c r="I26" s="307">
        <f>'[36]gas customers'!L42</f>
        <v>17509.916666666668</v>
      </c>
      <c r="J26" s="307">
        <f>'[36]gas customers'!M42</f>
        <v>17719.166666666668</v>
      </c>
      <c r="K26" s="307">
        <f>'[36]gas customers'!N42</f>
        <v>18098.416666666668</v>
      </c>
      <c r="M26" s="307">
        <f>'[9]Summary of Stats'!$O$12</f>
        <v>18098.166666666668</v>
      </c>
      <c r="O26" s="307">
        <f>'[9]Summary of Stats'!$AL$12</f>
        <v>18229.416666666668</v>
      </c>
      <c r="Q26" s="307">
        <f>'[9]Summary of Stats'!AO12</f>
        <v>18285.666666666664</v>
      </c>
      <c r="R26" s="307">
        <f>'[9]Summary of Stats'!AP12</f>
        <v>18360.666666666664</v>
      </c>
      <c r="S26" s="307">
        <f>'[9]Summary of Stats'!AQ12</f>
        <v>18435.666666666664</v>
      </c>
      <c r="T26" s="553"/>
      <c r="U26" s="646"/>
    </row>
    <row r="27" spans="1:22">
      <c r="A27" s="112">
        <v>11</v>
      </c>
      <c r="C27" s="472" t="s">
        <v>131</v>
      </c>
      <c r="D27" s="112"/>
      <c r="G27" s="307">
        <f>'[36]gas customers'!J56</f>
        <v>205.83333333333334</v>
      </c>
      <c r="H27" s="307">
        <f>'[36]gas customers'!K56</f>
        <v>214.08333333333334</v>
      </c>
      <c r="I27" s="307">
        <f>'[36]gas customers'!L56</f>
        <v>212.58333333333334</v>
      </c>
      <c r="J27" s="307">
        <f>'[36]gas customers'!M56</f>
        <v>221.58333333333334</v>
      </c>
      <c r="K27" s="307">
        <f>'[36]gas customers'!N56</f>
        <v>224.08333333333334</v>
      </c>
      <c r="M27" s="307">
        <f>'[9]Summary of Stats'!$O$13</f>
        <v>222.5</v>
      </c>
      <c r="O27" s="307">
        <f>'[9]Summary of Stats'!$AL$13</f>
        <v>222.5</v>
      </c>
      <c r="Q27" s="307">
        <f>'[9]Summary of Stats'!AO13</f>
        <v>222.5</v>
      </c>
      <c r="R27" s="307">
        <f>'[9]Summary of Stats'!AP13</f>
        <v>222.5</v>
      </c>
      <c r="S27" s="307">
        <f>'[9]Summary of Stats'!AQ13</f>
        <v>222.5</v>
      </c>
      <c r="T27" s="553"/>
      <c r="U27" s="646"/>
    </row>
    <row r="28" spans="1:22">
      <c r="A28" s="112">
        <v>12</v>
      </c>
      <c r="C28" s="472" t="s">
        <v>162</v>
      </c>
      <c r="D28" s="112"/>
      <c r="G28" s="307">
        <f>'[36]gas customers'!J70</f>
        <v>1548.5833333333333</v>
      </c>
      <c r="H28" s="307">
        <f>'[36]gas customers'!K70</f>
        <v>1536.75</v>
      </c>
      <c r="I28" s="307">
        <f>'[36]gas customers'!L70</f>
        <v>1541.5833333333333</v>
      </c>
      <c r="J28" s="307">
        <f>'[36]gas customers'!M70</f>
        <v>1536.5833333333333</v>
      </c>
      <c r="K28" s="307">
        <f>'[36]gas customers'!N70</f>
        <v>1533.3333333333333</v>
      </c>
      <c r="M28" s="307">
        <f>'[9]Summary of Stats'!$O$14</f>
        <v>1533.4166666666667</v>
      </c>
      <c r="O28" s="307">
        <f>'[9]Summary of Stats'!$AL$14</f>
        <v>1533.4166666666667</v>
      </c>
      <c r="Q28" s="307">
        <f>'[9]Summary of Stats'!AO14</f>
        <v>1533.4166666666667</v>
      </c>
      <c r="R28" s="307">
        <f>'[9]Summary of Stats'!AP14</f>
        <v>1533.4166666666667</v>
      </c>
      <c r="S28" s="307">
        <f>'[9]Summary of Stats'!AQ14</f>
        <v>1533.4166666666667</v>
      </c>
      <c r="T28" s="553"/>
      <c r="U28" s="646"/>
    </row>
    <row r="29" spans="1:22">
      <c r="A29" s="619" t="s">
        <v>321</v>
      </c>
      <c r="G29" s="100"/>
      <c r="H29" s="100"/>
      <c r="I29" s="100"/>
      <c r="J29" s="100"/>
      <c r="K29" s="100"/>
      <c r="M29" s="100"/>
      <c r="O29" s="100"/>
      <c r="Q29" s="100"/>
      <c r="R29" s="100"/>
      <c r="S29" s="100"/>
      <c r="T29" s="100"/>
    </row>
    <row r="30" spans="1:22">
      <c r="A30" s="619">
        <v>13</v>
      </c>
      <c r="C30" s="472" t="s">
        <v>95</v>
      </c>
      <c r="D30" s="112"/>
      <c r="G30" s="307">
        <f>SUM(G25:G29)</f>
        <v>175281.83333333334</v>
      </c>
      <c r="H30" s="307">
        <f>SUM(H25:H29)</f>
        <v>175993.75000000003</v>
      </c>
      <c r="I30" s="307">
        <f>SUM(I25:I29)</f>
        <v>176893.08333333334</v>
      </c>
      <c r="J30" s="307">
        <f>SUM(J25:J29)</f>
        <v>177487.83333333334</v>
      </c>
      <c r="K30" s="307">
        <f>SUM(K25:K29)</f>
        <v>179380.33333333334</v>
      </c>
      <c r="M30" s="307">
        <f>SUM(M25:M29)</f>
        <v>179675.91666666666</v>
      </c>
      <c r="N30" s="498"/>
      <c r="O30" s="307">
        <f>SUM(O25:O29)</f>
        <v>180857.16666666666</v>
      </c>
      <c r="Q30" s="307">
        <f>SUM(Q25:Q29)</f>
        <v>181363.41666666666</v>
      </c>
      <c r="R30" s="307">
        <f>SUM(R25:R29)</f>
        <v>182038.41666666666</v>
      </c>
      <c r="S30" s="307">
        <f>SUM(S25:S29)</f>
        <v>182713.41666666666</v>
      </c>
      <c r="T30" s="100"/>
    </row>
    <row r="31" spans="1:22">
      <c r="G31" s="100"/>
      <c r="H31" s="100"/>
      <c r="I31" s="100"/>
      <c r="J31" s="100"/>
      <c r="K31" s="100"/>
      <c r="M31" s="100"/>
      <c r="O31" s="100"/>
      <c r="P31" s="100"/>
      <c r="Q31" s="100"/>
      <c r="R31" s="100"/>
      <c r="S31" s="100"/>
      <c r="T31" s="100"/>
    </row>
    <row r="32" spans="1:22">
      <c r="A32" s="112">
        <v>14</v>
      </c>
      <c r="C32" s="472" t="s">
        <v>132</v>
      </c>
      <c r="G32" s="100"/>
      <c r="H32" s="100"/>
      <c r="I32" s="100"/>
      <c r="J32" s="100"/>
      <c r="K32" s="100"/>
      <c r="M32" s="100"/>
      <c r="O32" s="100"/>
      <c r="P32" s="100"/>
      <c r="Q32" s="100"/>
      <c r="R32" s="100"/>
      <c r="S32" s="100"/>
      <c r="T32" s="100"/>
    </row>
    <row r="33" spans="1:20">
      <c r="A33" s="112">
        <v>15</v>
      </c>
      <c r="C33" s="472" t="s">
        <v>129</v>
      </c>
      <c r="G33" s="275">
        <f t="shared" ref="G33:J36" si="0">(G16/G25)</f>
        <v>548.08719013278494</v>
      </c>
      <c r="H33" s="275">
        <f t="shared" si="0"/>
        <v>600.3301527474938</v>
      </c>
      <c r="I33" s="275">
        <f t="shared" si="0"/>
        <v>651.56456591109509</v>
      </c>
      <c r="J33" s="275">
        <f t="shared" si="0"/>
        <v>617.23163523943026</v>
      </c>
      <c r="K33" s="275">
        <f t="shared" ref="K33" si="1">(K16/K25)</f>
        <v>551.77171588063277</v>
      </c>
      <c r="L33" s="310"/>
      <c r="M33" s="275">
        <f>(M16/M25)</f>
        <v>599.08752237418742</v>
      </c>
      <c r="N33" s="310"/>
      <c r="O33" s="275">
        <f>(O16/O25)</f>
        <v>622.83440098583105</v>
      </c>
      <c r="P33" s="464"/>
      <c r="Q33" s="275">
        <f t="shared" ref="Q33:R36" si="2">(Q16/Q25)</f>
        <v>619.12220891011543</v>
      </c>
      <c r="R33" s="275">
        <f t="shared" si="2"/>
        <v>615.39527174334194</v>
      </c>
      <c r="S33" s="275">
        <f t="shared" ref="S33" si="3">(S16/S25)</f>
        <v>614.83700667556707</v>
      </c>
      <c r="T33" s="100"/>
    </row>
    <row r="34" spans="1:20">
      <c r="A34" s="112">
        <v>16</v>
      </c>
      <c r="C34" s="472" t="s">
        <v>130</v>
      </c>
      <c r="G34" s="100">
        <f t="shared" si="0"/>
        <v>1961.0843704500487</v>
      </c>
      <c r="H34" s="100">
        <f t="shared" si="0"/>
        <v>2192.6971540572326</v>
      </c>
      <c r="I34" s="100">
        <f t="shared" si="0"/>
        <v>2566.6243423964515</v>
      </c>
      <c r="J34" s="100">
        <f t="shared" si="0"/>
        <v>2432.4396327893523</v>
      </c>
      <c r="K34" s="100">
        <f t="shared" ref="K34" si="4">(K17/K26)</f>
        <v>1985.0709916613332</v>
      </c>
      <c r="M34" s="100">
        <f>(M17/M26)</f>
        <v>2286.7336242320621</v>
      </c>
      <c r="O34" s="100">
        <f>(O17/O26)</f>
        <v>2332.6882914829721</v>
      </c>
      <c r="P34" s="100"/>
      <c r="Q34" s="100">
        <f t="shared" si="2"/>
        <v>2314.0687789961139</v>
      </c>
      <c r="R34" s="100">
        <f t="shared" si="2"/>
        <v>2298.2519371213298</v>
      </c>
      <c r="S34" s="100">
        <f t="shared" ref="S34" si="5">(S17/S26)</f>
        <v>2295.9433720157372</v>
      </c>
      <c r="T34" s="100"/>
    </row>
    <row r="35" spans="1:20">
      <c r="A35" s="112">
        <v>17</v>
      </c>
      <c r="C35" s="472" t="s">
        <v>131</v>
      </c>
      <c r="G35" s="100">
        <f t="shared" si="0"/>
        <v>21577.843336032387</v>
      </c>
      <c r="H35" s="100">
        <f t="shared" si="0"/>
        <v>29895.599906578438</v>
      </c>
      <c r="I35" s="100">
        <f t="shared" si="0"/>
        <v>30839.973845550761</v>
      </c>
      <c r="J35" s="100">
        <f t="shared" si="0"/>
        <v>44722.151440391128</v>
      </c>
      <c r="K35" s="100">
        <f t="shared" ref="K35" si="6">(K18/K27)</f>
        <v>21941.667802156931</v>
      </c>
      <c r="M35" s="100">
        <f>(M18/M27)</f>
        <v>20518.209424915633</v>
      </c>
      <c r="O35" s="100">
        <f>(O18/O27)</f>
        <v>22209.100816207832</v>
      </c>
      <c r="P35" s="100"/>
      <c r="Q35" s="100">
        <f t="shared" si="2"/>
        <v>21921.697473966033</v>
      </c>
      <c r="R35" s="100">
        <f t="shared" si="2"/>
        <v>21713.006825445435</v>
      </c>
      <c r="S35" s="100">
        <f t="shared" ref="S35" si="7">(S18/S27)</f>
        <v>21681.397105587406</v>
      </c>
      <c r="T35" s="100"/>
    </row>
    <row r="36" spans="1:20">
      <c r="A36" s="112">
        <v>18</v>
      </c>
      <c r="C36" s="472" t="s">
        <v>162</v>
      </c>
      <c r="G36" s="100">
        <f t="shared" si="0"/>
        <v>3717.1959339180971</v>
      </c>
      <c r="H36" s="100">
        <f t="shared" si="0"/>
        <v>3974.9627590694645</v>
      </c>
      <c r="I36" s="100">
        <f t="shared" si="0"/>
        <v>4788.0623968863192</v>
      </c>
      <c r="J36" s="100">
        <f t="shared" si="0"/>
        <v>4533.906341992516</v>
      </c>
      <c r="K36" s="100">
        <f t="shared" ref="K36" si="8">(K19/K28)</f>
        <v>3506.7429782608701</v>
      </c>
      <c r="M36" s="100">
        <f>(M19/M28)</f>
        <v>3953.398485717179</v>
      </c>
      <c r="O36" s="100">
        <f>(O19/O28)</f>
        <v>4182.0675354796058</v>
      </c>
      <c r="P36" s="100"/>
      <c r="Q36" s="100">
        <f t="shared" si="2"/>
        <v>4144.8945757595538</v>
      </c>
      <c r="R36" s="100">
        <f t="shared" si="2"/>
        <v>4110.576928610586</v>
      </c>
      <c r="S36" s="100">
        <f t="shared" ref="S36" si="9">(S19/S28)</f>
        <v>4105.5080343022637</v>
      </c>
      <c r="T36" s="100"/>
    </row>
    <row r="37" spans="1:20">
      <c r="H37" s="100"/>
      <c r="I37" s="100"/>
      <c r="J37" s="100"/>
      <c r="K37" s="100"/>
      <c r="M37" s="100"/>
    </row>
    <row r="38" spans="1:20">
      <c r="A38" s="472"/>
      <c r="C38" s="472" t="s">
        <v>1211</v>
      </c>
      <c r="G38" s="100"/>
      <c r="H38" s="100"/>
      <c r="I38" s="100"/>
      <c r="J38" s="100"/>
      <c r="K38" s="100"/>
      <c r="M38" s="100"/>
      <c r="O38" s="100"/>
      <c r="P38" s="100"/>
      <c r="Q38" s="100"/>
      <c r="R38" s="100"/>
      <c r="S38" s="100"/>
      <c r="T38" s="100"/>
    </row>
    <row r="39" spans="1:20">
      <c r="C39" s="472"/>
      <c r="G39" s="100"/>
      <c r="H39" s="100"/>
      <c r="I39" s="100"/>
      <c r="J39" s="100"/>
      <c r="K39" s="100"/>
      <c r="M39" s="100"/>
      <c r="O39" s="100"/>
      <c r="P39" s="100"/>
      <c r="Q39" s="100"/>
      <c r="R39" s="100"/>
      <c r="S39" s="100"/>
      <c r="T39" s="100"/>
    </row>
    <row r="40" spans="1:20">
      <c r="R40" s="100"/>
      <c r="S40" s="100"/>
      <c r="T40" s="100"/>
    </row>
    <row r="42" spans="1:20">
      <c r="C42" s="95" t="s">
        <v>1599</v>
      </c>
      <c r="R42" s="100"/>
      <c r="S42" s="100"/>
      <c r="T42" s="100"/>
    </row>
    <row r="43" spans="1:20">
      <c r="C43" s="95" t="s">
        <v>1600</v>
      </c>
      <c r="R43" s="100"/>
      <c r="S43" s="100"/>
      <c r="T43" s="100"/>
    </row>
    <row r="44" spans="1:20">
      <c r="C44" s="95" t="s">
        <v>1591</v>
      </c>
    </row>
    <row r="71" spans="9:11">
      <c r="I71" s="100"/>
      <c r="J71" s="100"/>
      <c r="K71" s="100"/>
    </row>
    <row r="72" spans="9:11">
      <c r="I72" s="100"/>
      <c r="J72" s="100"/>
      <c r="K72" s="100"/>
    </row>
    <row r="73" spans="9:11">
      <c r="I73" s="100"/>
      <c r="J73" s="100"/>
      <c r="K73" s="100"/>
    </row>
    <row r="74" spans="9:11">
      <c r="I74" s="100"/>
      <c r="J74" s="100"/>
      <c r="K74" s="100"/>
    </row>
  </sheetData>
  <mergeCells count="7">
    <mergeCell ref="G11:K11"/>
    <mergeCell ref="Q11:S11"/>
    <mergeCell ref="A1:R1"/>
    <mergeCell ref="A2:R2"/>
    <mergeCell ref="A4:R4"/>
    <mergeCell ref="A5:R5"/>
    <mergeCell ref="A3:R3"/>
  </mergeCells>
  <phoneticPr fontId="21" type="noConversion"/>
  <pageMargins left="0.5" right="0.5" top="0.75" bottom="0.5" header="0.5" footer="0.5"/>
  <pageSetup scale="64" orientation="landscape" verticalDpi="300" r:id="rId1"/>
  <headerFooter alignWithMargins="0">
    <oddFooter>&amp;RSchedule &amp;A
Page &amp;P of &amp;N</oddFooter>
  </headerFooter>
  <ignoredErrors>
    <ignoredError sqref="G16 H16:K16" formulaRange="1"/>
  </ignoredError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54">
    <pageSetUpPr fitToPage="1"/>
  </sheetPr>
  <dimension ref="A1:T74"/>
  <sheetViews>
    <sheetView view="pageBreakPreview" zoomScale="80" zoomScaleNormal="100" zoomScaleSheetLayoutView="80" workbookViewId="0">
      <selection sqref="A1:R1"/>
    </sheetView>
  </sheetViews>
  <sheetFormatPr defaultColWidth="7.109375" defaultRowHeight="15"/>
  <cols>
    <col min="1" max="1" width="4" style="88" customWidth="1"/>
    <col min="2" max="2" width="0" style="88" hidden="1" customWidth="1"/>
    <col min="3" max="3" width="16.44140625" style="88" customWidth="1"/>
    <col min="4" max="4" width="5" style="88" customWidth="1"/>
    <col min="5" max="5" width="3.21875" style="88" customWidth="1"/>
    <col min="6" max="6" width="1.44140625" style="88" customWidth="1"/>
    <col min="7" max="8" width="11.44140625" style="88" customWidth="1"/>
    <col min="9" max="9" width="12.88671875" style="88" customWidth="1"/>
    <col min="10" max="11" width="11.44140625" style="88" customWidth="1"/>
    <col min="12" max="12" width="1.44140625" style="88" customWidth="1"/>
    <col min="13" max="13" width="12.109375" style="88" customWidth="1"/>
    <col min="14" max="14" width="1.44140625" style="88" customWidth="1"/>
    <col min="15" max="15" width="12.88671875" style="88" customWidth="1"/>
    <col min="16" max="16" width="1.5546875" style="88" customWidth="1"/>
    <col min="17" max="17" width="12.33203125" style="88" customWidth="1"/>
    <col min="18" max="19" width="12.88671875" style="88" customWidth="1"/>
    <col min="20" max="20" width="9.33203125" style="88" customWidth="1"/>
    <col min="21" max="16384" width="7.109375" style="88"/>
  </cols>
  <sheetData>
    <row r="1" spans="1:20">
      <c r="A1" s="1273" t="str">
        <f>'Table of Contents'!A1:C1</f>
        <v>Atmos Energy Corporation, Kentucky/Mid-States Division</v>
      </c>
      <c r="B1" s="1273"/>
      <c r="C1" s="1273"/>
      <c r="D1" s="1273"/>
      <c r="E1" s="1273"/>
      <c r="F1" s="1273"/>
      <c r="G1" s="1273"/>
      <c r="H1" s="1273"/>
      <c r="I1" s="1273"/>
      <c r="J1" s="1273"/>
      <c r="K1" s="1273"/>
      <c r="L1" s="1273"/>
      <c r="M1" s="1273"/>
      <c r="N1" s="1273"/>
      <c r="O1" s="1273"/>
      <c r="P1" s="1273"/>
      <c r="Q1" s="1273"/>
      <c r="R1" s="1273"/>
      <c r="S1" s="685"/>
    </row>
    <row r="2" spans="1:20">
      <c r="A2" s="1273" t="str">
        <f>'Table of Contents'!A2:C2</f>
        <v>Kentucky Jurisdiction Case No. 2021-00214</v>
      </c>
      <c r="B2" s="1273"/>
      <c r="C2" s="1273"/>
      <c r="D2" s="1273"/>
      <c r="E2" s="1273"/>
      <c r="F2" s="1273"/>
      <c r="G2" s="1273"/>
      <c r="H2" s="1273"/>
      <c r="I2" s="1273"/>
      <c r="J2" s="1273"/>
      <c r="K2" s="1273"/>
      <c r="L2" s="1273"/>
      <c r="M2" s="1273"/>
      <c r="N2" s="1273"/>
      <c r="O2" s="1273"/>
      <c r="P2" s="1273"/>
      <c r="Q2" s="1273"/>
      <c r="R2" s="1273"/>
      <c r="S2" s="685"/>
    </row>
    <row r="3" spans="1:20">
      <c r="A3" s="1273" t="s">
        <v>1116</v>
      </c>
      <c r="B3" s="1273"/>
      <c r="C3" s="1273"/>
      <c r="D3" s="1273"/>
      <c r="E3" s="1273"/>
      <c r="F3" s="1273"/>
      <c r="G3" s="1273"/>
      <c r="H3" s="1273"/>
      <c r="I3" s="1273"/>
      <c r="J3" s="1273"/>
      <c r="K3" s="1273"/>
      <c r="L3" s="1273"/>
      <c r="M3" s="1273"/>
      <c r="N3" s="1273"/>
      <c r="O3" s="1273"/>
      <c r="P3" s="1273"/>
      <c r="Q3" s="1273"/>
      <c r="R3" s="1273"/>
      <c r="S3" s="685"/>
    </row>
    <row r="4" spans="1:20">
      <c r="A4" s="1273" t="str">
        <f>'Table of Contents'!A3:C3</f>
        <v>Base Period: Twelve Months Ended September 30, 2021</v>
      </c>
      <c r="B4" s="1273"/>
      <c r="C4" s="1273"/>
      <c r="D4" s="1273"/>
      <c r="E4" s="1273"/>
      <c r="F4" s="1273"/>
      <c r="G4" s="1273"/>
      <c r="H4" s="1273"/>
      <c r="I4" s="1273"/>
      <c r="J4" s="1273"/>
      <c r="K4" s="1273"/>
      <c r="L4" s="1273"/>
      <c r="M4" s="1273"/>
      <c r="N4" s="1273"/>
      <c r="O4" s="1273"/>
      <c r="P4" s="1273"/>
      <c r="Q4" s="1273"/>
      <c r="R4" s="1273"/>
      <c r="S4" s="685"/>
    </row>
    <row r="5" spans="1:20">
      <c r="A5" s="1273" t="str">
        <f>'Table of Contents'!A4:C4</f>
        <v>Forecasted Test Period: Twelve Months Ended December 31, 2022</v>
      </c>
      <c r="B5" s="1273"/>
      <c r="C5" s="1273"/>
      <c r="D5" s="1273"/>
      <c r="E5" s="1273"/>
      <c r="F5" s="1273"/>
      <c r="G5" s="1273"/>
      <c r="H5" s="1273"/>
      <c r="I5" s="1273"/>
      <c r="J5" s="1273"/>
      <c r="K5" s="1273"/>
      <c r="L5" s="1273"/>
      <c r="M5" s="1273"/>
      <c r="N5" s="1273"/>
      <c r="O5" s="1273"/>
      <c r="P5" s="1273"/>
      <c r="Q5" s="1273"/>
      <c r="R5" s="1273"/>
      <c r="S5" s="685"/>
    </row>
    <row r="7" spans="1:20">
      <c r="A7" s="561" t="s">
        <v>675</v>
      </c>
      <c r="S7" s="481" t="s">
        <v>1384</v>
      </c>
    </row>
    <row r="8" spans="1:20">
      <c r="A8" s="561" t="s">
        <v>534</v>
      </c>
      <c r="S8" s="980" t="s">
        <v>1117</v>
      </c>
    </row>
    <row r="9" spans="1:20">
      <c r="A9" s="790" t="s">
        <v>1114</v>
      </c>
      <c r="B9" s="519"/>
      <c r="C9" s="519"/>
      <c r="D9" s="519"/>
      <c r="E9" s="519"/>
      <c r="F9" s="519"/>
      <c r="G9" s="519"/>
      <c r="H9" s="519"/>
      <c r="I9" s="519"/>
      <c r="J9" s="519"/>
      <c r="K9" s="519"/>
      <c r="L9" s="519"/>
      <c r="M9" s="519"/>
      <c r="N9" s="519"/>
      <c r="O9" s="519"/>
      <c r="P9" s="519"/>
      <c r="Q9" s="519"/>
      <c r="R9" s="791"/>
      <c r="S9" s="1196" t="str">
        <f>I.2!S9</f>
        <v>Witness: Faulk, Densman</v>
      </c>
    </row>
    <row r="10" spans="1:20">
      <c r="M10" s="683" t="s">
        <v>43</v>
      </c>
      <c r="O10" s="683" t="s">
        <v>42</v>
      </c>
      <c r="P10" s="683"/>
    </row>
    <row r="11" spans="1:20">
      <c r="A11" s="561" t="s">
        <v>92</v>
      </c>
      <c r="G11" s="791"/>
      <c r="H11" s="792"/>
      <c r="I11" s="792" t="s">
        <v>1142</v>
      </c>
      <c r="J11" s="793"/>
      <c r="K11" s="793"/>
      <c r="M11" s="683" t="s">
        <v>533</v>
      </c>
      <c r="O11" s="683" t="s">
        <v>533</v>
      </c>
      <c r="P11" s="683"/>
      <c r="Q11" s="1303"/>
      <c r="R11" s="1303"/>
      <c r="S11" s="1303"/>
    </row>
    <row r="12" spans="1:20">
      <c r="A12" s="790" t="s">
        <v>55</v>
      </c>
      <c r="B12" s="519"/>
      <c r="C12" s="794" t="s">
        <v>972</v>
      </c>
      <c r="D12" s="519"/>
      <c r="E12" s="519"/>
      <c r="F12" s="519"/>
      <c r="G12" s="1197">
        <f>I.1!D13</f>
        <v>2016</v>
      </c>
      <c r="H12" s="1197">
        <f>I.1!E13</f>
        <v>2017</v>
      </c>
      <c r="I12" s="1197">
        <f>I.1!F13</f>
        <v>2018</v>
      </c>
      <c r="J12" s="1197">
        <f>I.1!G13</f>
        <v>2019</v>
      </c>
      <c r="K12" s="1197">
        <f>I.1!H13</f>
        <v>2020</v>
      </c>
      <c r="L12" s="795"/>
      <c r="M12" s="1250">
        <f>I.2!M12</f>
        <v>44469</v>
      </c>
      <c r="N12" s="796"/>
      <c r="O12" s="1250">
        <f>I.2!O12</f>
        <v>44926</v>
      </c>
      <c r="P12" s="797"/>
      <c r="Q12" s="1197">
        <f>I.2!Q12</f>
        <v>2023</v>
      </c>
      <c r="R12" s="1197">
        <f>I.2!R12</f>
        <v>2024</v>
      </c>
      <c r="S12" s="1197">
        <f>I.2!S12</f>
        <v>2025</v>
      </c>
    </row>
    <row r="13" spans="1:20">
      <c r="G13" s="683" t="s">
        <v>559</v>
      </c>
      <c r="H13" s="683" t="s">
        <v>559</v>
      </c>
      <c r="I13" s="683" t="s">
        <v>559</v>
      </c>
      <c r="J13" s="683" t="s">
        <v>559</v>
      </c>
      <c r="K13" s="683"/>
      <c r="M13" s="683" t="s">
        <v>559</v>
      </c>
      <c r="O13" s="683" t="s">
        <v>559</v>
      </c>
      <c r="P13" s="683"/>
      <c r="Q13" s="683" t="s">
        <v>559</v>
      </c>
      <c r="R13" s="683" t="s">
        <v>559</v>
      </c>
      <c r="S13" s="683"/>
    </row>
    <row r="15" spans="1:20">
      <c r="A15" s="683">
        <v>1</v>
      </c>
      <c r="C15" s="561" t="s">
        <v>338</v>
      </c>
      <c r="M15" s="88" t="s">
        <v>321</v>
      </c>
      <c r="T15" s="78"/>
    </row>
    <row r="16" spans="1:20">
      <c r="A16" s="683">
        <v>2</v>
      </c>
      <c r="C16" s="561" t="s">
        <v>129</v>
      </c>
      <c r="G16" s="78">
        <f>[36]volumes!E12</f>
        <v>8859272.2200000007</v>
      </c>
      <c r="H16" s="78">
        <f>[36]volumes!F12</f>
        <v>8360876.4699999997</v>
      </c>
      <c r="I16" s="78">
        <f>[36]volumes!G12</f>
        <v>10702974.620000001</v>
      </c>
      <c r="J16" s="78">
        <f>[36]volumes!H12</f>
        <v>9987269.1599999983</v>
      </c>
      <c r="K16" s="78">
        <f>[36]volumes!I12</f>
        <v>9097361.1899999995</v>
      </c>
      <c r="M16" s="78">
        <f>'[9]Summary of Stats'!$O$17</f>
        <v>9963427.6721000001</v>
      </c>
      <c r="O16" s="78">
        <f>'[9]Summary of Stats'!$AL$17</f>
        <v>10018608.234542498</v>
      </c>
      <c r="Q16" s="78">
        <f>'[9]Summary of Stats'!AO17</f>
        <v>10045694.470911331</v>
      </c>
      <c r="R16" s="78">
        <f>'[9]Summary of Stats'!AP17</f>
        <v>10083122.184136437</v>
      </c>
      <c r="S16" s="78">
        <f>'[9]Summary of Stats'!AQ17</f>
        <v>10120502.669161549</v>
      </c>
      <c r="T16" s="79"/>
    </row>
    <row r="17" spans="1:20">
      <c r="A17" s="683">
        <v>3</v>
      </c>
      <c r="C17" s="561" t="s">
        <v>130</v>
      </c>
      <c r="D17" s="683"/>
      <c r="G17" s="78">
        <f>[36]volumes!E13</f>
        <v>4436287.6000000006</v>
      </c>
      <c r="H17" s="78">
        <f>[36]volumes!F13</f>
        <v>4415168.33</v>
      </c>
      <c r="I17" s="78">
        <f>[36]volumes!G13</f>
        <v>5449652.0999999996</v>
      </c>
      <c r="J17" s="78">
        <f>[36]volumes!H13</f>
        <v>5129771.59</v>
      </c>
      <c r="K17" s="78">
        <f>[36]volumes!I13</f>
        <v>4677889.3999999994</v>
      </c>
      <c r="M17" s="78">
        <f>'[9]Summary of Stats'!$O$18</f>
        <v>5034563.0505999997</v>
      </c>
      <c r="O17" s="78">
        <f>'[9]Summary of Stats'!$AL$18</f>
        <v>5066767.6609727554</v>
      </c>
      <c r="Q17" s="78">
        <f>'[9]Summary of Stats'!AO18</f>
        <v>5081983.9622039357</v>
      </c>
      <c r="R17" s="78">
        <f>'[9]Summary of Stats'!AP18</f>
        <v>5102793.2016455093</v>
      </c>
      <c r="S17" s="78">
        <f>'[9]Summary of Stats'!AQ18</f>
        <v>5123607.7071870845</v>
      </c>
      <c r="T17" s="79"/>
    </row>
    <row r="18" spans="1:20">
      <c r="A18" s="683">
        <v>4</v>
      </c>
      <c r="C18" s="561" t="s">
        <v>131</v>
      </c>
      <c r="D18" s="683"/>
      <c r="G18" s="78">
        <f>[36]volumes!E14</f>
        <v>1021717.6900000001</v>
      </c>
      <c r="H18" s="78">
        <f>[36]volumes!F14</f>
        <v>1517001.09</v>
      </c>
      <c r="I18" s="78">
        <f>[36]volumes!G14</f>
        <v>1202134.0099999998</v>
      </c>
      <c r="J18" s="78">
        <f>[36]volumes!H14</f>
        <v>1997153.74</v>
      </c>
      <c r="K18" s="78">
        <f>[36]volumes!I14</f>
        <v>1175061.74</v>
      </c>
      <c r="M18" s="78">
        <f>'[9]Summary of Stats'!$O$19</f>
        <v>894511.35289999982</v>
      </c>
      <c r="O18" s="78">
        <f>'[9]Summary of Stats'!$AL$19</f>
        <v>894511.35289999982</v>
      </c>
      <c r="Q18" s="78">
        <f>'[9]Summary of Stats'!AO19</f>
        <v>894511.35290000006</v>
      </c>
      <c r="R18" s="78">
        <f>'[9]Summary of Stats'!AP19</f>
        <v>894511.35290000006</v>
      </c>
      <c r="S18" s="78">
        <f>'[9]Summary of Stats'!AQ19</f>
        <v>894511.35290000006</v>
      </c>
      <c r="T18" s="79"/>
    </row>
    <row r="19" spans="1:20">
      <c r="A19" s="683">
        <v>5</v>
      </c>
      <c r="C19" s="561" t="s">
        <v>162</v>
      </c>
      <c r="D19" s="683"/>
      <c r="G19" s="78">
        <f>[36]volumes!E15</f>
        <v>896168.19</v>
      </c>
      <c r="H19" s="78">
        <f>[36]volumes!F15</f>
        <v>824971.11999999988</v>
      </c>
      <c r="I19" s="78">
        <f>[36]volumes!G15</f>
        <v>1021093.6199999999</v>
      </c>
      <c r="J19" s="78">
        <f>[36]volumes!H15</f>
        <v>956097.75000000012</v>
      </c>
      <c r="K19" s="78">
        <f>[36]volumes!I15</f>
        <v>838413.99000000011</v>
      </c>
      <c r="M19" s="78">
        <f>'[9]Summary of Stats'!$O$20</f>
        <v>903638.68929999997</v>
      </c>
      <c r="O19" s="78">
        <f>'[9]Summary of Stats'!$AL$20</f>
        <v>903638.68929999985</v>
      </c>
      <c r="Q19" s="78">
        <f>'[9]Summary of Stats'!AO20</f>
        <v>903638.68930000009</v>
      </c>
      <c r="R19" s="78">
        <f>'[9]Summary of Stats'!AP20</f>
        <v>903638.68930000009</v>
      </c>
      <c r="S19" s="78">
        <f>'[9]Summary of Stats'!AQ20</f>
        <v>903638.68930000009</v>
      </c>
      <c r="T19" s="79"/>
    </row>
    <row r="20" spans="1:20">
      <c r="A20" s="683">
        <v>6</v>
      </c>
      <c r="C20" s="561" t="s">
        <v>84</v>
      </c>
      <c r="G20" s="390"/>
      <c r="H20" s="390"/>
      <c r="I20" s="390"/>
      <c r="J20" s="390"/>
      <c r="K20" s="390"/>
      <c r="L20" s="519"/>
      <c r="M20" s="79"/>
      <c r="O20" s="79"/>
      <c r="Q20" s="791"/>
      <c r="R20" s="390"/>
      <c r="S20" s="390"/>
      <c r="T20" s="78"/>
    </row>
    <row r="21" spans="1:20">
      <c r="A21" s="683">
        <v>7</v>
      </c>
      <c r="G21" s="591"/>
      <c r="H21" s="591"/>
      <c r="I21" s="591"/>
      <c r="J21" s="591"/>
      <c r="K21" s="591"/>
      <c r="M21" s="591"/>
      <c r="O21" s="591"/>
      <c r="Q21" s="591"/>
      <c r="R21" s="591"/>
      <c r="S21" s="591"/>
      <c r="T21" s="78"/>
    </row>
    <row r="22" spans="1:20">
      <c r="A22" s="683">
        <v>8</v>
      </c>
      <c r="C22" s="561" t="s">
        <v>416</v>
      </c>
      <c r="G22" s="78">
        <f>SUM(G16:G20)</f>
        <v>15213445.699999999</v>
      </c>
      <c r="H22" s="78">
        <f>SUM(H16:H20)</f>
        <v>15118017.01</v>
      </c>
      <c r="I22" s="78">
        <f>SUM(I16:I20)</f>
        <v>18375854.350000001</v>
      </c>
      <c r="J22" s="78">
        <f>SUM(J16:J20)</f>
        <v>18070292.239999998</v>
      </c>
      <c r="K22" s="78">
        <f>SUM(K16:K20)</f>
        <v>15788726.32</v>
      </c>
      <c r="M22" s="78">
        <f>SUM(M16:M20)</f>
        <v>16796140.764899999</v>
      </c>
      <c r="O22" s="78">
        <f>SUM(O16:O20)</f>
        <v>16883525.937715255</v>
      </c>
      <c r="Q22" s="78">
        <f>SUM(Q16:Q20)</f>
        <v>16925828.475315265</v>
      </c>
      <c r="R22" s="78">
        <f>SUM(R16:R20)</f>
        <v>16984065.427981947</v>
      </c>
      <c r="S22" s="78">
        <f>SUM(S16:S20)</f>
        <v>17042260.418548632</v>
      </c>
      <c r="T22" s="78"/>
    </row>
    <row r="23" spans="1:20">
      <c r="A23" s="683">
        <v>9</v>
      </c>
      <c r="G23" s="78"/>
      <c r="H23" s="78"/>
      <c r="I23" s="78"/>
      <c r="J23" s="78"/>
      <c r="K23" s="78"/>
      <c r="M23" s="78"/>
      <c r="O23" s="78"/>
      <c r="Q23" s="78"/>
      <c r="R23" s="78"/>
      <c r="S23" s="78"/>
      <c r="T23" s="78"/>
    </row>
    <row r="24" spans="1:20">
      <c r="A24" s="683">
        <v>10</v>
      </c>
      <c r="C24" s="561" t="s">
        <v>163</v>
      </c>
      <c r="G24" s="78"/>
      <c r="H24" s="78"/>
      <c r="I24" s="78"/>
      <c r="J24" s="78"/>
      <c r="K24" s="78"/>
      <c r="M24" s="78"/>
      <c r="O24" s="78"/>
      <c r="Q24" s="78"/>
      <c r="R24" s="78"/>
      <c r="S24" s="78"/>
      <c r="T24" s="78"/>
    </row>
    <row r="25" spans="1:20">
      <c r="A25" s="683">
        <v>11</v>
      </c>
      <c r="C25" s="561" t="s">
        <v>129</v>
      </c>
      <c r="D25" s="683" t="s">
        <v>321</v>
      </c>
      <c r="G25" s="78">
        <f>I.2!G25</f>
        <v>156173.75</v>
      </c>
      <c r="H25" s="78">
        <f>I.2!H25</f>
        <v>156811.08333333334</v>
      </c>
      <c r="I25" s="78">
        <f>I.2!I25</f>
        <v>157629</v>
      </c>
      <c r="J25" s="78">
        <f>I.2!J25</f>
        <v>158010.5</v>
      </c>
      <c r="K25" s="78">
        <f>I.2!K25</f>
        <v>159524.5</v>
      </c>
      <c r="M25" s="78">
        <f>I.2!M25</f>
        <v>159821.83333333334</v>
      </c>
      <c r="O25" s="78">
        <f>I.2!O25</f>
        <v>160871.83333333334</v>
      </c>
      <c r="Q25" s="78">
        <f>I.2!Q25</f>
        <v>161321.83333333334</v>
      </c>
      <c r="R25" s="78">
        <f>I.2!R25</f>
        <v>161921.83333333334</v>
      </c>
      <c r="S25" s="78">
        <f>I.2!S25</f>
        <v>162521.83333333334</v>
      </c>
      <c r="T25" s="78"/>
    </row>
    <row r="26" spans="1:20">
      <c r="A26" s="683">
        <v>12</v>
      </c>
      <c r="C26" s="561" t="s">
        <v>130</v>
      </c>
      <c r="D26" s="683"/>
      <c r="G26" s="78">
        <f>I.2!G26</f>
        <v>17353.666666666668</v>
      </c>
      <c r="H26" s="78">
        <f>I.2!H26</f>
        <v>17431.833333333332</v>
      </c>
      <c r="I26" s="78">
        <f>I.2!I26</f>
        <v>17509.916666666668</v>
      </c>
      <c r="J26" s="78">
        <f>I.2!J26</f>
        <v>17719.166666666668</v>
      </c>
      <c r="K26" s="78">
        <f>I.2!K26</f>
        <v>18098.416666666668</v>
      </c>
      <c r="M26" s="78">
        <f>I.2!M26</f>
        <v>18098.166666666668</v>
      </c>
      <c r="O26" s="78">
        <f>I.2!O26</f>
        <v>18229.416666666668</v>
      </c>
      <c r="Q26" s="78">
        <f>I.2!Q26</f>
        <v>18285.666666666664</v>
      </c>
      <c r="R26" s="78">
        <f>I.2!R26</f>
        <v>18360.666666666664</v>
      </c>
      <c r="S26" s="78">
        <f>I.2!S26</f>
        <v>18435.666666666664</v>
      </c>
      <c r="T26" s="78"/>
    </row>
    <row r="27" spans="1:20">
      <c r="A27" s="683">
        <v>13</v>
      </c>
      <c r="C27" s="561" t="s">
        <v>131</v>
      </c>
      <c r="D27" s="683"/>
      <c r="G27" s="78">
        <f>I.2!G27</f>
        <v>205.83333333333334</v>
      </c>
      <c r="H27" s="78">
        <f>I.2!H27</f>
        <v>214.08333333333334</v>
      </c>
      <c r="I27" s="78">
        <f>I.2!I27</f>
        <v>212.58333333333334</v>
      </c>
      <c r="J27" s="78">
        <f>I.2!J27</f>
        <v>221.58333333333334</v>
      </c>
      <c r="K27" s="78">
        <f>I.2!K27</f>
        <v>224.08333333333334</v>
      </c>
      <c r="M27" s="78">
        <f>I.2!M27</f>
        <v>222.5</v>
      </c>
      <c r="O27" s="78">
        <f>I.2!O27</f>
        <v>222.5</v>
      </c>
      <c r="Q27" s="78">
        <f>I.2!Q27</f>
        <v>222.5</v>
      </c>
      <c r="R27" s="78">
        <f>I.2!R27</f>
        <v>222.5</v>
      </c>
      <c r="S27" s="78">
        <f>I.2!S27</f>
        <v>222.5</v>
      </c>
      <c r="T27" s="78"/>
    </row>
    <row r="28" spans="1:20">
      <c r="A28" s="683">
        <v>14</v>
      </c>
      <c r="C28" s="561" t="s">
        <v>162</v>
      </c>
      <c r="D28" s="683"/>
      <c r="G28" s="79">
        <f>I.2!G28</f>
        <v>1548.5833333333333</v>
      </c>
      <c r="H28" s="79">
        <f>I.2!H28</f>
        <v>1536.75</v>
      </c>
      <c r="I28" s="79">
        <f>I.2!I28</f>
        <v>1541.5833333333333</v>
      </c>
      <c r="J28" s="79">
        <f>I.2!J28</f>
        <v>1536.5833333333333</v>
      </c>
      <c r="K28" s="79">
        <f>I.2!K28</f>
        <v>1533.3333333333333</v>
      </c>
      <c r="M28" s="79">
        <f>I.2!M28</f>
        <v>1533.4166666666667</v>
      </c>
      <c r="O28" s="79">
        <f>I.2!O28</f>
        <v>1533.4166666666667</v>
      </c>
      <c r="Q28" s="390">
        <f>I.2!Q28</f>
        <v>1533.4166666666667</v>
      </c>
      <c r="R28" s="390">
        <f>I.2!R28</f>
        <v>1533.4166666666667</v>
      </c>
      <c r="S28" s="390">
        <f>I.2!S28</f>
        <v>1533.4166666666667</v>
      </c>
      <c r="T28" s="78"/>
    </row>
    <row r="29" spans="1:20">
      <c r="A29" s="683">
        <v>15</v>
      </c>
      <c r="G29" s="591"/>
      <c r="H29" s="591"/>
      <c r="I29" s="591"/>
      <c r="J29" s="591"/>
      <c r="K29" s="591"/>
      <c r="M29" s="591"/>
      <c r="O29" s="591"/>
      <c r="Q29" s="591"/>
      <c r="R29" s="591"/>
      <c r="S29" s="591"/>
      <c r="T29" s="78"/>
    </row>
    <row r="30" spans="1:20">
      <c r="A30" s="683">
        <v>16</v>
      </c>
      <c r="C30" s="561" t="s">
        <v>95</v>
      </c>
      <c r="D30" s="683"/>
      <c r="G30" s="78">
        <f>SUM(G25:G29)</f>
        <v>175281.83333333334</v>
      </c>
      <c r="H30" s="78">
        <f>SUM(H25:H29)</f>
        <v>175993.75000000003</v>
      </c>
      <c r="I30" s="78">
        <f>SUM(I25:I29)</f>
        <v>176893.08333333334</v>
      </c>
      <c r="J30" s="78">
        <f>SUM(J25:J29)</f>
        <v>177487.83333333334</v>
      </c>
      <c r="K30" s="78">
        <f>SUM(K25:K29)</f>
        <v>179380.33333333334</v>
      </c>
      <c r="M30" s="78">
        <f>SUM(M25:M29)</f>
        <v>179675.91666666666</v>
      </c>
      <c r="O30" s="78">
        <f>SUM(O25:O29)</f>
        <v>180857.16666666666</v>
      </c>
      <c r="Q30" s="78">
        <f>SUM(Q25:Q29)</f>
        <v>181363.41666666666</v>
      </c>
      <c r="R30" s="78">
        <f>SUM(R25:R29)</f>
        <v>182038.41666666666</v>
      </c>
      <c r="S30" s="78">
        <f>SUM(S25:S29)</f>
        <v>182713.41666666666</v>
      </c>
      <c r="T30" s="78"/>
    </row>
    <row r="31" spans="1:20">
      <c r="A31" s="683">
        <v>17</v>
      </c>
      <c r="G31" s="78"/>
      <c r="H31" s="78"/>
      <c r="I31" s="78"/>
      <c r="J31" s="78"/>
      <c r="K31" s="78"/>
      <c r="M31" s="78"/>
      <c r="O31" s="78"/>
      <c r="Q31" s="78"/>
      <c r="R31" s="78"/>
      <c r="S31" s="78"/>
      <c r="T31" s="78"/>
    </row>
    <row r="32" spans="1:20">
      <c r="A32" s="683">
        <v>18</v>
      </c>
      <c r="C32" s="561" t="s">
        <v>339</v>
      </c>
      <c r="G32" s="78"/>
      <c r="H32" s="78"/>
      <c r="I32" s="78"/>
      <c r="J32" s="78"/>
      <c r="K32" s="78"/>
      <c r="M32" s="78"/>
      <c r="O32" s="78"/>
      <c r="Q32" s="78"/>
      <c r="R32" s="78"/>
      <c r="S32" s="78"/>
      <c r="T32" s="78"/>
    </row>
    <row r="33" spans="1:20">
      <c r="A33" s="683">
        <v>19</v>
      </c>
      <c r="C33" s="561" t="s">
        <v>129</v>
      </c>
      <c r="G33" s="78">
        <f t="shared" ref="G33:J36" si="0">(G16/G25)</f>
        <v>56.727024996198146</v>
      </c>
      <c r="H33" s="78">
        <f t="shared" si="0"/>
        <v>53.318147494889018</v>
      </c>
      <c r="I33" s="78">
        <f t="shared" si="0"/>
        <v>67.899781258524769</v>
      </c>
      <c r="J33" s="78">
        <f t="shared" si="0"/>
        <v>63.20636388088132</v>
      </c>
      <c r="K33" s="78">
        <f t="shared" ref="K33" si="1">(K16/K25)</f>
        <v>57.027987487815345</v>
      </c>
      <c r="M33" s="78">
        <f>(M16/M25)</f>
        <v>62.340842075811501</v>
      </c>
      <c r="O33" s="78">
        <f>(O16/O25)</f>
        <v>62.276956922493149</v>
      </c>
      <c r="Q33" s="78">
        <f t="shared" ref="Q33:R36" si="2">(Q16/Q25)</f>
        <v>62.271140014596064</v>
      </c>
      <c r="R33" s="78">
        <f t="shared" si="2"/>
        <v>62.271541623292123</v>
      </c>
      <c r="S33" s="78">
        <f t="shared" ref="S33" si="3">(S16/S25)</f>
        <v>62.271649670628143</v>
      </c>
      <c r="T33" s="78"/>
    </row>
    <row r="34" spans="1:20">
      <c r="A34" s="683">
        <v>20</v>
      </c>
      <c r="C34" s="561" t="s">
        <v>130</v>
      </c>
      <c r="G34" s="78">
        <f t="shared" si="0"/>
        <v>255.63978409942186</v>
      </c>
      <c r="H34" s="78">
        <f t="shared" si="0"/>
        <v>253.2819265519978</v>
      </c>
      <c r="I34" s="78">
        <f t="shared" si="0"/>
        <v>311.23232644358671</v>
      </c>
      <c r="J34" s="78">
        <f t="shared" si="0"/>
        <v>289.50411080280298</v>
      </c>
      <c r="K34" s="78">
        <f t="shared" ref="K34" si="4">(K17/K26)</f>
        <v>258.46953831136238</v>
      </c>
      <c r="M34" s="78">
        <f>(M17/M26)</f>
        <v>278.18083142491412</v>
      </c>
      <c r="O34" s="78">
        <f>(O17/O26)</f>
        <v>277.94458559047445</v>
      </c>
      <c r="Q34" s="78">
        <f t="shared" si="2"/>
        <v>277.92172168751131</v>
      </c>
      <c r="R34" s="78">
        <f t="shared" si="2"/>
        <v>277.91982144687069</v>
      </c>
      <c r="S34" s="78">
        <f t="shared" ref="S34" si="5">(S17/S26)</f>
        <v>277.91822231473873</v>
      </c>
      <c r="T34" s="78"/>
    </row>
    <row r="35" spans="1:20">
      <c r="A35" s="683">
        <v>21</v>
      </c>
      <c r="C35" s="561" t="s">
        <v>131</v>
      </c>
      <c r="G35" s="78">
        <f t="shared" si="0"/>
        <v>4963.8106396761132</v>
      </c>
      <c r="H35" s="78">
        <f t="shared" si="0"/>
        <v>7086.0307824056054</v>
      </c>
      <c r="I35" s="78">
        <f t="shared" si="0"/>
        <v>5654.8836221089759</v>
      </c>
      <c r="J35" s="78">
        <f t="shared" si="0"/>
        <v>9013.1045054531769</v>
      </c>
      <c r="K35" s="78">
        <f t="shared" ref="K35" si="6">(K18/K27)</f>
        <v>5243.860498326515</v>
      </c>
      <c r="M35" s="78">
        <f>(M18/M27)</f>
        <v>4020.2757433707857</v>
      </c>
      <c r="O35" s="78">
        <f>(O18/O27)</f>
        <v>4020.2757433707857</v>
      </c>
      <c r="Q35" s="78">
        <f t="shared" si="2"/>
        <v>4020.2757433707866</v>
      </c>
      <c r="R35" s="78">
        <f t="shared" si="2"/>
        <v>4020.2757433707866</v>
      </c>
      <c r="S35" s="78">
        <f t="shared" ref="S35" si="7">(S18/S27)</f>
        <v>4020.2757433707866</v>
      </c>
      <c r="T35" s="78"/>
    </row>
    <row r="36" spans="1:20">
      <c r="A36" s="683">
        <v>22</v>
      </c>
      <c r="C36" s="561" t="s">
        <v>162</v>
      </c>
      <c r="G36" s="78">
        <f t="shared" si="0"/>
        <v>578.70194694075224</v>
      </c>
      <c r="H36" s="78">
        <f t="shared" si="0"/>
        <v>536.82844965023583</v>
      </c>
      <c r="I36" s="78">
        <f t="shared" si="0"/>
        <v>662.36680036758742</v>
      </c>
      <c r="J36" s="78">
        <f t="shared" si="0"/>
        <v>622.22316828461419</v>
      </c>
      <c r="K36" s="78">
        <f t="shared" ref="K36" si="8">(K19/K28)</f>
        <v>546.79173260869572</v>
      </c>
      <c r="M36" s="78">
        <f>(M19/M28)</f>
        <v>589.29755293734036</v>
      </c>
      <c r="O36" s="78">
        <f>(O19/O28)</f>
        <v>589.29755293734024</v>
      </c>
      <c r="Q36" s="78">
        <f t="shared" si="2"/>
        <v>589.29755293734036</v>
      </c>
      <c r="R36" s="78">
        <f t="shared" si="2"/>
        <v>589.29755293734036</v>
      </c>
      <c r="S36" s="78">
        <f t="shared" ref="S36" si="9">(S19/S28)</f>
        <v>589.29755293734036</v>
      </c>
      <c r="T36" s="78"/>
    </row>
    <row r="37" spans="1:20">
      <c r="H37" s="78"/>
      <c r="I37" s="78"/>
      <c r="J37" s="78"/>
      <c r="K37" s="78"/>
      <c r="M37" s="78"/>
      <c r="T37" s="78"/>
    </row>
    <row r="38" spans="1:20">
      <c r="A38" s="561"/>
      <c r="C38" s="561"/>
      <c r="G38" s="78"/>
      <c r="H38" s="78"/>
      <c r="I38" s="78"/>
      <c r="J38" s="78"/>
      <c r="K38" s="78"/>
      <c r="M38" s="78"/>
      <c r="O38" s="78"/>
      <c r="Q38" s="78"/>
      <c r="R38" s="78"/>
      <c r="S38" s="78"/>
      <c r="T38" s="78"/>
    </row>
    <row r="39" spans="1:20">
      <c r="R39" s="78"/>
      <c r="S39" s="78"/>
      <c r="T39" s="78"/>
    </row>
    <row r="40" spans="1:20">
      <c r="R40" s="78"/>
      <c r="S40" s="78"/>
      <c r="T40" s="78"/>
    </row>
    <row r="42" spans="1:20">
      <c r="R42" s="78"/>
      <c r="S42" s="78"/>
      <c r="T42" s="78"/>
    </row>
    <row r="43" spans="1:20">
      <c r="R43" s="78"/>
      <c r="S43" s="78"/>
      <c r="T43" s="78"/>
    </row>
    <row r="47" spans="1:20">
      <c r="C47" s="88" t="s">
        <v>1605</v>
      </c>
    </row>
    <row r="48" spans="1:20">
      <c r="C48" s="88" t="s">
        <v>1600</v>
      </c>
      <c r="I48" s="78"/>
      <c r="J48" s="78"/>
      <c r="K48" s="78"/>
    </row>
    <row r="49" spans="3:11">
      <c r="C49" s="88" t="s">
        <v>1591</v>
      </c>
      <c r="I49" s="78"/>
      <c r="J49" s="78"/>
      <c r="K49" s="78"/>
    </row>
    <row r="50" spans="3:11">
      <c r="I50" s="78"/>
      <c r="J50" s="78"/>
      <c r="K50" s="78"/>
    </row>
    <row r="51" spans="3:11">
      <c r="I51" s="78"/>
      <c r="J51" s="78"/>
      <c r="K51" s="78"/>
    </row>
    <row r="52" spans="3:11">
      <c r="I52" s="78"/>
      <c r="J52" s="78"/>
      <c r="K52" s="78"/>
    </row>
    <row r="53" spans="3:11">
      <c r="I53" s="78"/>
      <c r="J53" s="78"/>
      <c r="K53" s="78"/>
    </row>
    <row r="54" spans="3:11">
      <c r="I54" s="78"/>
      <c r="J54" s="78"/>
      <c r="K54" s="78"/>
    </row>
    <row r="55" spans="3:11">
      <c r="I55" s="78"/>
      <c r="J55" s="78"/>
      <c r="K55" s="78"/>
    </row>
    <row r="56" spans="3:11">
      <c r="I56" s="78"/>
      <c r="J56" s="78"/>
      <c r="K56" s="78"/>
    </row>
    <row r="57" spans="3:11">
      <c r="I57" s="78"/>
      <c r="J57" s="78"/>
      <c r="K57" s="78"/>
    </row>
    <row r="58" spans="3:11">
      <c r="I58" s="78"/>
      <c r="J58" s="78"/>
      <c r="K58" s="78"/>
    </row>
    <row r="59" spans="3:11">
      <c r="I59" s="78"/>
      <c r="J59" s="78"/>
      <c r="K59" s="78"/>
    </row>
    <row r="60" spans="3:11">
      <c r="I60" s="78"/>
      <c r="J60" s="78"/>
      <c r="K60" s="78"/>
    </row>
    <row r="61" spans="3:11">
      <c r="I61" s="78"/>
      <c r="J61" s="78"/>
      <c r="K61" s="78"/>
    </row>
    <row r="62" spans="3:11">
      <c r="I62" s="78"/>
      <c r="J62" s="78"/>
      <c r="K62" s="78"/>
    </row>
    <row r="63" spans="3:11">
      <c r="I63" s="78"/>
      <c r="J63" s="78"/>
      <c r="K63" s="78"/>
    </row>
    <row r="64" spans="3:11">
      <c r="I64" s="78"/>
      <c r="J64" s="78"/>
      <c r="K64" s="78"/>
    </row>
    <row r="65" spans="9:11">
      <c r="I65" s="78"/>
      <c r="J65" s="78"/>
      <c r="K65" s="78"/>
    </row>
    <row r="66" spans="9:11">
      <c r="I66" s="78"/>
      <c r="J66" s="78"/>
      <c r="K66" s="78"/>
    </row>
    <row r="67" spans="9:11">
      <c r="I67" s="78"/>
      <c r="J67" s="78"/>
      <c r="K67" s="78"/>
    </row>
    <row r="68" spans="9:11">
      <c r="I68" s="78"/>
      <c r="J68" s="78"/>
      <c r="K68" s="78"/>
    </row>
    <row r="69" spans="9:11">
      <c r="I69" s="78"/>
      <c r="J69" s="78"/>
      <c r="K69" s="78"/>
    </row>
    <row r="70" spans="9:11">
      <c r="I70" s="78"/>
      <c r="J70" s="78"/>
      <c r="K70" s="78"/>
    </row>
    <row r="71" spans="9:11">
      <c r="I71" s="78"/>
      <c r="J71" s="78"/>
      <c r="K71" s="78"/>
    </row>
    <row r="72" spans="9:11">
      <c r="I72" s="78"/>
      <c r="J72" s="78"/>
      <c r="K72" s="78"/>
    </row>
    <row r="73" spans="9:11">
      <c r="I73" s="78"/>
      <c r="J73" s="78"/>
      <c r="K73" s="78"/>
    </row>
    <row r="74" spans="9:11">
      <c r="I74" s="78"/>
      <c r="J74" s="78"/>
      <c r="K74" s="78"/>
    </row>
  </sheetData>
  <mergeCells count="6">
    <mergeCell ref="Q11:S11"/>
    <mergeCell ref="A1:R1"/>
    <mergeCell ref="A2:R2"/>
    <mergeCell ref="A3:R3"/>
    <mergeCell ref="A4:R4"/>
    <mergeCell ref="A5:R5"/>
  </mergeCells>
  <phoneticPr fontId="21" type="noConversion"/>
  <pageMargins left="0.5" right="0.5" top="0.75" bottom="0.5" header="0.5" footer="0.5"/>
  <pageSetup scale="68" orientation="landscape" verticalDpi="300" r:id="rId1"/>
  <headerFooter alignWithMargins="0">
    <oddFooter>&amp;RSchedule &amp;A
Page &amp;P of &amp;N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56">
    <pageSetUpPr fitToPage="1"/>
  </sheetPr>
  <dimension ref="A1:V28"/>
  <sheetViews>
    <sheetView view="pageBreakPreview" zoomScale="80" zoomScaleNormal="100" zoomScaleSheetLayoutView="80" workbookViewId="0">
      <selection sqref="A1:M1"/>
    </sheetView>
  </sheetViews>
  <sheetFormatPr defaultColWidth="10.109375" defaultRowHeight="15"/>
  <cols>
    <col min="1" max="1" width="5" style="1" customWidth="1"/>
    <col min="2" max="2" width="4.5546875" style="1" customWidth="1"/>
    <col min="3" max="3" width="16.109375" style="1" customWidth="1"/>
    <col min="4" max="4" width="5" style="1" customWidth="1"/>
    <col min="5" max="5" width="11" style="1" customWidth="1"/>
    <col min="6" max="6" width="5" style="1" customWidth="1"/>
    <col min="7" max="7" width="14.88671875" style="1" customWidth="1"/>
    <col min="8" max="8" width="5" style="1" customWidth="1"/>
    <col min="9" max="9" width="10.109375" style="1"/>
    <col min="10" max="10" width="5" style="1" customWidth="1"/>
    <col min="11" max="11" width="10.109375" style="1"/>
    <col min="12" max="12" width="5" style="1" customWidth="1"/>
    <col min="13" max="13" width="10.109375" style="1"/>
    <col min="14" max="14" width="6.6640625" style="1" customWidth="1"/>
    <col min="15" max="16" width="8.6640625" style="1" bestFit="1" customWidth="1"/>
    <col min="17" max="17" width="7.6640625" style="1" bestFit="1" customWidth="1"/>
    <col min="18" max="18" width="2.44140625" style="1" customWidth="1"/>
    <col min="19" max="19" width="10.109375" style="1"/>
    <col min="20" max="20" width="2.44140625" style="1" customWidth="1"/>
    <col min="21" max="21" width="10.109375" style="1"/>
    <col min="22" max="22" width="6.6640625" style="1" customWidth="1"/>
    <col min="23" max="16384" width="10.109375" style="1"/>
  </cols>
  <sheetData>
    <row r="1" spans="1:22">
      <c r="A1" s="1270" t="str">
        <f>'Table of Contents'!A1:C1</f>
        <v>Atmos Energy Corporation, Kentucky/Mid-States Division</v>
      </c>
      <c r="B1" s="1270"/>
      <c r="C1" s="1270"/>
      <c r="D1" s="1270"/>
      <c r="E1" s="1270"/>
      <c r="F1" s="1270"/>
      <c r="G1" s="1270"/>
      <c r="H1" s="1270"/>
      <c r="I1" s="1270"/>
      <c r="J1" s="1270"/>
      <c r="K1" s="1270"/>
      <c r="L1" s="1270"/>
      <c r="M1" s="1270"/>
    </row>
    <row r="2" spans="1:22">
      <c r="A2" s="1270" t="str">
        <f>'Table of Contents'!A2:C2</f>
        <v>Kentucky Jurisdiction Case No. 2021-00214</v>
      </c>
      <c r="B2" s="1270"/>
      <c r="C2" s="1270"/>
      <c r="D2" s="1270"/>
      <c r="E2" s="1270"/>
      <c r="F2" s="1270"/>
      <c r="G2" s="1270"/>
      <c r="H2" s="1270"/>
      <c r="I2" s="1270"/>
      <c r="J2" s="1270"/>
      <c r="K2" s="1270"/>
      <c r="L2" s="1270"/>
      <c r="M2" s="1270"/>
    </row>
    <row r="3" spans="1:22">
      <c r="A3" s="1271" t="s">
        <v>2</v>
      </c>
      <c r="B3" s="1271"/>
      <c r="C3" s="1271"/>
      <c r="D3" s="1271"/>
      <c r="E3" s="1271"/>
      <c r="F3" s="1271"/>
      <c r="G3" s="1271"/>
      <c r="H3" s="1271"/>
      <c r="I3" s="1271"/>
      <c r="J3" s="1271"/>
      <c r="K3" s="1271"/>
      <c r="L3" s="1271"/>
      <c r="M3" s="1271"/>
    </row>
    <row r="4" spans="1:22">
      <c r="A4" s="1270" t="str">
        <f>'Table of Contents'!A3:C3</f>
        <v>Base Period: Twelve Months Ended September 30, 2021</v>
      </c>
      <c r="B4" s="1270"/>
      <c r="C4" s="1270"/>
      <c r="D4" s="1270"/>
      <c r="E4" s="1270"/>
      <c r="F4" s="1270"/>
      <c r="G4" s="1270"/>
      <c r="H4" s="1270"/>
      <c r="I4" s="1270"/>
      <c r="J4" s="1270"/>
      <c r="K4" s="1270"/>
      <c r="L4" s="1270"/>
      <c r="M4" s="1270"/>
    </row>
    <row r="5" spans="1:22">
      <c r="A5" s="569"/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</row>
    <row r="6" spans="1:22">
      <c r="M6" s="1" t="s">
        <v>1357</v>
      </c>
    </row>
    <row r="7" spans="1:22">
      <c r="A7" s="4" t="s">
        <v>377</v>
      </c>
      <c r="M7" s="413" t="s">
        <v>769</v>
      </c>
    </row>
    <row r="8" spans="1:22">
      <c r="A8" s="60" t="s">
        <v>610</v>
      </c>
      <c r="M8" s="413" t="s">
        <v>845</v>
      </c>
    </row>
    <row r="9" spans="1:22">
      <c r="A9" s="5" t="s">
        <v>363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414" t="s">
        <v>1620</v>
      </c>
    </row>
    <row r="10" spans="1:22">
      <c r="L10" s="15"/>
      <c r="M10" s="15"/>
      <c r="N10" s="15"/>
      <c r="S10" s="15"/>
      <c r="T10" s="15"/>
      <c r="U10" s="15"/>
      <c r="V10" s="15"/>
    </row>
    <row r="11" spans="1:22">
      <c r="A11" s="2" t="s">
        <v>92</v>
      </c>
      <c r="E11" s="2" t="s">
        <v>94</v>
      </c>
      <c r="I11" s="2" t="s">
        <v>102</v>
      </c>
      <c r="M11" s="2" t="s">
        <v>346</v>
      </c>
    </row>
    <row r="12" spans="1:22">
      <c r="A12" s="9" t="s">
        <v>98</v>
      </c>
      <c r="B12" s="6"/>
      <c r="C12" s="5" t="s">
        <v>345</v>
      </c>
      <c r="D12" s="6"/>
      <c r="E12" s="9" t="s">
        <v>100</v>
      </c>
      <c r="F12" s="6"/>
      <c r="G12" s="9" t="s">
        <v>103</v>
      </c>
      <c r="H12" s="6"/>
      <c r="I12" s="9" t="s">
        <v>40</v>
      </c>
      <c r="J12" s="6"/>
      <c r="K12" s="9" t="s">
        <v>1138</v>
      </c>
      <c r="L12" s="6"/>
      <c r="M12" s="9" t="s">
        <v>0</v>
      </c>
    </row>
    <row r="13" spans="1:22">
      <c r="E13" s="2" t="s">
        <v>1065</v>
      </c>
      <c r="G13" s="2" t="s">
        <v>1066</v>
      </c>
      <c r="I13" s="2" t="s">
        <v>1067</v>
      </c>
      <c r="K13" s="2" t="s">
        <v>15</v>
      </c>
      <c r="M13" s="2" t="s">
        <v>37</v>
      </c>
    </row>
    <row r="14" spans="1:22">
      <c r="G14" s="2" t="s">
        <v>618</v>
      </c>
      <c r="I14" s="632" t="s">
        <v>148</v>
      </c>
      <c r="K14" s="2" t="s">
        <v>148</v>
      </c>
      <c r="M14" s="2" t="s">
        <v>148</v>
      </c>
    </row>
    <row r="16" spans="1:22">
      <c r="G16" s="10"/>
      <c r="K16" s="3"/>
      <c r="O16" s="10"/>
      <c r="S16" s="3"/>
    </row>
    <row r="17" spans="1:21" ht="15.75">
      <c r="C17" s="173" t="s">
        <v>1420</v>
      </c>
      <c r="G17" s="10"/>
      <c r="I17" s="11"/>
      <c r="K17" s="3"/>
      <c r="M17" s="3"/>
      <c r="O17" s="10"/>
      <c r="Q17" s="11"/>
      <c r="S17" s="3"/>
      <c r="U17" s="3"/>
    </row>
    <row r="18" spans="1:21">
      <c r="G18" s="10"/>
      <c r="K18" s="3"/>
      <c r="O18" s="10"/>
      <c r="S18" s="3"/>
    </row>
    <row r="19" spans="1:21">
      <c r="A19" s="632">
        <v>6</v>
      </c>
      <c r="C19" s="4" t="s">
        <v>270</v>
      </c>
      <c r="E19" s="19" t="s">
        <v>274</v>
      </c>
      <c r="F19" s="10"/>
      <c r="G19" s="1077">
        <f>+J.1!H17</f>
        <v>21556.707437275982</v>
      </c>
      <c r="H19" s="10"/>
      <c r="I19" s="97">
        <f>+G19/G27</f>
        <v>1.853370997203249E-3</v>
      </c>
      <c r="J19" s="10"/>
      <c r="K19" s="40">
        <f>+J.1!L17</f>
        <v>0.2517316892072915</v>
      </c>
      <c r="L19" s="10"/>
      <c r="M19" s="40">
        <f>ROUND(I19*K19,4)</f>
        <v>5.0000000000000001E-4</v>
      </c>
      <c r="O19" s="10"/>
      <c r="Q19" s="10"/>
      <c r="S19" s="3"/>
      <c r="U19" s="3"/>
    </row>
    <row r="20" spans="1:21">
      <c r="E20" s="10"/>
      <c r="F20" s="10"/>
      <c r="G20" s="10"/>
      <c r="H20" s="10"/>
      <c r="I20" s="10"/>
      <c r="J20" s="10"/>
      <c r="K20" s="40"/>
      <c r="L20" s="10"/>
      <c r="M20" s="40"/>
    </row>
    <row r="21" spans="1:21">
      <c r="A21" s="632">
        <v>7</v>
      </c>
      <c r="C21" s="4" t="s">
        <v>271</v>
      </c>
      <c r="E21" s="19" t="s">
        <v>274</v>
      </c>
      <c r="F21" s="10"/>
      <c r="G21" s="100">
        <f>'J-3 B'!E37*0.001</f>
        <v>4781475.9855000013</v>
      </c>
      <c r="H21" s="10"/>
      <c r="I21" s="97">
        <f>+G21/G27</f>
        <v>0.4110947342554534</v>
      </c>
      <c r="J21" s="10"/>
      <c r="K21" s="40">
        <f>+J.1!L19</f>
        <v>4.1700000000000001E-2</v>
      </c>
      <c r="L21" s="10"/>
      <c r="M21" s="40">
        <f>ROUND(I21*K21,4)</f>
        <v>1.7100000000000001E-2</v>
      </c>
    </row>
    <row r="22" spans="1:21">
      <c r="E22" s="10"/>
      <c r="F22" s="10"/>
      <c r="G22" s="10"/>
      <c r="H22" s="10"/>
      <c r="I22" s="10"/>
      <c r="J22" s="10"/>
      <c r="K22" s="40"/>
      <c r="L22" s="10"/>
      <c r="M22" s="40"/>
    </row>
    <row r="23" spans="1:21">
      <c r="A23" s="632">
        <v>8</v>
      </c>
      <c r="C23" s="4" t="s">
        <v>272</v>
      </c>
      <c r="E23" s="19" t="s">
        <v>275</v>
      </c>
      <c r="F23" s="10"/>
      <c r="G23" s="98">
        <f>+J.1!H23</f>
        <v>0</v>
      </c>
      <c r="H23" s="10"/>
      <c r="I23" s="97">
        <f>+G23/G27</f>
        <v>0</v>
      </c>
      <c r="J23" s="10"/>
      <c r="K23" s="40">
        <f>+J.1!L23</f>
        <v>0</v>
      </c>
      <c r="L23" s="10"/>
      <c r="M23" s="40">
        <f>ROUND(I23*K23,4)</f>
        <v>0</v>
      </c>
    </row>
    <row r="24" spans="1:21">
      <c r="E24" s="10"/>
      <c r="F24" s="10"/>
      <c r="G24" s="10"/>
      <c r="H24" s="10"/>
      <c r="I24" s="10"/>
      <c r="J24" s="10"/>
      <c r="K24" s="40"/>
      <c r="L24" s="10"/>
      <c r="M24" s="40"/>
    </row>
    <row r="25" spans="1:21">
      <c r="A25" s="632">
        <v>9</v>
      </c>
      <c r="C25" s="4" t="s">
        <v>273</v>
      </c>
      <c r="E25" s="10"/>
      <c r="F25" s="10"/>
      <c r="G25" s="1198">
        <f>+J.1!H25</f>
        <v>6828047.9001038456</v>
      </c>
      <c r="H25" s="10"/>
      <c r="I25" s="1199">
        <f>+G25/G27</f>
        <v>0.58705189474734343</v>
      </c>
      <c r="J25" s="10"/>
      <c r="K25" s="40">
        <f>+J.1!L25</f>
        <v>0.10349999999999999</v>
      </c>
      <c r="L25" s="10"/>
      <c r="M25" s="1200">
        <f>ROUND(I25*K25,4)</f>
        <v>6.08E-2</v>
      </c>
    </row>
    <row r="26" spans="1:21">
      <c r="G26" s="10"/>
      <c r="K26" s="3"/>
    </row>
    <row r="27" spans="1:21" ht="15.75" thickBot="1">
      <c r="A27" s="2">
        <v>10</v>
      </c>
      <c r="C27" s="4" t="s">
        <v>397</v>
      </c>
      <c r="G27" s="1082">
        <f>SUM(G19:G25)</f>
        <v>11631080.593041122</v>
      </c>
      <c r="I27" s="1201">
        <f>SUM(I19:I25)</f>
        <v>1</v>
      </c>
      <c r="K27" s="11"/>
      <c r="M27" s="1202">
        <f>(+M19+M21+M23+M25)</f>
        <v>7.8399999999999997E-2</v>
      </c>
    </row>
    <row r="28" spans="1:21" ht="15.75" thickTop="1"/>
  </sheetData>
  <mergeCells count="4">
    <mergeCell ref="A1:M1"/>
    <mergeCell ref="A2:M2"/>
    <mergeCell ref="A3:M3"/>
    <mergeCell ref="A4:M4"/>
  </mergeCells>
  <phoneticPr fontId="21" type="noConversion"/>
  <printOptions horizontalCentered="1"/>
  <pageMargins left="0.67" right="0.75" top="0.75" bottom="1.26" header="0.5" footer="0.5"/>
  <pageSetup scale="95" orientation="landscape" verticalDpi="300" r:id="rId1"/>
  <headerFooter alignWithMargins="0">
    <oddFooter>&amp;RSchedule &amp;A
Page &amp;P of &amp;N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136">
    <pageSetUpPr fitToPage="1"/>
  </sheetPr>
  <dimension ref="A1:X62"/>
  <sheetViews>
    <sheetView view="pageBreakPreview" zoomScale="80" zoomScaleNormal="100" zoomScaleSheetLayoutView="80" workbookViewId="0">
      <selection sqref="A1:V1"/>
    </sheetView>
  </sheetViews>
  <sheetFormatPr defaultColWidth="10.109375" defaultRowHeight="15"/>
  <cols>
    <col min="1" max="1" width="3.77734375" style="95" customWidth="1"/>
    <col min="2" max="2" width="2.44140625" style="95" customWidth="1"/>
    <col min="3" max="3" width="13" style="95" customWidth="1"/>
    <col min="4" max="4" width="2.109375" style="95" customWidth="1"/>
    <col min="5" max="5" width="2.44140625" style="95" customWidth="1"/>
    <col min="6" max="6" width="6.77734375" style="95" customWidth="1"/>
    <col min="7" max="7" width="2.44140625" style="95" customWidth="1"/>
    <col min="8" max="8" width="14" style="95" customWidth="1"/>
    <col min="9" max="9" width="2.44140625" style="95" customWidth="1"/>
    <col min="10" max="10" width="8.33203125" style="95" customWidth="1"/>
    <col min="11" max="11" width="2.44140625" style="95" customWidth="1"/>
    <col min="12" max="12" width="8" style="95" customWidth="1"/>
    <col min="13" max="13" width="2.44140625" style="95" customWidth="1"/>
    <col min="14" max="14" width="8.6640625" style="95" customWidth="1"/>
    <col min="15" max="15" width="2.44140625" style="95" customWidth="1"/>
    <col min="16" max="16" width="13.6640625" style="95" customWidth="1"/>
    <col min="17" max="17" width="2.44140625" style="95" customWidth="1"/>
    <col min="18" max="18" width="11.33203125" style="95" customWidth="1"/>
    <col min="19" max="19" width="1.88671875" style="95" customWidth="1"/>
    <col min="20" max="20" width="9.33203125" style="95" customWidth="1"/>
    <col min="21" max="21" width="2.44140625" style="95" customWidth="1"/>
    <col min="22" max="22" width="8.44140625" style="95" customWidth="1"/>
    <col min="23" max="23" width="6.77734375" style="95" bestFit="1" customWidth="1"/>
    <col min="24" max="24" width="9.44140625" style="95" bestFit="1" customWidth="1"/>
    <col min="25" max="16384" width="10.109375" style="95"/>
  </cols>
  <sheetData>
    <row r="1" spans="1:23">
      <c r="A1" s="1270" t="str">
        <f>'Table of Contents'!A1:C1</f>
        <v>Atmos Energy Corporation, Kentucky/Mid-States Division</v>
      </c>
      <c r="B1" s="1270"/>
      <c r="C1" s="1270"/>
      <c r="D1" s="1270"/>
      <c r="E1" s="1270"/>
      <c r="F1" s="1270"/>
      <c r="G1" s="1270"/>
      <c r="H1" s="1270"/>
      <c r="I1" s="1270"/>
      <c r="J1" s="1270"/>
      <c r="K1" s="1270"/>
      <c r="L1" s="1270"/>
      <c r="M1" s="1270"/>
      <c r="N1" s="1270"/>
      <c r="O1" s="1270"/>
      <c r="P1" s="1270"/>
      <c r="Q1" s="1270"/>
      <c r="R1" s="1270"/>
      <c r="S1" s="1270"/>
      <c r="T1" s="1270"/>
      <c r="U1" s="1270"/>
      <c r="V1" s="1270"/>
    </row>
    <row r="2" spans="1:23">
      <c r="A2" s="1270" t="str">
        <f>'Table of Contents'!A2:C2</f>
        <v>Kentucky Jurisdiction Case No. 2021-00214</v>
      </c>
      <c r="B2" s="1270"/>
      <c r="C2" s="1270"/>
      <c r="D2" s="1270"/>
      <c r="E2" s="1270"/>
      <c r="F2" s="1270"/>
      <c r="G2" s="1270"/>
      <c r="H2" s="1270"/>
      <c r="I2" s="1270"/>
      <c r="J2" s="1270"/>
      <c r="K2" s="1270"/>
      <c r="L2" s="1270"/>
      <c r="M2" s="1270"/>
      <c r="N2" s="1270"/>
      <c r="O2" s="1270"/>
      <c r="P2" s="1270"/>
      <c r="Q2" s="1270"/>
      <c r="R2" s="1270"/>
      <c r="S2" s="1270"/>
      <c r="T2" s="1270"/>
      <c r="U2" s="1270"/>
      <c r="V2" s="1270"/>
    </row>
    <row r="3" spans="1:23">
      <c r="A3" s="1270" t="s">
        <v>1419</v>
      </c>
      <c r="B3" s="1270"/>
      <c r="C3" s="1270"/>
      <c r="D3" s="1270"/>
      <c r="E3" s="1270"/>
      <c r="F3" s="1270"/>
      <c r="G3" s="1270"/>
      <c r="H3" s="1270"/>
      <c r="I3" s="1270"/>
      <c r="J3" s="1270"/>
      <c r="K3" s="1270"/>
      <c r="L3" s="1270"/>
      <c r="M3" s="1270"/>
      <c r="N3" s="1270"/>
      <c r="O3" s="1270"/>
      <c r="P3" s="1270"/>
      <c r="Q3" s="1270"/>
      <c r="R3" s="1270"/>
      <c r="S3" s="1270"/>
      <c r="T3" s="1270"/>
      <c r="U3" s="1270"/>
      <c r="V3" s="1270"/>
    </row>
    <row r="4" spans="1:23">
      <c r="A4" s="1270" t="str">
        <f>'Table of Contents'!A3:C3</f>
        <v>Base Period: Twelve Months Ended September 30, 2021</v>
      </c>
      <c r="B4" s="1270"/>
      <c r="C4" s="1270"/>
      <c r="D4" s="1270"/>
      <c r="E4" s="1270"/>
      <c r="F4" s="1270"/>
      <c r="G4" s="1270"/>
      <c r="H4" s="1270"/>
      <c r="I4" s="1270"/>
      <c r="J4" s="1270"/>
      <c r="K4" s="1270"/>
      <c r="L4" s="1270"/>
      <c r="M4" s="1270"/>
      <c r="N4" s="1270"/>
      <c r="O4" s="1270"/>
      <c r="P4" s="1270"/>
      <c r="Q4" s="1270"/>
      <c r="R4" s="1270"/>
      <c r="S4" s="1270"/>
      <c r="T4" s="1270"/>
      <c r="U4" s="1270"/>
      <c r="V4" s="1270"/>
    </row>
    <row r="5" spans="1:23">
      <c r="A5" s="1270" t="str">
        <f>'Table of Contents'!A4:C4</f>
        <v>Forecasted Test Period: Twelve Months Ended December 31, 2022</v>
      </c>
      <c r="B5" s="1270"/>
      <c r="C5" s="1270"/>
      <c r="D5" s="1270"/>
      <c r="E5" s="1270"/>
      <c r="F5" s="1270"/>
      <c r="G5" s="1270"/>
      <c r="H5" s="1270"/>
      <c r="I5" s="1270"/>
      <c r="J5" s="1270"/>
      <c r="K5" s="1270"/>
      <c r="L5" s="1270"/>
      <c r="M5" s="1270"/>
      <c r="N5" s="1270"/>
      <c r="O5" s="1270"/>
      <c r="P5" s="1270"/>
      <c r="Q5" s="1270"/>
      <c r="R5" s="1270"/>
      <c r="S5" s="1270"/>
      <c r="T5" s="1270"/>
      <c r="U5" s="1270"/>
      <c r="V5" s="1270"/>
    </row>
    <row r="6" spans="1:23">
      <c r="L6" s="112"/>
    </row>
    <row r="8" spans="1:23">
      <c r="A8" s="472" t="s">
        <v>197</v>
      </c>
      <c r="V8" s="772" t="s">
        <v>1357</v>
      </c>
    </row>
    <row r="9" spans="1:23">
      <c r="A9" s="472" t="s">
        <v>610</v>
      </c>
      <c r="T9" s="472"/>
      <c r="V9" s="745" t="s">
        <v>769</v>
      </c>
    </row>
    <row r="10" spans="1:23" ht="16.5" thickBot="1">
      <c r="A10" s="773" t="s">
        <v>363</v>
      </c>
      <c r="B10" s="752"/>
      <c r="C10" s="752"/>
      <c r="D10" s="752"/>
      <c r="E10" s="752"/>
      <c r="F10" s="752"/>
      <c r="G10" s="752"/>
      <c r="H10" s="646"/>
      <c r="I10" s="646"/>
      <c r="J10" s="646"/>
      <c r="K10" s="646"/>
      <c r="L10" s="646"/>
      <c r="M10" s="646"/>
      <c r="N10" s="803" t="s">
        <v>499</v>
      </c>
      <c r="O10" s="804"/>
      <c r="P10" s="804"/>
      <c r="Q10" s="646"/>
      <c r="R10" s="646"/>
      <c r="S10" s="646"/>
      <c r="T10" s="773"/>
      <c r="U10" s="646"/>
      <c r="V10" s="979" t="str">
        <f>'J-1 Base'!$M$9</f>
        <v>Witness: Christian</v>
      </c>
      <c r="W10" s="646"/>
    </row>
    <row r="11" spans="1:23" ht="15.75">
      <c r="H11" s="805" t="s">
        <v>322</v>
      </c>
      <c r="I11" s="806"/>
      <c r="J11" s="806"/>
      <c r="K11" s="806"/>
      <c r="L11" s="806"/>
      <c r="M11" s="806"/>
      <c r="N11" s="807"/>
      <c r="P11" s="805" t="s">
        <v>323</v>
      </c>
      <c r="Q11" s="806"/>
      <c r="R11" s="806"/>
      <c r="S11" s="806"/>
      <c r="T11" s="806"/>
      <c r="U11" s="806"/>
      <c r="V11" s="807"/>
      <c r="W11" s="948"/>
    </row>
    <row r="12" spans="1:23">
      <c r="A12" s="112" t="s">
        <v>92</v>
      </c>
      <c r="F12" s="112" t="s">
        <v>94</v>
      </c>
      <c r="H12" s="808"/>
      <c r="I12" s="646"/>
      <c r="J12" s="363" t="s">
        <v>102</v>
      </c>
      <c r="K12" s="646"/>
      <c r="L12" s="646"/>
      <c r="M12" s="646"/>
      <c r="N12" s="809" t="s">
        <v>346</v>
      </c>
      <c r="P12" s="808"/>
      <c r="Q12" s="646"/>
      <c r="R12" s="363" t="s">
        <v>102</v>
      </c>
      <c r="S12" s="646"/>
      <c r="T12" s="646"/>
      <c r="U12" s="646"/>
      <c r="V12" s="809" t="s">
        <v>346</v>
      </c>
      <c r="W12" s="646"/>
    </row>
    <row r="13" spans="1:23" ht="15.75" thickBot="1">
      <c r="A13" s="527" t="s">
        <v>98</v>
      </c>
      <c r="B13" s="752"/>
      <c r="C13" s="773" t="s">
        <v>345</v>
      </c>
      <c r="D13" s="752"/>
      <c r="E13" s="752"/>
      <c r="F13" s="527" t="s">
        <v>100</v>
      </c>
      <c r="G13" s="752"/>
      <c r="H13" s="810" t="s">
        <v>103</v>
      </c>
      <c r="I13" s="811"/>
      <c r="J13" s="812" t="s">
        <v>40</v>
      </c>
      <c r="K13" s="811"/>
      <c r="L13" s="812" t="s">
        <v>1138</v>
      </c>
      <c r="M13" s="811"/>
      <c r="N13" s="813" t="s">
        <v>0</v>
      </c>
      <c r="O13" s="646"/>
      <c r="P13" s="810" t="s">
        <v>103</v>
      </c>
      <c r="Q13" s="811"/>
      <c r="R13" s="812" t="s">
        <v>40</v>
      </c>
      <c r="S13" s="811"/>
      <c r="T13" s="812" t="s">
        <v>1138</v>
      </c>
      <c r="U13" s="811"/>
      <c r="V13" s="813" t="s">
        <v>0</v>
      </c>
      <c r="W13" s="646"/>
    </row>
    <row r="14" spans="1:23">
      <c r="F14" s="112" t="s">
        <v>1065</v>
      </c>
      <c r="H14" s="112" t="s">
        <v>1066</v>
      </c>
      <c r="J14" s="112" t="s">
        <v>1067</v>
      </c>
      <c r="L14" s="112" t="s">
        <v>15</v>
      </c>
      <c r="N14" s="112" t="s">
        <v>37</v>
      </c>
      <c r="O14" s="646"/>
      <c r="P14" s="112" t="s">
        <v>320</v>
      </c>
      <c r="R14" s="112" t="s">
        <v>38</v>
      </c>
      <c r="T14" s="112" t="s">
        <v>616</v>
      </c>
      <c r="V14" s="112" t="s">
        <v>617</v>
      </c>
      <c r="W14" s="646"/>
    </row>
    <row r="15" spans="1:23">
      <c r="H15" s="112" t="s">
        <v>618</v>
      </c>
      <c r="J15" s="112" t="s">
        <v>148</v>
      </c>
      <c r="L15" s="112" t="s">
        <v>148</v>
      </c>
      <c r="N15" s="112" t="s">
        <v>148</v>
      </c>
      <c r="P15" s="112" t="s">
        <v>618</v>
      </c>
      <c r="R15" s="112" t="s">
        <v>148</v>
      </c>
      <c r="T15" s="112" t="s">
        <v>148</v>
      </c>
      <c r="V15" s="112" t="s">
        <v>148</v>
      </c>
    </row>
    <row r="17" spans="1:24">
      <c r="A17" s="112" t="s">
        <v>364</v>
      </c>
      <c r="C17" s="472" t="s">
        <v>270</v>
      </c>
      <c r="F17" s="100"/>
      <c r="G17" s="100"/>
      <c r="H17" s="100">
        <f>+'J-2 B'!F20</f>
        <v>21556.707437275982</v>
      </c>
      <c r="I17" s="100"/>
      <c r="J17" s="466">
        <f>ROUND(H17/$H$29,4)</f>
        <v>1.9E-3</v>
      </c>
      <c r="K17" s="100"/>
      <c r="L17" s="1203">
        <f>+'J-2 B'!L20</f>
        <v>0.2517316892072915</v>
      </c>
      <c r="M17" s="100"/>
      <c r="N17" s="1203">
        <f>+J17*L17</f>
        <v>4.7829020949385383E-4</v>
      </c>
      <c r="O17" s="100"/>
      <c r="P17" s="100">
        <f>+'J-2 F'!F20</f>
        <v>21556.707437275982</v>
      </c>
      <c r="Q17" s="100"/>
      <c r="R17" s="466">
        <f>ROUND(P17/$P$29,4)</f>
        <v>1.8E-3</v>
      </c>
      <c r="S17" s="100"/>
      <c r="T17" s="1203">
        <f>ROUND(+'J-2 F'!L20,4)</f>
        <v>0.25169999999999998</v>
      </c>
      <c r="U17" s="466"/>
      <c r="V17" s="1203">
        <f>ROUND(R17*T17,4)</f>
        <v>5.0000000000000001E-4</v>
      </c>
      <c r="W17" s="358"/>
      <c r="X17" s="358"/>
    </row>
    <row r="18" spans="1:24">
      <c r="F18" s="100"/>
      <c r="G18" s="100"/>
      <c r="H18" s="100"/>
      <c r="I18" s="100"/>
      <c r="J18" s="100"/>
      <c r="K18" s="100"/>
      <c r="L18" s="814"/>
      <c r="M18" s="100"/>
      <c r="N18" s="814"/>
      <c r="O18" s="100"/>
      <c r="P18" s="100"/>
      <c r="Q18" s="100"/>
      <c r="R18" s="466"/>
      <c r="S18" s="100"/>
      <c r="T18" s="814"/>
      <c r="U18" s="466"/>
      <c r="V18" s="814"/>
      <c r="W18" s="358"/>
    </row>
    <row r="19" spans="1:24">
      <c r="A19" s="112" t="s">
        <v>366</v>
      </c>
      <c r="C19" s="472" t="s">
        <v>271</v>
      </c>
      <c r="F19" s="100"/>
      <c r="G19" s="100"/>
      <c r="H19" s="101">
        <f>'J-1 Base'!G21</f>
        <v>4781475.9855000013</v>
      </c>
      <c r="I19" s="100"/>
      <c r="J19" s="1204">
        <f>ROUND(H19/$H$29,5)</f>
        <v>0.41109000000000001</v>
      </c>
      <c r="K19" s="100"/>
      <c r="L19" s="1203">
        <f>ROUND('J-3 B'!K37,4)</f>
        <v>4.1700000000000001E-2</v>
      </c>
      <c r="M19" s="100"/>
      <c r="N19" s="1205">
        <f>+J19*L19</f>
        <v>1.7142453000000002E-2</v>
      </c>
      <c r="O19" s="100"/>
      <c r="P19" s="101">
        <f>+'J-3 F'!E37*0.001</f>
        <v>5119937.5239615394</v>
      </c>
      <c r="Q19" s="100"/>
      <c r="R19" s="1204">
        <f>ROUND(P19/$P$29,4)</f>
        <v>0.42770000000000002</v>
      </c>
      <c r="S19" s="100"/>
      <c r="T19" s="1203">
        <f>ROUND('J-3 F'!K37,4)</f>
        <v>0.04</v>
      </c>
      <c r="U19" s="466"/>
      <c r="V19" s="1205">
        <f>+R19*T19</f>
        <v>1.7108000000000002E-2</v>
      </c>
      <c r="W19" s="358"/>
      <c r="X19" s="358"/>
    </row>
    <row r="20" spans="1:24">
      <c r="F20" s="100"/>
      <c r="G20" s="100"/>
      <c r="H20" s="100"/>
      <c r="I20" s="100"/>
      <c r="J20" s="100"/>
      <c r="K20" s="100"/>
      <c r="L20" s="814"/>
      <c r="M20" s="100"/>
      <c r="N20" s="814"/>
      <c r="O20" s="100"/>
      <c r="P20" s="100"/>
      <c r="Q20" s="100"/>
      <c r="R20" s="100"/>
      <c r="S20" s="100"/>
      <c r="T20" s="814"/>
      <c r="U20" s="466"/>
      <c r="V20" s="814"/>
      <c r="W20" s="358"/>
    </row>
    <row r="21" spans="1:24">
      <c r="A21" s="112" t="s">
        <v>368</v>
      </c>
      <c r="C21" s="472" t="s">
        <v>396</v>
      </c>
      <c r="F21" s="100"/>
      <c r="G21" s="100"/>
      <c r="H21" s="100">
        <f>H17+H19</f>
        <v>4803032.6929372773</v>
      </c>
      <c r="I21" s="100"/>
      <c r="J21" s="466">
        <f>J17+J19</f>
        <v>0.41299000000000002</v>
      </c>
      <c r="K21" s="100"/>
      <c r="L21" s="814"/>
      <c r="M21" s="100"/>
      <c r="N21" s="1203">
        <f>N17+N19</f>
        <v>1.7620743209493854E-2</v>
      </c>
      <c r="O21" s="100"/>
      <c r="P21" s="100">
        <f>P17+P19</f>
        <v>5141494.2313988153</v>
      </c>
      <c r="Q21" s="100"/>
      <c r="R21" s="466">
        <f>R17+R19</f>
        <v>0.42950000000000005</v>
      </c>
      <c r="S21" s="100"/>
      <c r="T21" s="814"/>
      <c r="U21" s="466"/>
      <c r="V21" s="1203">
        <f>V17+V19</f>
        <v>1.7608000000000002E-2</v>
      </c>
      <c r="W21" s="358"/>
      <c r="X21" s="100"/>
    </row>
    <row r="22" spans="1:24">
      <c r="F22" s="100"/>
      <c r="G22" s="100"/>
      <c r="H22" s="100"/>
      <c r="I22" s="100"/>
      <c r="J22" s="100"/>
      <c r="K22" s="100"/>
      <c r="L22" s="814"/>
      <c r="M22" s="100"/>
      <c r="N22" s="814"/>
      <c r="O22" s="100"/>
      <c r="P22" s="100"/>
      <c r="Q22" s="100"/>
      <c r="R22" s="100"/>
      <c r="S22" s="100"/>
      <c r="T22" s="814"/>
      <c r="U22" s="466"/>
      <c r="V22" s="814"/>
      <c r="W22" s="358"/>
    </row>
    <row r="23" spans="1:24">
      <c r="A23" s="112" t="s">
        <v>369</v>
      </c>
      <c r="C23" s="472" t="s">
        <v>272</v>
      </c>
      <c r="F23" s="100"/>
      <c r="G23" s="100"/>
      <c r="H23" s="100">
        <v>0</v>
      </c>
      <c r="I23" s="100"/>
      <c r="J23" s="466">
        <f>ROUND(H23/$H$29,4)</f>
        <v>0</v>
      </c>
      <c r="K23" s="100"/>
      <c r="L23" s="814">
        <v>0</v>
      </c>
      <c r="M23" s="100"/>
      <c r="N23" s="1203">
        <f>+J23*L23</f>
        <v>0</v>
      </c>
      <c r="O23" s="100"/>
      <c r="P23" s="100">
        <v>0</v>
      </c>
      <c r="Q23" s="100"/>
      <c r="R23" s="466">
        <f>ROUND(P23/$P$29,4)</f>
        <v>0</v>
      </c>
      <c r="S23" s="100"/>
      <c r="T23" s="814">
        <v>0</v>
      </c>
      <c r="U23" s="466"/>
      <c r="V23" s="1203">
        <f>ROUND(R23*T23,4)</f>
        <v>0</v>
      </c>
      <c r="W23" s="358"/>
    </row>
    <row r="24" spans="1:24">
      <c r="H24" s="100"/>
      <c r="L24" s="814"/>
      <c r="N24" s="358"/>
      <c r="P24" s="100"/>
      <c r="T24" s="814"/>
      <c r="U24" s="815"/>
      <c r="V24" s="358"/>
      <c r="W24" s="358"/>
    </row>
    <row r="25" spans="1:24" ht="15.75">
      <c r="A25" s="112" t="s">
        <v>370</v>
      </c>
      <c r="C25" s="472" t="s">
        <v>273</v>
      </c>
      <c r="H25" s="100">
        <f>'[37]Consolidated Cap Structure'!$C$11/1000</f>
        <v>6828047.9001038456</v>
      </c>
      <c r="J25" s="466">
        <f>ROUND(H25/$H$29,5)</f>
        <v>0.58704999999999996</v>
      </c>
      <c r="L25" s="1203">
        <f>Allocation!E27</f>
        <v>0.10349999999999999</v>
      </c>
      <c r="N25" s="1203">
        <f>+J25*L25</f>
        <v>6.0759674999999992E-2</v>
      </c>
      <c r="P25" s="100">
        <f>'[37]Consolidated Cap Structure'!$C$11/1000</f>
        <v>6828047.9001038456</v>
      </c>
      <c r="R25" s="466">
        <f>+ROUND(P25/P29,5)</f>
        <v>0.57045000000000001</v>
      </c>
      <c r="T25" s="1203">
        <f>L25</f>
        <v>0.10349999999999999</v>
      </c>
      <c r="U25" s="815"/>
      <c r="V25" s="1203">
        <f>ROUND(R25*T25,4)</f>
        <v>5.8999999999999997E-2</v>
      </c>
      <c r="W25" s="949"/>
      <c r="X25" s="358"/>
    </row>
    <row r="26" spans="1:24">
      <c r="H26" s="100"/>
      <c r="L26" s="814"/>
      <c r="N26" s="358"/>
      <c r="P26" s="100"/>
      <c r="T26" s="814"/>
      <c r="U26" s="815"/>
      <c r="V26" s="358"/>
      <c r="W26" s="358"/>
    </row>
    <row r="27" spans="1:24">
      <c r="A27" s="112" t="s">
        <v>371</v>
      </c>
      <c r="C27" s="472" t="s">
        <v>430</v>
      </c>
      <c r="H27" s="101">
        <v>0</v>
      </c>
      <c r="J27" s="1206">
        <f>ROUND(H27/$H$29,4)</f>
        <v>0</v>
      </c>
      <c r="L27" s="814">
        <v>0</v>
      </c>
      <c r="N27" s="1205">
        <f>+J27*L27</f>
        <v>0</v>
      </c>
      <c r="P27" s="101">
        <v>0</v>
      </c>
      <c r="R27" s="1206">
        <f>ROUND(P27/$H$29,4)</f>
        <v>0</v>
      </c>
      <c r="T27" s="814">
        <v>0</v>
      </c>
      <c r="U27" s="815"/>
      <c r="V27" s="1207">
        <f>ROUND(R27*T27,4)</f>
        <v>0</v>
      </c>
      <c r="W27" s="358"/>
    </row>
    <row r="28" spans="1:24">
      <c r="H28" s="100"/>
      <c r="L28" s="814"/>
      <c r="P28" s="100"/>
      <c r="T28" s="466"/>
      <c r="U28" s="815"/>
      <c r="V28" s="815"/>
      <c r="W28" s="815"/>
    </row>
    <row r="29" spans="1:24" ht="15.75" thickBot="1">
      <c r="A29" s="112" t="s">
        <v>372</v>
      </c>
      <c r="C29" s="472" t="s">
        <v>397</v>
      </c>
      <c r="H29" s="1208">
        <f>H21+H25+H27</f>
        <v>11631080.593041122</v>
      </c>
      <c r="J29" s="1209">
        <f>SUM(J21:J27)</f>
        <v>1.00004</v>
      </c>
      <c r="L29" s="125"/>
      <c r="N29" s="105">
        <f>SUM(N21:N27)</f>
        <v>7.8380418209493846E-2</v>
      </c>
      <c r="P29" s="1208">
        <f>SUM(P21:P27)</f>
        <v>11969542.131502662</v>
      </c>
      <c r="R29" s="1209">
        <f>SUM(R21:R27)</f>
        <v>0.99995000000000012</v>
      </c>
      <c r="T29" s="466"/>
      <c r="U29" s="815"/>
      <c r="V29" s="105">
        <f>SUM(V21:V27)</f>
        <v>7.6607999999999996E-2</v>
      </c>
      <c r="W29" s="358"/>
      <c r="X29" s="105"/>
    </row>
    <row r="30" spans="1:24" ht="15.75" thickTop="1">
      <c r="H30" s="100"/>
      <c r="P30" s="100"/>
      <c r="T30" s="815"/>
      <c r="U30" s="815"/>
      <c r="V30" s="815"/>
    </row>
    <row r="35" spans="1:22" ht="16.5" thickBot="1">
      <c r="A35" s="779"/>
      <c r="B35" s="779"/>
      <c r="C35" s="779"/>
      <c r="D35" s="779"/>
      <c r="E35" s="779"/>
      <c r="F35" s="779"/>
      <c r="G35" s="779"/>
      <c r="N35" s="803" t="s">
        <v>500</v>
      </c>
      <c r="O35" s="804"/>
      <c r="P35" s="804"/>
    </row>
    <row r="36" spans="1:22" ht="15.75">
      <c r="H36" s="805" t="s">
        <v>322</v>
      </c>
      <c r="I36" s="806"/>
      <c r="J36" s="806"/>
      <c r="K36" s="806"/>
      <c r="L36" s="806"/>
      <c r="M36" s="806"/>
      <c r="N36" s="807"/>
      <c r="P36" s="805" t="s">
        <v>323</v>
      </c>
      <c r="Q36" s="806"/>
      <c r="R36" s="806"/>
      <c r="S36" s="806"/>
      <c r="T36" s="806"/>
      <c r="U36" s="806"/>
      <c r="V36" s="807"/>
    </row>
    <row r="37" spans="1:22">
      <c r="A37" s="112" t="s">
        <v>92</v>
      </c>
      <c r="F37" s="112" t="s">
        <v>94</v>
      </c>
      <c r="H37" s="808"/>
      <c r="I37" s="646"/>
      <c r="J37" s="363" t="s">
        <v>102</v>
      </c>
      <c r="K37" s="646"/>
      <c r="L37" s="646"/>
      <c r="M37" s="646"/>
      <c r="N37" s="809" t="s">
        <v>346</v>
      </c>
      <c r="P37" s="808"/>
      <c r="Q37" s="646"/>
      <c r="R37" s="363" t="s">
        <v>102</v>
      </c>
      <c r="S37" s="646"/>
      <c r="T37" s="646"/>
      <c r="U37" s="646"/>
      <c r="V37" s="809" t="s">
        <v>346</v>
      </c>
    </row>
    <row r="38" spans="1:22" ht="15.75" thickBot="1">
      <c r="A38" s="527" t="s">
        <v>98</v>
      </c>
      <c r="B38" s="752"/>
      <c r="C38" s="773" t="s">
        <v>345</v>
      </c>
      <c r="D38" s="752"/>
      <c r="E38" s="752"/>
      <c r="F38" s="527" t="s">
        <v>100</v>
      </c>
      <c r="G38" s="752"/>
      <c r="H38" s="810" t="s">
        <v>103</v>
      </c>
      <c r="I38" s="811"/>
      <c r="J38" s="812" t="s">
        <v>40</v>
      </c>
      <c r="K38" s="811"/>
      <c r="L38" s="812" t="s">
        <v>1138</v>
      </c>
      <c r="M38" s="811"/>
      <c r="N38" s="813" t="s">
        <v>0</v>
      </c>
      <c r="O38" s="646"/>
      <c r="P38" s="810" t="s">
        <v>103</v>
      </c>
      <c r="Q38" s="811"/>
      <c r="R38" s="812" t="s">
        <v>40</v>
      </c>
      <c r="S38" s="811"/>
      <c r="T38" s="812" t="s">
        <v>1138</v>
      </c>
      <c r="U38" s="811"/>
      <c r="V38" s="813" t="s">
        <v>0</v>
      </c>
    </row>
    <row r="39" spans="1:22">
      <c r="F39" s="112" t="s">
        <v>1065</v>
      </c>
      <c r="H39" s="112" t="s">
        <v>1066</v>
      </c>
      <c r="J39" s="112" t="s">
        <v>1067</v>
      </c>
      <c r="L39" s="112" t="s">
        <v>15</v>
      </c>
      <c r="N39" s="112" t="s">
        <v>37</v>
      </c>
      <c r="O39" s="646"/>
      <c r="P39" s="112" t="s">
        <v>320</v>
      </c>
      <c r="R39" s="112" t="s">
        <v>38</v>
      </c>
      <c r="T39" s="112" t="s">
        <v>616</v>
      </c>
      <c r="V39" s="112" t="s">
        <v>617</v>
      </c>
    </row>
    <row r="40" spans="1:22">
      <c r="H40" s="112" t="s">
        <v>618</v>
      </c>
      <c r="J40" s="112" t="s">
        <v>148</v>
      </c>
      <c r="L40" s="112" t="s">
        <v>148</v>
      </c>
      <c r="N40" s="112" t="s">
        <v>148</v>
      </c>
      <c r="P40" s="112" t="s">
        <v>618</v>
      </c>
      <c r="R40" s="112" t="s">
        <v>148</v>
      </c>
      <c r="T40" s="112" t="s">
        <v>148</v>
      </c>
      <c r="V40" s="112" t="s">
        <v>148</v>
      </c>
    </row>
    <row r="42" spans="1:22">
      <c r="A42" s="112">
        <v>8</v>
      </c>
      <c r="C42" s="472" t="s">
        <v>270</v>
      </c>
      <c r="F42" s="100"/>
      <c r="G42" s="100"/>
      <c r="H42" s="100">
        <f>+'J-2 B'!F20</f>
        <v>21556.707437275982</v>
      </c>
      <c r="I42" s="100"/>
      <c r="J42" s="466">
        <f>ROUND(H42/$H$54,4)</f>
        <v>1.9E-3</v>
      </c>
      <c r="K42" s="100"/>
      <c r="L42" s="1203">
        <f>+'J-2 B'!L20</f>
        <v>0.2517316892072915</v>
      </c>
      <c r="M42" s="100"/>
      <c r="N42" s="1203">
        <f>+J42*L42</f>
        <v>4.7829020949385383E-4</v>
      </c>
      <c r="O42" s="100"/>
      <c r="P42" s="100">
        <f>+'J-2 F'!F20</f>
        <v>21556.707437275982</v>
      </c>
      <c r="Q42" s="100"/>
      <c r="R42" s="466">
        <f>ROUND(P42/$P$54,4)</f>
        <v>1.8E-3</v>
      </c>
      <c r="S42" s="100"/>
      <c r="T42" s="1203">
        <f>ROUND(+'J-2 F'!L20,4)</f>
        <v>0.25169999999999998</v>
      </c>
      <c r="U42" s="466"/>
      <c r="V42" s="1203">
        <f>ROUND(R42*T42,4)</f>
        <v>5.0000000000000001E-4</v>
      </c>
    </row>
    <row r="43" spans="1:22">
      <c r="F43" s="100"/>
      <c r="G43" s="100"/>
      <c r="H43" s="100"/>
      <c r="I43" s="100"/>
      <c r="J43" s="100"/>
      <c r="K43" s="100"/>
      <c r="L43" s="814"/>
      <c r="M43" s="100"/>
      <c r="N43" s="814"/>
      <c r="O43" s="100"/>
      <c r="P43" s="100"/>
      <c r="Q43" s="100"/>
      <c r="R43" s="466"/>
      <c r="S43" s="100"/>
      <c r="T43" s="814"/>
      <c r="U43" s="466"/>
      <c r="V43" s="814"/>
    </row>
    <row r="44" spans="1:22">
      <c r="A44" s="112">
        <v>9</v>
      </c>
      <c r="C44" s="472" t="s">
        <v>271</v>
      </c>
      <c r="F44" s="100"/>
      <c r="G44" s="100"/>
      <c r="H44" s="101">
        <f>H19</f>
        <v>4781475.9855000013</v>
      </c>
      <c r="I44" s="100"/>
      <c r="J44" s="1204">
        <f>ROUND(H44/$H$54,5)</f>
        <v>0.41109000000000001</v>
      </c>
      <c r="K44" s="100"/>
      <c r="L44" s="1203">
        <f>ROUND('J-3 B'!K37,4)</f>
        <v>4.1700000000000001E-2</v>
      </c>
      <c r="M44" s="100"/>
      <c r="N44" s="1205">
        <f>+J44*L44</f>
        <v>1.7142453000000002E-2</v>
      </c>
      <c r="O44" s="100"/>
      <c r="P44" s="101">
        <f>+'J-3 F'!E37*0.001</f>
        <v>5119937.5239615394</v>
      </c>
      <c r="Q44" s="100"/>
      <c r="R44" s="1204">
        <f>ROUND(P44/$P$54,4)</f>
        <v>0.42770000000000002</v>
      </c>
      <c r="S44" s="100"/>
      <c r="T44" s="1203">
        <f>ROUND('J-3 F'!K37,4)</f>
        <v>0.04</v>
      </c>
      <c r="U44" s="466"/>
      <c r="V44" s="1207">
        <f>ROUND(R44*T44,4)</f>
        <v>1.7100000000000001E-2</v>
      </c>
    </row>
    <row r="45" spans="1:22">
      <c r="F45" s="100"/>
      <c r="G45" s="100"/>
      <c r="H45" s="100"/>
      <c r="I45" s="100"/>
      <c r="J45" s="100"/>
      <c r="K45" s="100"/>
      <c r="L45" s="814"/>
      <c r="M45" s="100"/>
      <c r="N45" s="814"/>
      <c r="O45" s="100"/>
      <c r="P45" s="100"/>
      <c r="Q45" s="100"/>
      <c r="R45" s="100"/>
      <c r="S45" s="100"/>
      <c r="T45" s="814"/>
      <c r="U45" s="466"/>
      <c r="V45" s="814"/>
    </row>
    <row r="46" spans="1:22">
      <c r="A46" s="112">
        <v>10</v>
      </c>
      <c r="C46" s="472" t="s">
        <v>396</v>
      </c>
      <c r="F46" s="100"/>
      <c r="G46" s="100"/>
      <c r="H46" s="100">
        <f>H42+H44</f>
        <v>4803032.6929372773</v>
      </c>
      <c r="I46" s="100"/>
      <c r="J46" s="466">
        <f>J42+J44</f>
        <v>0.41299000000000002</v>
      </c>
      <c r="K46" s="100"/>
      <c r="L46" s="814"/>
      <c r="M46" s="100"/>
      <c r="N46" s="1203">
        <f>N42+N44</f>
        <v>1.7620743209493854E-2</v>
      </c>
      <c r="O46" s="100"/>
      <c r="P46" s="100">
        <f>P42+P44</f>
        <v>5141494.2313988153</v>
      </c>
      <c r="Q46" s="100"/>
      <c r="R46" s="466">
        <f>R42+R44</f>
        <v>0.42950000000000005</v>
      </c>
      <c r="S46" s="100"/>
      <c r="T46" s="814"/>
      <c r="U46" s="466"/>
      <c r="V46" s="1203">
        <f>V42+V44</f>
        <v>1.7600000000000001E-2</v>
      </c>
    </row>
    <row r="47" spans="1:22">
      <c r="F47" s="100"/>
      <c r="G47" s="100"/>
      <c r="H47" s="100"/>
      <c r="I47" s="100"/>
      <c r="J47" s="100"/>
      <c r="K47" s="100"/>
      <c r="L47" s="814"/>
      <c r="M47" s="100"/>
      <c r="N47" s="814"/>
      <c r="O47" s="100"/>
      <c r="P47" s="100"/>
      <c r="Q47" s="100"/>
      <c r="R47" s="100"/>
      <c r="S47" s="100"/>
      <c r="T47" s="814"/>
      <c r="U47" s="466"/>
      <c r="V47" s="814"/>
    </row>
    <row r="48" spans="1:22">
      <c r="A48" s="112">
        <v>11</v>
      </c>
      <c r="C48" s="472" t="s">
        <v>272</v>
      </c>
      <c r="F48" s="100"/>
      <c r="G48" s="100"/>
      <c r="H48" s="100">
        <v>0</v>
      </c>
      <c r="I48" s="100"/>
      <c r="J48" s="466">
        <f>ROUND(H48/$H$54,4)</f>
        <v>0</v>
      </c>
      <c r="K48" s="100"/>
      <c r="L48" s="814">
        <v>0</v>
      </c>
      <c r="M48" s="100"/>
      <c r="N48" s="1203">
        <f>+J48*L48</f>
        <v>0</v>
      </c>
      <c r="O48" s="100"/>
      <c r="P48" s="100">
        <v>0</v>
      </c>
      <c r="Q48" s="100"/>
      <c r="R48" s="466">
        <f>ROUND(P48/$P$54,4)</f>
        <v>0</v>
      </c>
      <c r="S48" s="100"/>
      <c r="T48" s="814">
        <v>0</v>
      </c>
      <c r="U48" s="466"/>
      <c r="V48" s="1203">
        <f>ROUND(R48*T48,4)</f>
        <v>0</v>
      </c>
    </row>
    <row r="49" spans="1:22">
      <c r="H49" s="100"/>
      <c r="L49" s="814"/>
      <c r="N49" s="358"/>
      <c r="P49" s="100"/>
      <c r="T49" s="814"/>
      <c r="U49" s="815"/>
      <c r="V49" s="358"/>
    </row>
    <row r="50" spans="1:22">
      <c r="A50" s="112">
        <v>12</v>
      </c>
      <c r="C50" s="472" t="s">
        <v>273</v>
      </c>
      <c r="H50" s="100">
        <f>H25</f>
        <v>6828047.9001038456</v>
      </c>
      <c r="J50" s="466">
        <f>ROUND(H50/$H$54,5)</f>
        <v>0.58704999999999996</v>
      </c>
      <c r="L50" s="1203">
        <f>+N50/J50</f>
        <v>6.0831052103239608E-2</v>
      </c>
      <c r="N50" s="1203">
        <f>+N54-N46</f>
        <v>3.5710869137206808E-2</v>
      </c>
      <c r="P50" s="100">
        <f>P25</f>
        <v>6828047.9001038456</v>
      </c>
      <c r="R50" s="466">
        <f>+ROUND(P50/P54,5)</f>
        <v>0.57045000000000001</v>
      </c>
      <c r="T50" s="1203">
        <f>+V50/R50</f>
        <v>5.5570163905688474E-2</v>
      </c>
      <c r="U50" s="815"/>
      <c r="V50" s="1203">
        <f>+V54-V46</f>
        <v>3.1699999999999992E-2</v>
      </c>
    </row>
    <row r="51" spans="1:22">
      <c r="H51" s="100"/>
      <c r="L51" s="814"/>
      <c r="N51" s="358"/>
      <c r="P51" s="100"/>
      <c r="T51" s="814"/>
      <c r="U51" s="815"/>
      <c r="V51" s="358"/>
    </row>
    <row r="52" spans="1:22">
      <c r="A52" s="112">
        <v>13</v>
      </c>
      <c r="C52" s="472" t="s">
        <v>430</v>
      </c>
      <c r="H52" s="101">
        <v>0</v>
      </c>
      <c r="J52" s="1206">
        <f>ROUND(H52/$H$29,4)</f>
        <v>0</v>
      </c>
      <c r="L52" s="814">
        <v>0</v>
      </c>
      <c r="N52" s="1205">
        <f>+J52*L52</f>
        <v>0</v>
      </c>
      <c r="P52" s="101">
        <v>0</v>
      </c>
      <c r="R52" s="1206">
        <f>ROUND(P52/$H$54,4)</f>
        <v>0</v>
      </c>
      <c r="T52" s="814">
        <v>0</v>
      </c>
      <c r="U52" s="815"/>
      <c r="V52" s="1207">
        <f>ROUND(R52*T52,4)</f>
        <v>0</v>
      </c>
    </row>
    <row r="53" spans="1:22">
      <c r="H53" s="100"/>
      <c r="L53" s="814"/>
      <c r="P53" s="100"/>
      <c r="T53" s="466"/>
      <c r="U53" s="815"/>
      <c r="V53" s="815"/>
    </row>
    <row r="54" spans="1:22" ht="15.75" thickBot="1">
      <c r="A54" s="112">
        <v>14</v>
      </c>
      <c r="C54" s="472" t="s">
        <v>397</v>
      </c>
      <c r="H54" s="1208">
        <f>H46+H50+H52</f>
        <v>11631080.593041122</v>
      </c>
      <c r="J54" s="1209">
        <f>SUM(J46:J52)</f>
        <v>1.00004</v>
      </c>
      <c r="L54" s="125"/>
      <c r="N54" s="105">
        <f>+'C.2'!D33/'B.1 B'!F27</f>
        <v>5.3331612346700662E-2</v>
      </c>
      <c r="P54" s="1208">
        <f>SUM(P46:P52)</f>
        <v>11969542.131502662</v>
      </c>
      <c r="R54" s="1209">
        <f>SUM(R46:R52)</f>
        <v>0.99995000000000012</v>
      </c>
      <c r="T54" s="466"/>
      <c r="U54" s="815"/>
      <c r="V54" s="105">
        <f>+A.1!G20</f>
        <v>4.9299999999999997E-2</v>
      </c>
    </row>
    <row r="55" spans="1:22" ht="15.75" thickTop="1">
      <c r="H55" s="100"/>
      <c r="P55" s="100"/>
      <c r="T55" s="815"/>
      <c r="U55" s="815"/>
      <c r="V55" s="815"/>
    </row>
    <row r="56" spans="1:22"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1:22">
      <c r="F57" s="100"/>
      <c r="G57" s="100"/>
      <c r="H57" s="100"/>
      <c r="I57" s="100"/>
      <c r="J57" s="466"/>
      <c r="K57" s="100"/>
      <c r="L57" s="125"/>
      <c r="M57" s="100"/>
      <c r="N57" s="125"/>
      <c r="O57" s="100"/>
      <c r="P57" s="100"/>
    </row>
    <row r="58" spans="1:22">
      <c r="F58" s="100"/>
      <c r="G58" s="100"/>
      <c r="H58" s="100"/>
      <c r="I58" s="100"/>
      <c r="J58" s="100"/>
      <c r="K58" s="100"/>
      <c r="L58" s="125"/>
      <c r="M58" s="100"/>
      <c r="N58" s="100"/>
      <c r="O58" s="100"/>
      <c r="P58" s="100"/>
    </row>
    <row r="59" spans="1:22">
      <c r="F59" s="100"/>
      <c r="G59" s="100"/>
      <c r="H59" s="100"/>
      <c r="I59" s="100"/>
      <c r="J59" s="466"/>
      <c r="K59" s="100"/>
      <c r="L59" s="125"/>
      <c r="M59" s="100"/>
      <c r="N59" s="125"/>
      <c r="O59" s="100"/>
      <c r="P59" s="100"/>
    </row>
    <row r="60" spans="1:22">
      <c r="F60" s="100"/>
      <c r="G60" s="100"/>
      <c r="H60" s="100"/>
      <c r="I60" s="100"/>
      <c r="J60" s="100"/>
      <c r="K60" s="100"/>
      <c r="L60" s="125"/>
      <c r="M60" s="100"/>
      <c r="N60" s="100"/>
      <c r="O60" s="100"/>
      <c r="P60" s="100"/>
    </row>
    <row r="61" spans="1:22">
      <c r="F61" s="100"/>
      <c r="G61" s="100"/>
      <c r="H61" s="100"/>
      <c r="I61" s="100"/>
      <c r="J61" s="466"/>
      <c r="K61" s="100"/>
      <c r="L61" s="125"/>
      <c r="M61" s="100"/>
      <c r="N61" s="125"/>
      <c r="O61" s="100"/>
      <c r="P61" s="100"/>
    </row>
    <row r="62" spans="1:22"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</sheetData>
  <mergeCells count="5">
    <mergeCell ref="A5:V5"/>
    <mergeCell ref="A1:V1"/>
    <mergeCell ref="A2:V2"/>
    <mergeCell ref="A3:V3"/>
    <mergeCell ref="A4:V4"/>
  </mergeCells>
  <phoneticPr fontId="21" type="noConversion"/>
  <printOptions horizontalCentered="1"/>
  <pageMargins left="0.74" right="0.43" top="0.91" bottom="1" header="0.5" footer="0.5"/>
  <pageSetup scale="59" orientation="portrait" verticalDpi="300" r:id="rId1"/>
  <headerFooter alignWithMargins="0">
    <oddFooter>&amp;RSchedule &amp;A
Page &amp;P of &amp;N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Sheet59">
    <pageSetUpPr fitToPage="1"/>
  </sheetPr>
  <dimension ref="A1:Q33"/>
  <sheetViews>
    <sheetView view="pageBreakPreview" zoomScale="80" zoomScaleNormal="100" zoomScaleSheetLayoutView="80" workbookViewId="0">
      <selection sqref="A1:L1"/>
    </sheetView>
  </sheetViews>
  <sheetFormatPr defaultColWidth="10.109375" defaultRowHeight="15"/>
  <cols>
    <col min="1" max="1" width="6.5546875" style="73" customWidth="1"/>
    <col min="2" max="2" width="3.33203125" style="73" customWidth="1"/>
    <col min="3" max="3" width="16.109375" style="73" customWidth="1"/>
    <col min="4" max="4" width="11" style="73" customWidth="1"/>
    <col min="5" max="5" width="5.88671875" style="73" customWidth="1"/>
    <col min="6" max="6" width="13.109375" style="73" bestFit="1" customWidth="1"/>
    <col min="7" max="7" width="5" style="73" customWidth="1"/>
    <col min="8" max="8" width="10.109375" style="73"/>
    <col min="9" max="9" width="5" style="73" customWidth="1"/>
    <col min="10" max="10" width="10.109375" style="73" customWidth="1"/>
    <col min="11" max="11" width="6.33203125" style="73" customWidth="1"/>
    <col min="12" max="12" width="11.88671875" style="73" customWidth="1"/>
    <col min="13" max="16384" width="10.109375" style="73"/>
  </cols>
  <sheetData>
    <row r="1" spans="1:17">
      <c r="A1" s="1273" t="str">
        <f>'Table of Contents'!A1:C1</f>
        <v>Atmos Energy Corporation, Kentucky/Mid-States Division</v>
      </c>
      <c r="B1" s="1273"/>
      <c r="C1" s="1273"/>
      <c r="D1" s="1273"/>
      <c r="E1" s="1273"/>
      <c r="F1" s="1273"/>
      <c r="G1" s="1273"/>
      <c r="H1" s="1273"/>
      <c r="I1" s="1273"/>
      <c r="J1" s="1273"/>
      <c r="K1" s="1273"/>
      <c r="L1" s="1273"/>
    </row>
    <row r="2" spans="1:17">
      <c r="A2" s="1273" t="str">
        <f>'Table of Contents'!A2:C2</f>
        <v>Kentucky Jurisdiction Case No. 2021-00214</v>
      </c>
      <c r="B2" s="1273"/>
      <c r="C2" s="1273"/>
      <c r="D2" s="1273"/>
      <c r="E2" s="1273"/>
      <c r="F2" s="1273"/>
      <c r="G2" s="1273"/>
      <c r="H2" s="1273"/>
      <c r="I2" s="1273"/>
      <c r="J2" s="1273"/>
      <c r="K2" s="1273"/>
      <c r="L2" s="1273"/>
    </row>
    <row r="3" spans="1:17">
      <c r="A3" s="1273" t="s">
        <v>521</v>
      </c>
      <c r="B3" s="1273"/>
      <c r="C3" s="1273"/>
      <c r="D3" s="1273"/>
      <c r="E3" s="1273"/>
      <c r="F3" s="1273"/>
      <c r="G3" s="1273"/>
      <c r="H3" s="1273"/>
      <c r="I3" s="1273"/>
      <c r="J3" s="1273"/>
      <c r="K3" s="1273"/>
      <c r="L3" s="1273"/>
    </row>
    <row r="4" spans="1:17">
      <c r="A4" s="1273" t="s">
        <v>1572</v>
      </c>
      <c r="B4" s="1273"/>
      <c r="C4" s="1273"/>
      <c r="D4" s="1273"/>
      <c r="E4" s="1273"/>
      <c r="F4" s="1273"/>
      <c r="G4" s="1273"/>
      <c r="H4" s="1273"/>
      <c r="I4" s="1273"/>
      <c r="J4" s="1273"/>
      <c r="K4" s="1273"/>
      <c r="L4" s="1273"/>
    </row>
    <row r="5" spans="1:17">
      <c r="A5" s="685"/>
      <c r="B5" s="685"/>
      <c r="C5" s="685"/>
      <c r="D5" s="685"/>
      <c r="E5" s="685"/>
      <c r="F5" s="685"/>
      <c r="G5" s="685"/>
      <c r="H5" s="685"/>
      <c r="I5" s="685"/>
      <c r="J5" s="685"/>
      <c r="K5" s="685"/>
      <c r="L5" s="685"/>
    </row>
    <row r="6" spans="1:17">
      <c r="L6" s="150" t="s">
        <v>1357</v>
      </c>
    </row>
    <row r="7" spans="1:17">
      <c r="A7" s="472" t="str">
        <f>'J-1 Base'!A7</f>
        <v>Data:__X___Base Period______Forecasted Period</v>
      </c>
      <c r="L7" s="798" t="s">
        <v>48</v>
      </c>
    </row>
    <row r="8" spans="1:17">
      <c r="A8" s="472" t="str">
        <f>'J-1 Base'!A8</f>
        <v>Type of Filing:___X____Original________Updated ________Revised</v>
      </c>
      <c r="L8" s="798" t="s">
        <v>845</v>
      </c>
    </row>
    <row r="9" spans="1:17">
      <c r="A9" s="1061" t="str">
        <f>'J-1 Base'!A9</f>
        <v>Workpaper Reference No(s).____________________</v>
      </c>
      <c r="B9" s="134"/>
      <c r="C9" s="134"/>
      <c r="D9" s="134"/>
      <c r="E9" s="134"/>
      <c r="F9" s="134"/>
      <c r="G9" s="134"/>
      <c r="H9" s="134"/>
      <c r="I9" s="134"/>
      <c r="J9" s="134"/>
      <c r="K9" s="74"/>
      <c r="L9" s="979" t="str">
        <f>'J-1 Base'!M9</f>
        <v>Witness: Christian</v>
      </c>
    </row>
    <row r="10" spans="1:17">
      <c r="H10" s="684">
        <v>-1</v>
      </c>
      <c r="J10" s="682" t="s">
        <v>348</v>
      </c>
      <c r="L10" s="682" t="s">
        <v>1125</v>
      </c>
    </row>
    <row r="11" spans="1:17">
      <c r="A11" s="682" t="s">
        <v>92</v>
      </c>
      <c r="F11" s="682" t="s">
        <v>103</v>
      </c>
      <c r="H11" s="682" t="s">
        <v>267</v>
      </c>
      <c r="J11" s="682" t="s">
        <v>349</v>
      </c>
      <c r="L11" s="682" t="s">
        <v>267</v>
      </c>
    </row>
    <row r="12" spans="1:17">
      <c r="A12" s="368" t="s">
        <v>98</v>
      </c>
      <c r="B12" s="134"/>
      <c r="C12" s="368" t="s">
        <v>350</v>
      </c>
      <c r="D12" s="134"/>
      <c r="E12" s="134"/>
      <c r="F12" s="368" t="s">
        <v>347</v>
      </c>
      <c r="G12" s="134"/>
      <c r="H12" s="368" t="s">
        <v>565</v>
      </c>
      <c r="I12" s="134"/>
      <c r="J12" s="368" t="s">
        <v>0</v>
      </c>
      <c r="K12" s="134"/>
      <c r="L12" s="368" t="s">
        <v>565</v>
      </c>
    </row>
    <row r="13" spans="1:17">
      <c r="C13" s="682" t="s">
        <v>1065</v>
      </c>
      <c r="F13" s="682" t="s">
        <v>1066</v>
      </c>
      <c r="H13" s="682" t="s">
        <v>1067</v>
      </c>
      <c r="J13" s="682" t="s">
        <v>15</v>
      </c>
      <c r="L13" s="682" t="s">
        <v>167</v>
      </c>
    </row>
    <row r="14" spans="1:17">
      <c r="F14" s="682" t="s">
        <v>618</v>
      </c>
      <c r="J14" s="682" t="s">
        <v>618</v>
      </c>
    </row>
    <row r="16" spans="1:17" ht="15.75">
      <c r="A16" s="682" t="s">
        <v>364</v>
      </c>
      <c r="C16" s="80" t="s">
        <v>890</v>
      </c>
      <c r="F16" s="299">
        <f>'[37]Consolidated Balance Detail'!$I$26/1000</f>
        <v>21556.707437275982</v>
      </c>
      <c r="G16" s="63"/>
      <c r="H16" s="1210">
        <f>'[37]Consolidated Balance Detail'!$K$28</f>
        <v>5.6591759488858039E-3</v>
      </c>
      <c r="I16" s="102"/>
      <c r="J16" s="299">
        <f>F16*H16</f>
        <v>121.99320026619996</v>
      </c>
      <c r="K16" s="65"/>
      <c r="L16" s="65"/>
      <c r="M16" s="947"/>
      <c r="N16" s="799"/>
      <c r="O16" s="65"/>
      <c r="P16" s="65"/>
      <c r="Q16" s="65"/>
    </row>
    <row r="18" spans="1:17">
      <c r="A18" s="682">
        <v>2</v>
      </c>
      <c r="C18" s="80" t="s">
        <v>1509</v>
      </c>
      <c r="F18" s="77"/>
      <c r="G18" s="65"/>
      <c r="H18" s="65"/>
      <c r="I18" s="102"/>
      <c r="J18" s="299">
        <f>SUM('[37]Consolidated Balance Detail'!$N$24:$O$24)/1000</f>
        <v>5304.5131766666664</v>
      </c>
      <c r="K18" s="65"/>
      <c r="L18" s="65"/>
      <c r="M18" s="65"/>
      <c r="N18" s="799"/>
      <c r="O18" s="65"/>
      <c r="P18" s="65"/>
      <c r="Q18" s="65"/>
    </row>
    <row r="19" spans="1:17">
      <c r="F19" s="65"/>
      <c r="G19" s="65"/>
      <c r="H19" s="104"/>
      <c r="I19" s="65"/>
      <c r="J19" s="65"/>
      <c r="K19" s="65"/>
      <c r="L19" s="65"/>
      <c r="M19" s="65"/>
      <c r="N19" s="65"/>
      <c r="O19" s="65"/>
      <c r="P19" s="65"/>
      <c r="Q19" s="65"/>
    </row>
    <row r="20" spans="1:17">
      <c r="A20" s="682">
        <v>3</v>
      </c>
      <c r="C20" s="80" t="s">
        <v>891</v>
      </c>
      <c r="F20" s="275">
        <f>SUM(F16:F18)</f>
        <v>21556.707437275982</v>
      </c>
      <c r="G20" s="65"/>
      <c r="H20" s="65"/>
      <c r="I20" s="102"/>
      <c r="J20" s="275">
        <f>SUM(J16:J18)</f>
        <v>5426.5063769328663</v>
      </c>
      <c r="K20" s="65"/>
      <c r="L20" s="466">
        <f>(J20/F20)</f>
        <v>0.2517316892072915</v>
      </c>
      <c r="M20" s="65"/>
      <c r="N20" s="65"/>
      <c r="O20" s="65"/>
      <c r="P20" s="65"/>
      <c r="Q20" s="65"/>
    </row>
    <row r="21" spans="1:17">
      <c r="F21" s="65"/>
      <c r="G21" s="65"/>
      <c r="H21" s="104"/>
      <c r="I21" s="102"/>
      <c r="J21" s="102"/>
      <c r="K21" s="65"/>
      <c r="L21" s="65"/>
      <c r="M21" s="65"/>
      <c r="N21" s="65"/>
      <c r="O21" s="65"/>
      <c r="P21" s="65"/>
      <c r="Q21" s="65"/>
    </row>
    <row r="22" spans="1:17">
      <c r="F22" s="65"/>
      <c r="G22" s="65"/>
      <c r="H22" s="104"/>
      <c r="I22" s="102"/>
      <c r="J22" s="102"/>
      <c r="K22" s="65"/>
      <c r="L22" s="65"/>
      <c r="M22" s="65"/>
      <c r="N22" s="65"/>
      <c r="O22" s="65"/>
      <c r="P22" s="65"/>
      <c r="Q22" s="65"/>
    </row>
    <row r="23" spans="1:17">
      <c r="F23" s="65"/>
      <c r="G23" s="65"/>
      <c r="H23" s="104"/>
      <c r="I23" s="102"/>
      <c r="J23" s="102"/>
      <c r="K23" s="65"/>
      <c r="L23" s="65"/>
      <c r="M23" s="65"/>
      <c r="N23" s="65"/>
      <c r="O23" s="65"/>
      <c r="P23" s="65"/>
      <c r="Q23" s="65"/>
    </row>
    <row r="24" spans="1:17" ht="15.75">
      <c r="B24" s="118"/>
      <c r="G24" s="65"/>
      <c r="I24" s="102"/>
    </row>
    <row r="25" spans="1:17">
      <c r="C25" s="80" t="s">
        <v>520</v>
      </c>
      <c r="G25" s="65"/>
      <c r="H25" s="104"/>
      <c r="I25" s="102"/>
      <c r="J25" s="102"/>
    </row>
    <row r="26" spans="1:17">
      <c r="C26" s="80"/>
      <c r="G26" s="65"/>
      <c r="H26" s="104"/>
      <c r="I26" s="102"/>
      <c r="J26" s="102"/>
    </row>
    <row r="27" spans="1:17">
      <c r="C27" s="561" t="s">
        <v>1684</v>
      </c>
      <c r="D27" s="95"/>
      <c r="E27" s="95"/>
      <c r="F27" s="95"/>
      <c r="G27" s="95"/>
      <c r="H27" s="95"/>
      <c r="I27" s="95"/>
      <c r="J27" s="95"/>
      <c r="K27" s="95"/>
    </row>
    <row r="28" spans="1:17">
      <c r="C28" s="154"/>
      <c r="D28" s="95"/>
      <c r="E28" s="95"/>
      <c r="F28" s="95"/>
      <c r="G28" s="95"/>
      <c r="H28" s="95"/>
      <c r="I28" s="95"/>
      <c r="J28" s="95"/>
      <c r="K28" s="95"/>
    </row>
    <row r="29" spans="1:17">
      <c r="C29" s="107"/>
      <c r="D29" s="95"/>
      <c r="E29" s="95"/>
      <c r="F29" s="95"/>
      <c r="G29" s="95"/>
      <c r="H29" s="95"/>
      <c r="I29" s="95"/>
      <c r="J29" s="95"/>
      <c r="K29" s="95"/>
    </row>
    <row r="30" spans="1:17">
      <c r="C30" s="107"/>
      <c r="D30" s="95"/>
      <c r="E30" s="95"/>
      <c r="F30" s="95"/>
      <c r="G30" s="100"/>
      <c r="H30" s="95"/>
      <c r="I30" s="125"/>
      <c r="J30" s="95"/>
      <c r="K30" s="95"/>
    </row>
    <row r="31" spans="1:17">
      <c r="C31" s="95"/>
      <c r="D31" s="95"/>
      <c r="E31" s="95"/>
      <c r="F31" s="95"/>
      <c r="G31" s="100"/>
      <c r="H31" s="100"/>
      <c r="I31" s="125"/>
      <c r="J31" s="125"/>
      <c r="K31" s="95"/>
    </row>
    <row r="32" spans="1:17">
      <c r="C32" s="107"/>
      <c r="D32" s="95"/>
      <c r="E32" s="95"/>
      <c r="F32" s="95"/>
      <c r="G32" s="100"/>
      <c r="H32" s="95"/>
      <c r="I32" s="95"/>
      <c r="J32" s="95"/>
      <c r="K32" s="95"/>
    </row>
    <row r="33" spans="3:11">
      <c r="C33" s="107"/>
      <c r="D33" s="95"/>
      <c r="E33" s="95"/>
      <c r="F33" s="95"/>
      <c r="G33" s="95"/>
      <c r="H33" s="95"/>
      <c r="I33" s="95"/>
      <c r="J33" s="95"/>
      <c r="K33" s="95"/>
    </row>
  </sheetData>
  <mergeCells count="4">
    <mergeCell ref="A1:L1"/>
    <mergeCell ref="A2:L2"/>
    <mergeCell ref="A3:L3"/>
    <mergeCell ref="A4:L4"/>
  </mergeCells>
  <phoneticPr fontId="21" type="noConversion"/>
  <printOptions horizontalCentered="1"/>
  <pageMargins left="0.75" right="0.75" top="0.82" bottom="1" header="0.5" footer="0.5"/>
  <pageSetup scale="97" orientation="landscape" verticalDpi="300" r:id="rId1"/>
  <headerFooter alignWithMargins="0">
    <oddFooter>&amp;RSchedule &amp;A
Page &amp;P of &amp;N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60">
    <pageSetUpPr fitToPage="1"/>
  </sheetPr>
  <dimension ref="A1:P45"/>
  <sheetViews>
    <sheetView view="pageBreakPreview" zoomScale="80" zoomScaleNormal="100" zoomScaleSheetLayoutView="80" workbookViewId="0">
      <selection sqref="A1:K1"/>
    </sheetView>
  </sheetViews>
  <sheetFormatPr defaultColWidth="8.5546875" defaultRowHeight="15"/>
  <cols>
    <col min="1" max="1" width="4.21875" style="95" customWidth="1"/>
    <col min="2" max="2" width="1.88671875" style="95" customWidth="1"/>
    <col min="3" max="3" width="52.21875" style="95" bestFit="1" customWidth="1"/>
    <col min="4" max="4" width="3" style="95" customWidth="1"/>
    <col min="5" max="5" width="17.109375" style="95" customWidth="1"/>
    <col min="6" max="6" width="2.77734375" style="95" customWidth="1"/>
    <col min="7" max="7" width="7.5546875" style="95" customWidth="1"/>
    <col min="8" max="8" width="2.33203125" style="95" customWidth="1"/>
    <col min="9" max="9" width="14.77734375" style="95" customWidth="1"/>
    <col min="10" max="10" width="2" style="95" customWidth="1"/>
    <col min="11" max="11" width="9.21875" style="95" customWidth="1"/>
    <col min="12" max="12" width="8.5546875" style="95"/>
    <col min="13" max="13" width="9.44140625" style="95" customWidth="1"/>
    <col min="14" max="14" width="11.44140625" style="95" bestFit="1" customWidth="1"/>
    <col min="15" max="15" width="8.5546875" style="95"/>
    <col min="16" max="16" width="11.109375" style="95" customWidth="1"/>
    <col min="17" max="16384" width="8.5546875" style="95"/>
  </cols>
  <sheetData>
    <row r="1" spans="1:12">
      <c r="A1" s="1270" t="str">
        <f>'Table of Contents'!A1:C1</f>
        <v>Atmos Energy Corporation, Kentucky/Mid-States Division</v>
      </c>
      <c r="B1" s="1270"/>
      <c r="C1" s="1270"/>
      <c r="D1" s="1270"/>
      <c r="E1" s="1270"/>
      <c r="F1" s="1270"/>
      <c r="G1" s="1270"/>
      <c r="H1" s="1270"/>
      <c r="I1" s="1270"/>
      <c r="J1" s="1270"/>
      <c r="K1" s="1270"/>
    </row>
    <row r="2" spans="1:12">
      <c r="A2" s="1270" t="str">
        <f>'Table of Contents'!A2:C2</f>
        <v>Kentucky Jurisdiction Case No. 2021-00214</v>
      </c>
      <c r="B2" s="1270"/>
      <c r="C2" s="1270"/>
      <c r="D2" s="1270"/>
      <c r="E2" s="1270"/>
      <c r="F2" s="1270"/>
      <c r="G2" s="1270"/>
      <c r="H2" s="1270"/>
      <c r="I2" s="1270"/>
      <c r="J2" s="1270"/>
      <c r="K2" s="1270"/>
    </row>
    <row r="3" spans="1:12">
      <c r="A3" s="1270" t="s">
        <v>1068</v>
      </c>
      <c r="B3" s="1270"/>
      <c r="C3" s="1270"/>
      <c r="D3" s="1270"/>
      <c r="E3" s="1270"/>
      <c r="F3" s="1270"/>
      <c r="G3" s="1270"/>
      <c r="H3" s="1270"/>
      <c r="I3" s="1270"/>
      <c r="J3" s="1270"/>
      <c r="K3" s="1270"/>
    </row>
    <row r="4" spans="1:12">
      <c r="A4" s="1270" t="str">
        <f>'Table of Contents'!A3:C3</f>
        <v>Base Period: Twelve Months Ended September 30, 2021</v>
      </c>
      <c r="B4" s="1270"/>
      <c r="C4" s="1270"/>
      <c r="D4" s="1270"/>
      <c r="E4" s="1270"/>
      <c r="F4" s="1270"/>
      <c r="G4" s="1270"/>
      <c r="H4" s="1270"/>
      <c r="I4" s="1270"/>
      <c r="J4" s="1270"/>
      <c r="K4" s="1270"/>
    </row>
    <row r="6" spans="1:12">
      <c r="A6" s="472" t="s">
        <v>377</v>
      </c>
      <c r="K6" s="772" t="s">
        <v>1357</v>
      </c>
    </row>
    <row r="7" spans="1:12">
      <c r="A7" s="561" t="s">
        <v>610</v>
      </c>
      <c r="K7" s="745" t="s">
        <v>47</v>
      </c>
    </row>
    <row r="8" spans="1:12">
      <c r="A8" s="773" t="s">
        <v>363</v>
      </c>
      <c r="B8" s="752"/>
      <c r="C8" s="752"/>
      <c r="D8" s="752"/>
      <c r="E8" s="752"/>
      <c r="F8" s="752"/>
      <c r="G8" s="752"/>
      <c r="H8" s="752"/>
      <c r="I8" s="752"/>
      <c r="J8" s="779"/>
      <c r="K8" s="979" t="str">
        <f>'J-1 Base'!$M$9</f>
        <v>Witness: Christian</v>
      </c>
    </row>
    <row r="9" spans="1:12">
      <c r="A9" s="674"/>
      <c r="B9" s="646"/>
      <c r="C9" s="646"/>
      <c r="D9" s="646"/>
      <c r="E9" s="646"/>
      <c r="F9" s="646"/>
      <c r="G9" s="646"/>
      <c r="H9" s="646"/>
      <c r="I9" s="646"/>
      <c r="K9" s="800"/>
    </row>
    <row r="10" spans="1:12">
      <c r="E10" s="619" t="s">
        <v>846</v>
      </c>
      <c r="I10" s="112" t="s">
        <v>348</v>
      </c>
      <c r="K10" s="112" t="s">
        <v>1125</v>
      </c>
    </row>
    <row r="11" spans="1:12">
      <c r="A11" s="112" t="s">
        <v>92</v>
      </c>
      <c r="E11" s="112" t="s">
        <v>103</v>
      </c>
      <c r="G11" s="112" t="s">
        <v>267</v>
      </c>
      <c r="I11" s="112" t="s">
        <v>349</v>
      </c>
      <c r="K11" s="112" t="s">
        <v>267</v>
      </c>
    </row>
    <row r="12" spans="1:12">
      <c r="A12" s="527" t="s">
        <v>98</v>
      </c>
      <c r="B12" s="752"/>
      <c r="C12" s="527" t="s">
        <v>350</v>
      </c>
      <c r="D12" s="752"/>
      <c r="E12" s="527" t="s">
        <v>347</v>
      </c>
      <c r="F12" s="752"/>
      <c r="G12" s="527" t="s">
        <v>565</v>
      </c>
      <c r="H12" s="752"/>
      <c r="I12" s="527" t="s">
        <v>0</v>
      </c>
      <c r="J12" s="752"/>
      <c r="K12" s="527" t="s">
        <v>565</v>
      </c>
    </row>
    <row r="13" spans="1:12">
      <c r="C13" s="112" t="s">
        <v>1065</v>
      </c>
      <c r="E13" s="112" t="s">
        <v>1066</v>
      </c>
      <c r="G13" s="112" t="s">
        <v>1067</v>
      </c>
      <c r="I13" s="112" t="s">
        <v>15</v>
      </c>
      <c r="K13" s="112" t="s">
        <v>167</v>
      </c>
    </row>
    <row r="14" spans="1:12">
      <c r="E14" s="112"/>
      <c r="I14" s="112"/>
    </row>
    <row r="16" spans="1:12" ht="15.75">
      <c r="A16" s="112">
        <v>1</v>
      </c>
      <c r="C16" s="472" t="s">
        <v>1421</v>
      </c>
      <c r="E16" s="299">
        <f>'[37]LTD rate'!$T$11</f>
        <v>150000000</v>
      </c>
      <c r="F16" s="100"/>
      <c r="G16" s="1211">
        <f>'[37]LTD rate'!$U$11</f>
        <v>6.7500000000000004E-2</v>
      </c>
      <c r="H16" s="125"/>
      <c r="I16" s="1142">
        <f t="shared" ref="I16:I28" si="0">(E16*G16)</f>
        <v>10125000</v>
      </c>
      <c r="J16" s="100"/>
      <c r="K16" s="100"/>
      <c r="L16" s="947"/>
    </row>
    <row r="17" spans="1:16">
      <c r="A17" s="112">
        <f t="shared" ref="A17:A37" si="1">A16+1</f>
        <v>2</v>
      </c>
      <c r="C17" s="472" t="s">
        <v>1422</v>
      </c>
      <c r="E17" s="78">
        <f>'[37]LTD rate'!$T$17</f>
        <v>10000000</v>
      </c>
      <c r="F17" s="100"/>
      <c r="G17" s="1211">
        <f>'[37]LTD rate'!$U$17</f>
        <v>6.6699999999999995E-2</v>
      </c>
      <c r="H17" s="125"/>
      <c r="I17" s="100">
        <f>(E17*G17)</f>
        <v>667000</v>
      </c>
    </row>
    <row r="18" spans="1:16">
      <c r="A18" s="112">
        <f t="shared" si="1"/>
        <v>3</v>
      </c>
      <c r="C18" s="472" t="s">
        <v>1423</v>
      </c>
      <c r="E18" s="78">
        <f>'[37]LTD rate'!$T$19</f>
        <v>200000000</v>
      </c>
      <c r="F18" s="100"/>
      <c r="G18" s="1211">
        <f>'[37]LTD rate'!$U$19</f>
        <v>5.9499999999999997E-2</v>
      </c>
      <c r="H18" s="100"/>
      <c r="I18" s="100">
        <f>(E18*G18)</f>
        <v>11900000</v>
      </c>
      <c r="J18" s="100"/>
      <c r="K18" s="100"/>
      <c r="L18" s="100"/>
    </row>
    <row r="19" spans="1:16">
      <c r="A19" s="112">
        <f t="shared" si="1"/>
        <v>4</v>
      </c>
      <c r="C19" s="472" t="s">
        <v>1561</v>
      </c>
      <c r="E19" s="78">
        <f>'[37]LTD rate'!$T$20</f>
        <v>600000000</v>
      </c>
      <c r="F19" s="100"/>
      <c r="G19" s="1211">
        <f>'[37]LTD rate'!$U$20</f>
        <v>4.2999999999999997E-2</v>
      </c>
      <c r="H19" s="125"/>
      <c r="I19" s="100">
        <f>(E19*G19)</f>
        <v>25799999.999999996</v>
      </c>
      <c r="J19" s="100"/>
      <c r="K19" s="466"/>
      <c r="L19" s="100"/>
    </row>
    <row r="20" spans="1:16">
      <c r="A20" s="112">
        <f t="shared" si="1"/>
        <v>5</v>
      </c>
      <c r="C20" s="472" t="s">
        <v>1424</v>
      </c>
      <c r="E20" s="78">
        <f>'[37]LTD rate'!$T$21</f>
        <v>400000000</v>
      </c>
      <c r="F20" s="100"/>
      <c r="G20" s="1211">
        <f>'[37]LTD rate'!$U$21</f>
        <v>5.5E-2</v>
      </c>
      <c r="H20" s="125"/>
      <c r="I20" s="100">
        <f t="shared" ref="I20:I23" si="2">(E20*G20)</f>
        <v>22000000</v>
      </c>
      <c r="J20" s="100"/>
      <c r="K20" s="466"/>
      <c r="L20" s="100"/>
    </row>
    <row r="21" spans="1:16">
      <c r="A21" s="112">
        <f t="shared" si="1"/>
        <v>6</v>
      </c>
      <c r="C21" s="472" t="s">
        <v>1425</v>
      </c>
      <c r="E21" s="78">
        <f>'[37]LTD rate'!$T$23</f>
        <v>500000000</v>
      </c>
      <c r="F21" s="100"/>
      <c r="G21" s="1211">
        <f>'[37]LTD rate'!$U$23</f>
        <v>4.1500000000000002E-2</v>
      </c>
      <c r="H21" s="125"/>
      <c r="I21" s="100">
        <f t="shared" si="2"/>
        <v>20750000</v>
      </c>
      <c r="J21" s="100"/>
      <c r="K21" s="466"/>
      <c r="L21" s="100"/>
    </row>
    <row r="22" spans="1:16">
      <c r="A22" s="112">
        <f t="shared" si="1"/>
        <v>7</v>
      </c>
      <c r="C22" s="472" t="s">
        <v>1562</v>
      </c>
      <c r="E22" s="78">
        <f>'[37]LTD rate'!$T$24</f>
        <v>750000000</v>
      </c>
      <c r="F22" s="100"/>
      <c r="G22" s="1211">
        <f>'[37]LTD rate'!$U$24</f>
        <v>4.1250000000000002E-2</v>
      </c>
      <c r="H22" s="125"/>
      <c r="I22" s="100">
        <f t="shared" si="2"/>
        <v>30937500</v>
      </c>
      <c r="J22" s="100"/>
      <c r="K22" s="466"/>
      <c r="L22" s="100"/>
    </row>
    <row r="23" spans="1:16">
      <c r="A23" s="112">
        <f t="shared" si="1"/>
        <v>8</v>
      </c>
      <c r="C23" s="472" t="s">
        <v>1563</v>
      </c>
      <c r="E23" s="78">
        <f>'[37]LTD rate'!$T$25</f>
        <v>500000000</v>
      </c>
      <c r="F23" s="100"/>
      <c r="G23" s="1211">
        <f>'[37]LTD rate'!$U$25</f>
        <v>0.03</v>
      </c>
      <c r="H23" s="125"/>
      <c r="I23" s="100">
        <f t="shared" si="2"/>
        <v>15000000</v>
      </c>
      <c r="J23" s="100"/>
      <c r="K23" s="466"/>
      <c r="L23" s="100"/>
    </row>
    <row r="24" spans="1:16">
      <c r="A24" s="112">
        <f t="shared" si="1"/>
        <v>9</v>
      </c>
      <c r="C24" s="472" t="s">
        <v>1564</v>
      </c>
      <c r="E24" s="78">
        <f>'[37]LTD rate'!$T$26</f>
        <v>450000000</v>
      </c>
      <c r="F24" s="100"/>
      <c r="G24" s="1211">
        <f>'[37]LTD rate'!$U$26</f>
        <v>4.1250000000000002E-2</v>
      </c>
      <c r="H24" s="125"/>
      <c r="I24" s="100">
        <f t="shared" si="0"/>
        <v>18562500</v>
      </c>
      <c r="J24" s="100"/>
      <c r="K24" s="100"/>
      <c r="L24" s="100"/>
    </row>
    <row r="25" spans="1:16">
      <c r="A25" s="112">
        <f t="shared" si="1"/>
        <v>10</v>
      </c>
      <c r="C25" s="472" t="s">
        <v>1565</v>
      </c>
      <c r="E25" s="78">
        <f>'[37]LTD rate'!$T$27</f>
        <v>300000000</v>
      </c>
      <c r="F25" s="100"/>
      <c r="G25" s="1211">
        <f>'[37]LTD rate'!$U$27</f>
        <v>2.6249999999999999E-2</v>
      </c>
      <c r="H25" s="125"/>
      <c r="I25" s="100">
        <f t="shared" si="0"/>
        <v>7875000</v>
      </c>
    </row>
    <row r="26" spans="1:16">
      <c r="A26" s="112">
        <f t="shared" si="1"/>
        <v>11</v>
      </c>
      <c r="C26" s="472" t="s">
        <v>1566</v>
      </c>
      <c r="E26" s="78">
        <f>'[37]LTD rate'!$T$28</f>
        <v>500000000</v>
      </c>
      <c r="F26" s="100"/>
      <c r="G26" s="1211">
        <f>'[37]LTD rate'!$U$28</f>
        <v>3.3750000000000002E-2</v>
      </c>
      <c r="H26" s="125"/>
      <c r="I26" s="100">
        <f t="shared" si="0"/>
        <v>16875000</v>
      </c>
    </row>
    <row r="27" spans="1:16">
      <c r="A27" s="112">
        <f t="shared" si="1"/>
        <v>12</v>
      </c>
      <c r="C27" s="472" t="s">
        <v>1567</v>
      </c>
      <c r="E27" s="78">
        <f>'[37]LTD rate'!$T$29</f>
        <v>184615384.61538461</v>
      </c>
      <c r="F27" s="100"/>
      <c r="G27" s="1211">
        <f>'[37]LTD rate'!$U$29</f>
        <v>2.3195208333333335E-2</v>
      </c>
      <c r="H27" s="125"/>
      <c r="I27" s="100">
        <f t="shared" si="0"/>
        <v>4282192.307692308</v>
      </c>
    </row>
    <row r="28" spans="1:16">
      <c r="A28" s="112">
        <f t="shared" si="1"/>
        <v>13</v>
      </c>
      <c r="C28" s="472" t="s">
        <v>1568</v>
      </c>
      <c r="E28" s="78">
        <f>'[37]LTD rate'!$T$30</f>
        <v>276923076.92307693</v>
      </c>
      <c r="F28" s="100"/>
      <c r="G28" s="1211">
        <f>'[37]LTD rate'!$U$30</f>
        <v>1.4999999999999999E-2</v>
      </c>
      <c r="H28" s="125"/>
      <c r="I28" s="361">
        <f t="shared" si="0"/>
        <v>4153846.153846154</v>
      </c>
    </row>
    <row r="29" spans="1:16">
      <c r="A29" s="112">
        <f t="shared" si="1"/>
        <v>14</v>
      </c>
      <c r="C29" s="472" t="s">
        <v>95</v>
      </c>
      <c r="E29" s="1212">
        <f>SUM(E16:E28)</f>
        <v>4821538461.5384617</v>
      </c>
      <c r="F29" s="100"/>
      <c r="G29" s="801"/>
      <c r="I29" s="347">
        <f>SUM(I16:I28)</f>
        <v>188928038.46153846</v>
      </c>
    </row>
    <row r="30" spans="1:16">
      <c r="A30" s="112">
        <f t="shared" si="1"/>
        <v>15</v>
      </c>
      <c r="C30" s="472"/>
      <c r="E30" s="347"/>
      <c r="F30" s="100"/>
      <c r="G30" s="801"/>
      <c r="I30" s="100"/>
      <c r="M30" s="100"/>
      <c r="N30" s="100"/>
      <c r="O30" s="801"/>
      <c r="P30" s="100"/>
    </row>
    <row r="31" spans="1:16">
      <c r="A31" s="112">
        <f t="shared" si="1"/>
        <v>16</v>
      </c>
      <c r="C31" s="472" t="s">
        <v>1269</v>
      </c>
      <c r="E31" s="347"/>
      <c r="F31" s="100"/>
      <c r="G31" s="801"/>
      <c r="I31" s="347">
        <f>'[37]LTD rate'!$V$69</f>
        <v>10293599.423859153</v>
      </c>
      <c r="O31" s="801"/>
    </row>
    <row r="32" spans="1:16">
      <c r="A32" s="112">
        <f t="shared" si="1"/>
        <v>17</v>
      </c>
      <c r="C32" s="472" t="s">
        <v>1270</v>
      </c>
      <c r="E32" s="347">
        <f>-'[37]LTD rate'!$T$67</f>
        <v>-1754949.4361538463</v>
      </c>
      <c r="G32" s="466"/>
      <c r="I32" s="79"/>
      <c r="M32" s="100"/>
      <c r="N32" s="100"/>
      <c r="O32" s="801"/>
      <c r="P32" s="100"/>
    </row>
    <row r="33" spans="1:16">
      <c r="A33" s="112">
        <f t="shared" si="1"/>
        <v>18</v>
      </c>
      <c r="C33" s="472" t="s">
        <v>1508</v>
      </c>
      <c r="E33" s="347">
        <f>-'[37]LTD rate'!$T$68</f>
        <v>-38307526.602307692</v>
      </c>
      <c r="G33" s="771"/>
      <c r="I33" s="100"/>
      <c r="M33" s="100"/>
      <c r="N33" s="100"/>
      <c r="O33" s="801"/>
      <c r="P33" s="100"/>
    </row>
    <row r="34" spans="1:16">
      <c r="A34" s="112">
        <f t="shared" si="1"/>
        <v>19</v>
      </c>
      <c r="C34" s="472"/>
      <c r="E34" s="78"/>
      <c r="G34" s="771"/>
      <c r="I34" s="100"/>
      <c r="M34" s="100"/>
      <c r="N34" s="100"/>
      <c r="O34" s="801"/>
      <c r="P34" s="100"/>
    </row>
    <row r="35" spans="1:16">
      <c r="A35" s="112">
        <f t="shared" si="1"/>
        <v>20</v>
      </c>
      <c r="C35" s="472"/>
      <c r="E35" s="78"/>
      <c r="G35" s="466"/>
      <c r="I35" s="100"/>
      <c r="M35" s="100"/>
      <c r="N35" s="100"/>
      <c r="O35" s="801"/>
      <c r="P35" s="100"/>
    </row>
    <row r="36" spans="1:16">
      <c r="A36" s="112">
        <f t="shared" si="1"/>
        <v>21</v>
      </c>
      <c r="E36" s="361"/>
      <c r="M36" s="100"/>
      <c r="N36" s="100"/>
      <c r="O36" s="801"/>
      <c r="P36" s="100"/>
    </row>
    <row r="37" spans="1:16" ht="16.5" thickBot="1">
      <c r="A37" s="112">
        <f t="shared" si="1"/>
        <v>22</v>
      </c>
      <c r="C37" s="472" t="s">
        <v>1160</v>
      </c>
      <c r="E37" s="1213">
        <f>+E29+E32+E33</f>
        <v>4781475985.500001</v>
      </c>
      <c r="I37" s="1214">
        <f>+I29+I31</f>
        <v>199221637.88539761</v>
      </c>
      <c r="K37" s="1215">
        <f>+I37/E37</f>
        <v>4.1665301360823401E-2</v>
      </c>
      <c r="O37" s="801"/>
    </row>
    <row r="38" spans="1:16" ht="15.75" thickTop="1">
      <c r="E38" s="100"/>
      <c r="O38" s="801"/>
    </row>
    <row r="40" spans="1:16">
      <c r="A40" s="112"/>
      <c r="C40" s="472"/>
    </row>
    <row r="41" spans="1:16">
      <c r="C41" s="472" t="s">
        <v>321</v>
      </c>
      <c r="E41" s="100"/>
    </row>
    <row r="42" spans="1:16">
      <c r="E42" s="100"/>
    </row>
    <row r="43" spans="1:16">
      <c r="E43" s="100"/>
      <c r="F43" s="100"/>
      <c r="G43" s="771"/>
      <c r="H43" s="125"/>
      <c r="I43" s="100"/>
      <c r="J43" s="100"/>
      <c r="K43" s="100"/>
      <c r="L43" s="100"/>
    </row>
    <row r="44" spans="1:16">
      <c r="E44" s="100"/>
    </row>
    <row r="45" spans="1:16">
      <c r="E45" s="100"/>
      <c r="F45" s="100"/>
      <c r="G45" s="100"/>
      <c r="H45" s="125"/>
      <c r="I45" s="100"/>
      <c r="J45" s="100"/>
      <c r="K45" s="100"/>
      <c r="L45" s="100"/>
    </row>
  </sheetData>
  <mergeCells count="4">
    <mergeCell ref="A1:K1"/>
    <mergeCell ref="A2:K2"/>
    <mergeCell ref="A3:K3"/>
    <mergeCell ref="A4:K4"/>
  </mergeCells>
  <phoneticPr fontId="21" type="noConversion"/>
  <printOptions horizontalCentered="1"/>
  <pageMargins left="0.75" right="0.42" top="1.24" bottom="1" header="0.5" footer="0.5"/>
  <pageSetup scale="66" orientation="portrait" verticalDpi="300" r:id="rId1"/>
  <headerFooter alignWithMargins="0">
    <oddFooter>&amp;RSchedule &amp;A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V275"/>
  <sheetViews>
    <sheetView view="pageBreakPreview" topLeftCell="C1" zoomScale="80" zoomScaleNormal="100" zoomScaleSheetLayoutView="80" workbookViewId="0">
      <selection sqref="A1:N1"/>
    </sheetView>
  </sheetViews>
  <sheetFormatPr defaultColWidth="8.88671875" defaultRowHeight="15"/>
  <cols>
    <col min="1" max="1" width="4.88671875" style="72" customWidth="1"/>
    <col min="2" max="2" width="6.88671875" style="72" customWidth="1"/>
    <col min="3" max="3" width="37" style="72" customWidth="1"/>
    <col min="4" max="4" width="18.33203125" style="72" customWidth="1"/>
    <col min="5" max="5" width="12.5546875" style="72" bestFit="1" customWidth="1"/>
    <col min="6" max="6" width="15.6640625" style="72" customWidth="1"/>
    <col min="7" max="7" width="12.77734375" style="686" customWidth="1"/>
    <col min="8" max="8" width="12.6640625" style="686" customWidth="1"/>
    <col min="9" max="9" width="15.21875" style="72" customWidth="1"/>
    <col min="10" max="10" width="3.21875" style="72" customWidth="1"/>
    <col min="11" max="11" width="15.6640625" style="72" customWidth="1"/>
    <col min="12" max="12" width="12.6640625" style="686" customWidth="1"/>
    <col min="13" max="13" width="9.77734375" style="686" bestFit="1" customWidth="1"/>
    <col min="14" max="14" width="14.21875" style="72" customWidth="1"/>
    <col min="15" max="15" width="5.44140625" style="72" customWidth="1"/>
    <col min="16" max="17" width="12" style="72" bestFit="1" customWidth="1"/>
    <col min="18" max="16384" width="8.88671875" style="72"/>
  </cols>
  <sheetData>
    <row r="1" spans="1:17">
      <c r="A1" s="1260" t="str">
        <f>'Table of Contents'!A1:C1</f>
        <v>Atmos Energy Corporation, Kentucky/Mid-States Division</v>
      </c>
      <c r="B1" s="1260"/>
      <c r="C1" s="1260"/>
      <c r="D1" s="1260"/>
      <c r="E1" s="1260"/>
      <c r="F1" s="1260"/>
      <c r="G1" s="1260"/>
      <c r="H1" s="1260"/>
      <c r="I1" s="1260"/>
      <c r="J1" s="1260"/>
      <c r="K1" s="1260"/>
      <c r="L1" s="1260"/>
      <c r="M1" s="1260"/>
      <c r="N1" s="1260"/>
    </row>
    <row r="2" spans="1:17">
      <c r="A2" s="1260" t="str">
        <f>'Table of Contents'!A2:C2</f>
        <v>Kentucky Jurisdiction Case No. 2021-00214</v>
      </c>
      <c r="B2" s="1260"/>
      <c r="C2" s="1260"/>
      <c r="D2" s="1260"/>
      <c r="E2" s="1260"/>
      <c r="F2" s="1260"/>
      <c r="G2" s="1260"/>
      <c r="H2" s="1260"/>
      <c r="I2" s="1260"/>
      <c r="J2" s="1260"/>
      <c r="K2" s="1260"/>
      <c r="L2" s="1260"/>
      <c r="M2" s="1260"/>
      <c r="N2" s="1260"/>
    </row>
    <row r="3" spans="1:17">
      <c r="A3" s="1261" t="s">
        <v>492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1261"/>
      <c r="N3" s="1261"/>
    </row>
    <row r="4" spans="1:17" ht="15.75">
      <c r="A4" s="1262" t="str">
        <f>'B.1 B'!A4</f>
        <v>Base Period: Twelve Months Ended September 30, 2021</v>
      </c>
      <c r="B4" s="1262"/>
      <c r="C4" s="1262"/>
      <c r="D4" s="1262"/>
      <c r="E4" s="1262"/>
      <c r="F4" s="1262"/>
      <c r="G4" s="1262"/>
      <c r="H4" s="1262"/>
      <c r="I4" s="1262"/>
      <c r="J4" s="1262"/>
      <c r="K4" s="1262"/>
      <c r="L4" s="1262"/>
      <c r="M4" s="1262"/>
      <c r="N4" s="1262"/>
    </row>
    <row r="5" spans="1:17">
      <c r="A5" s="133"/>
      <c r="B5" s="133"/>
      <c r="C5" s="133"/>
      <c r="D5" s="133"/>
      <c r="E5" s="589"/>
      <c r="G5" s="689"/>
      <c r="H5" s="689"/>
      <c r="J5" s="73"/>
      <c r="K5" s="133"/>
    </row>
    <row r="6" spans="1:17" ht="15.75">
      <c r="A6" s="472" t="str">
        <f>'B.1 B'!A6</f>
        <v>Data:__X___Base Period______Forecasted Period</v>
      </c>
      <c r="B6" s="73"/>
      <c r="C6" s="73"/>
      <c r="D6" s="73"/>
      <c r="E6" s="729"/>
      <c r="F6" s="729"/>
      <c r="G6" s="689"/>
      <c r="K6" s="73"/>
      <c r="N6" s="728" t="s">
        <v>1361</v>
      </c>
    </row>
    <row r="7" spans="1:17">
      <c r="A7" s="472" t="str">
        <f>'B.1 B'!A7</f>
        <v>Type of Filing:___X____Original________Updated ________Revised</v>
      </c>
      <c r="B7" s="80"/>
      <c r="C7" s="73"/>
      <c r="D7" s="73"/>
      <c r="E7" s="73"/>
      <c r="F7" s="73"/>
      <c r="G7" s="689"/>
      <c r="I7" s="80"/>
      <c r="J7" s="80"/>
      <c r="K7" s="73"/>
      <c r="N7" s="798" t="s">
        <v>996</v>
      </c>
    </row>
    <row r="8" spans="1:17">
      <c r="A8" s="674" t="str">
        <f>'B.1 B'!A8</f>
        <v>Workpaper Reference No(s).</v>
      </c>
      <c r="B8" s="66"/>
      <c r="C8" s="66"/>
      <c r="D8" s="66"/>
      <c r="E8" s="66"/>
      <c r="F8" s="66"/>
      <c r="G8" s="68"/>
      <c r="H8" s="825"/>
      <c r="I8" s="826"/>
      <c r="J8" s="826"/>
      <c r="K8" s="66"/>
      <c r="L8" s="825"/>
      <c r="N8" s="827" t="s">
        <v>1620</v>
      </c>
    </row>
    <row r="9" spans="1:17">
      <c r="A9" s="828"/>
      <c r="B9" s="667"/>
      <c r="C9" s="847"/>
      <c r="D9" s="336"/>
      <c r="E9" s="667"/>
      <c r="F9" s="667"/>
      <c r="G9" s="718"/>
      <c r="H9" s="829"/>
      <c r="I9" s="830"/>
      <c r="J9" s="826"/>
      <c r="K9" s="336"/>
      <c r="L9" s="720"/>
      <c r="M9" s="720"/>
      <c r="N9" s="831"/>
    </row>
    <row r="10" spans="1:17" ht="15.75">
      <c r="A10" s="832"/>
      <c r="B10" s="66"/>
      <c r="C10" s="848"/>
      <c r="D10" s="479">
        <v>44469</v>
      </c>
      <c r="E10" s="66"/>
      <c r="F10" s="66"/>
      <c r="G10" s="68" t="s">
        <v>13</v>
      </c>
      <c r="H10" s="67" t="s">
        <v>11</v>
      </c>
      <c r="I10" s="833"/>
      <c r="J10" s="826"/>
      <c r="K10" s="834"/>
      <c r="L10" s="68" t="s">
        <v>13</v>
      </c>
      <c r="M10" s="67" t="s">
        <v>11</v>
      </c>
      <c r="N10" s="833"/>
    </row>
    <row r="11" spans="1:17" ht="15.75">
      <c r="A11" s="832" t="s">
        <v>92</v>
      </c>
      <c r="B11" s="67" t="s">
        <v>266</v>
      </c>
      <c r="C11" s="411" t="s">
        <v>215</v>
      </c>
      <c r="D11" s="686" t="s">
        <v>1280</v>
      </c>
      <c r="E11" s="67"/>
      <c r="F11" s="67" t="s">
        <v>10</v>
      </c>
      <c r="G11" s="67" t="s">
        <v>14</v>
      </c>
      <c r="H11" s="67" t="s">
        <v>589</v>
      </c>
      <c r="I11" s="411" t="s">
        <v>12</v>
      </c>
      <c r="J11" s="67"/>
      <c r="K11" s="835" t="s">
        <v>44</v>
      </c>
      <c r="L11" s="67" t="s">
        <v>14</v>
      </c>
      <c r="M11" s="67" t="s">
        <v>589</v>
      </c>
      <c r="N11" s="411" t="s">
        <v>12</v>
      </c>
    </row>
    <row r="12" spans="1:17">
      <c r="A12" s="836" t="s">
        <v>98</v>
      </c>
      <c r="B12" s="163" t="s">
        <v>98</v>
      </c>
      <c r="C12" s="837" t="s">
        <v>294</v>
      </c>
      <c r="D12" s="836" t="s">
        <v>104</v>
      </c>
      <c r="E12" s="163" t="s">
        <v>974</v>
      </c>
      <c r="F12" s="163" t="s">
        <v>104</v>
      </c>
      <c r="G12" s="163" t="s">
        <v>622</v>
      </c>
      <c r="H12" s="163" t="s">
        <v>622</v>
      </c>
      <c r="I12" s="837" t="s">
        <v>103</v>
      </c>
      <c r="J12" s="67"/>
      <c r="K12" s="836" t="s">
        <v>97</v>
      </c>
      <c r="L12" s="163" t="s">
        <v>622</v>
      </c>
      <c r="M12" s="163" t="s">
        <v>622</v>
      </c>
      <c r="N12" s="837" t="s">
        <v>103</v>
      </c>
      <c r="P12" s="363"/>
      <c r="Q12" s="363"/>
    </row>
    <row r="13" spans="1:17">
      <c r="A13" s="67"/>
      <c r="B13" s="67"/>
      <c r="C13" s="67"/>
      <c r="D13" s="67" t="s">
        <v>743</v>
      </c>
      <c r="E13" s="67" t="s">
        <v>744</v>
      </c>
      <c r="F13" s="67" t="s">
        <v>750</v>
      </c>
      <c r="G13" s="67" t="s">
        <v>745</v>
      </c>
      <c r="H13" s="67" t="s">
        <v>746</v>
      </c>
      <c r="I13" s="67" t="s">
        <v>751</v>
      </c>
      <c r="J13" s="67"/>
      <c r="K13" s="67" t="s">
        <v>747</v>
      </c>
      <c r="L13" s="67" t="s">
        <v>748</v>
      </c>
      <c r="M13" s="67" t="s">
        <v>749</v>
      </c>
      <c r="N13" s="67" t="s">
        <v>752</v>
      </c>
    </row>
    <row r="14" spans="1:17" ht="15.75">
      <c r="B14" s="764" t="s">
        <v>6</v>
      </c>
    </row>
    <row r="15" spans="1:17">
      <c r="A15" s="182">
        <v>1</v>
      </c>
      <c r="B15" s="172"/>
      <c r="C15" s="500" t="s">
        <v>295</v>
      </c>
    </row>
    <row r="16" spans="1:17">
      <c r="A16" s="112">
        <f>A15+1</f>
        <v>2</v>
      </c>
      <c r="B16" s="855">
        <v>30100</v>
      </c>
      <c r="C16" s="205" t="s">
        <v>289</v>
      </c>
      <c r="D16" s="290">
        <f>'[4]Gross Plant'!Q112</f>
        <v>8329.7199999999993</v>
      </c>
      <c r="E16" s="387">
        <v>0</v>
      </c>
      <c r="F16" s="304">
        <f>D16+E16</f>
        <v>8329.7199999999993</v>
      </c>
      <c r="G16" s="296">
        <v>1</v>
      </c>
      <c r="H16" s="394">
        <f>$G$16</f>
        <v>1</v>
      </c>
      <c r="I16" s="304">
        <f>F16*G16*H16</f>
        <v>8329.7199999999993</v>
      </c>
      <c r="J16" s="362"/>
      <c r="K16" s="290">
        <f>'[4]Gross Plant'!C112</f>
        <v>8329.7199999999993</v>
      </c>
      <c r="L16" s="394">
        <f t="shared" ref="L16:M17" si="0">$G$16</f>
        <v>1</v>
      </c>
      <c r="M16" s="394">
        <f t="shared" si="0"/>
        <v>1</v>
      </c>
      <c r="N16" s="304">
        <f>K16*L16*M16</f>
        <v>8329.7199999999993</v>
      </c>
    </row>
    <row r="17" spans="1:14">
      <c r="A17" s="112">
        <f t="shared" ref="A17:A83" si="1">A16+1</f>
        <v>3</v>
      </c>
      <c r="B17" s="855">
        <v>30200</v>
      </c>
      <c r="C17" s="205" t="s">
        <v>152</v>
      </c>
      <c r="D17" s="364">
        <f>'[4]Gross Plant'!Q113</f>
        <v>119852.69</v>
      </c>
      <c r="E17" s="498">
        <v>0</v>
      </c>
      <c r="F17" s="364">
        <f>D17+E17</f>
        <v>119852.69</v>
      </c>
      <c r="G17" s="394">
        <f>$G$16</f>
        <v>1</v>
      </c>
      <c r="H17" s="394">
        <f>$G$16</f>
        <v>1</v>
      </c>
      <c r="I17" s="364">
        <f>F17*G17*H17</f>
        <v>119852.69</v>
      </c>
      <c r="K17" s="364">
        <f>'[4]Gross Plant'!C113</f>
        <v>119852.68999999996</v>
      </c>
      <c r="L17" s="394">
        <f t="shared" si="0"/>
        <v>1</v>
      </c>
      <c r="M17" s="394">
        <f t="shared" si="0"/>
        <v>1</v>
      </c>
      <c r="N17" s="364">
        <f>K17*L17*M17</f>
        <v>119852.68999999996</v>
      </c>
    </row>
    <row r="18" spans="1:14">
      <c r="A18" s="112">
        <f t="shared" si="1"/>
        <v>4</v>
      </c>
      <c r="B18" s="956"/>
      <c r="C18" s="205"/>
      <c r="D18" s="499"/>
      <c r="E18" s="499"/>
      <c r="F18" s="499"/>
      <c r="G18" s="296"/>
      <c r="H18" s="296"/>
      <c r="I18" s="499"/>
      <c r="K18" s="499"/>
      <c r="N18" s="499"/>
    </row>
    <row r="19" spans="1:14">
      <c r="A19" s="112">
        <f t="shared" si="1"/>
        <v>5</v>
      </c>
      <c r="B19" s="956"/>
      <c r="C19" s="205" t="s">
        <v>296</v>
      </c>
      <c r="D19" s="304">
        <f>SUM(D16:D17)</f>
        <v>128182.41</v>
      </c>
      <c r="E19" s="304">
        <f>SUM(E16:E17)</f>
        <v>0</v>
      </c>
      <c r="F19" s="304">
        <f>SUM(F16:F17)</f>
        <v>128182.41</v>
      </c>
      <c r="G19" s="849"/>
      <c r="H19" s="849"/>
      <c r="I19" s="304">
        <f>SUM(I16:I17)</f>
        <v>128182.41</v>
      </c>
      <c r="K19" s="304">
        <f>SUM(K16:K17)</f>
        <v>128182.40999999996</v>
      </c>
      <c r="N19" s="304">
        <f>SUM(N16:N17)</f>
        <v>128182.40999999996</v>
      </c>
    </row>
    <row r="20" spans="1:14">
      <c r="A20" s="112">
        <f t="shared" si="1"/>
        <v>6</v>
      </c>
      <c r="B20" s="956"/>
      <c r="C20" s="172"/>
      <c r="G20" s="296"/>
      <c r="H20" s="296"/>
    </row>
    <row r="21" spans="1:14">
      <c r="A21" s="112">
        <f t="shared" si="1"/>
        <v>7</v>
      </c>
      <c r="B21" s="956"/>
      <c r="C21" s="500" t="s">
        <v>153</v>
      </c>
      <c r="G21" s="296"/>
      <c r="H21" s="296"/>
    </row>
    <row r="22" spans="1:14">
      <c r="A22" s="112">
        <f t="shared" si="1"/>
        <v>8</v>
      </c>
      <c r="B22" s="855">
        <v>32540</v>
      </c>
      <c r="C22" s="205" t="s">
        <v>160</v>
      </c>
      <c r="D22" s="290">
        <f>'[4]Gross Plant'!Q114</f>
        <v>0</v>
      </c>
      <c r="E22" s="387">
        <v>0</v>
      </c>
      <c r="F22" s="304">
        <f t="shared" ref="F22:F24" si="2">D22+E22</f>
        <v>0</v>
      </c>
      <c r="G22" s="394">
        <f t="shared" ref="G22:H44" si="3">$G$16</f>
        <v>1</v>
      </c>
      <c r="H22" s="394">
        <f t="shared" si="3"/>
        <v>1</v>
      </c>
      <c r="I22" s="304">
        <f t="shared" ref="I22:I24" si="4">F22*G22*H22</f>
        <v>0</v>
      </c>
      <c r="K22" s="290">
        <f>'[4]Gross Plant'!C114</f>
        <v>0</v>
      </c>
      <c r="L22" s="394">
        <f t="shared" ref="L22:M24" si="5">$G$16</f>
        <v>1</v>
      </c>
      <c r="M22" s="394">
        <f t="shared" si="5"/>
        <v>1</v>
      </c>
      <c r="N22" s="304">
        <f t="shared" ref="N22:N24" si="6">K22*L22*M22</f>
        <v>0</v>
      </c>
    </row>
    <row r="23" spans="1:14">
      <c r="A23" s="112">
        <f t="shared" si="1"/>
        <v>9</v>
      </c>
      <c r="B23" s="855">
        <v>33202</v>
      </c>
      <c r="C23" s="205" t="s">
        <v>591</v>
      </c>
      <c r="D23" s="364">
        <f>'[4]Gross Plant'!Q115</f>
        <v>0</v>
      </c>
      <c r="E23" s="498">
        <v>0</v>
      </c>
      <c r="F23" s="364">
        <f t="shared" si="2"/>
        <v>0</v>
      </c>
      <c r="G23" s="394">
        <f t="shared" si="3"/>
        <v>1</v>
      </c>
      <c r="H23" s="394">
        <f t="shared" si="3"/>
        <v>1</v>
      </c>
      <c r="I23" s="364">
        <f t="shared" si="4"/>
        <v>0</v>
      </c>
      <c r="K23" s="364">
        <f>'[4]Gross Plant'!C115</f>
        <v>0</v>
      </c>
      <c r="L23" s="394">
        <f t="shared" si="5"/>
        <v>1</v>
      </c>
      <c r="M23" s="394">
        <f t="shared" si="5"/>
        <v>1</v>
      </c>
      <c r="N23" s="364">
        <f t="shared" si="6"/>
        <v>0</v>
      </c>
    </row>
    <row r="24" spans="1:14">
      <c r="A24" s="112">
        <f t="shared" si="1"/>
        <v>10</v>
      </c>
      <c r="B24" s="855">
        <v>33400</v>
      </c>
      <c r="C24" s="205" t="s">
        <v>1101</v>
      </c>
      <c r="D24" s="364">
        <f>'[4]Gross Plant'!Q116</f>
        <v>0</v>
      </c>
      <c r="E24" s="498">
        <v>0</v>
      </c>
      <c r="F24" s="364">
        <f t="shared" si="2"/>
        <v>0</v>
      </c>
      <c r="G24" s="394">
        <f t="shared" si="3"/>
        <v>1</v>
      </c>
      <c r="H24" s="394">
        <f t="shared" si="3"/>
        <v>1</v>
      </c>
      <c r="I24" s="364">
        <f t="shared" si="4"/>
        <v>0</v>
      </c>
      <c r="K24" s="364">
        <f>'[4]Gross Plant'!C116</f>
        <v>0</v>
      </c>
      <c r="L24" s="394">
        <f t="shared" si="5"/>
        <v>1</v>
      </c>
      <c r="M24" s="394">
        <f t="shared" si="5"/>
        <v>1</v>
      </c>
      <c r="N24" s="364">
        <f t="shared" si="6"/>
        <v>0</v>
      </c>
    </row>
    <row r="25" spans="1:14">
      <c r="A25" s="112">
        <f t="shared" si="1"/>
        <v>11</v>
      </c>
      <c r="B25" s="956"/>
      <c r="C25" s="172"/>
      <c r="D25" s="499"/>
      <c r="E25" s="499"/>
      <c r="F25" s="499"/>
      <c r="G25" s="296"/>
      <c r="H25" s="296"/>
      <c r="I25" s="499"/>
      <c r="K25" s="499"/>
      <c r="N25" s="499"/>
    </row>
    <row r="26" spans="1:14">
      <c r="A26" s="112">
        <f t="shared" si="1"/>
        <v>12</v>
      </c>
      <c r="B26" s="956"/>
      <c r="C26" s="172" t="s">
        <v>276</v>
      </c>
      <c r="D26" s="304">
        <f>SUM(D22:D25)</f>
        <v>0</v>
      </c>
      <c r="E26" s="304">
        <f>SUM(E22:E25)</f>
        <v>0</v>
      </c>
      <c r="F26" s="304">
        <f>SUM(F22:F25)</f>
        <v>0</v>
      </c>
      <c r="G26" s="296"/>
      <c r="H26" s="296"/>
      <c r="I26" s="304">
        <f>SUM(I22:I25)</f>
        <v>0</v>
      </c>
      <c r="K26" s="304">
        <f>SUM(K22:K25)</f>
        <v>0</v>
      </c>
      <c r="N26" s="304">
        <f>SUM(N22:N25)</f>
        <v>0</v>
      </c>
    </row>
    <row r="27" spans="1:14">
      <c r="A27" s="112">
        <f t="shared" si="1"/>
        <v>13</v>
      </c>
      <c r="B27" s="956"/>
      <c r="C27" s="205"/>
      <c r="G27" s="296"/>
      <c r="H27" s="296"/>
    </row>
    <row r="28" spans="1:14">
      <c r="A28" s="112">
        <f t="shared" si="1"/>
        <v>14</v>
      </c>
      <c r="B28" s="956"/>
      <c r="C28" s="500" t="s">
        <v>277</v>
      </c>
      <c r="G28" s="296"/>
      <c r="H28" s="296"/>
    </row>
    <row r="29" spans="1:14">
      <c r="A29" s="112">
        <f t="shared" si="1"/>
        <v>15</v>
      </c>
      <c r="B29" s="855">
        <v>35010</v>
      </c>
      <c r="C29" s="205" t="s">
        <v>290</v>
      </c>
      <c r="D29" s="290">
        <f>'[4]Gross Plant'!Q117</f>
        <v>261126.69</v>
      </c>
      <c r="E29" s="387">
        <v>0</v>
      </c>
      <c r="F29" s="304">
        <f>D29+E29</f>
        <v>261126.69</v>
      </c>
      <c r="G29" s="394">
        <f t="shared" si="3"/>
        <v>1</v>
      </c>
      <c r="H29" s="394">
        <f t="shared" si="3"/>
        <v>1</v>
      </c>
      <c r="I29" s="304">
        <f>F29*G29*H29</f>
        <v>261126.69</v>
      </c>
      <c r="K29" s="290">
        <f>'[4]Gross Plant'!C117</f>
        <v>261126.68999999997</v>
      </c>
      <c r="L29" s="394">
        <f t="shared" ref="L29:M45" si="7">$G$16</f>
        <v>1</v>
      </c>
      <c r="M29" s="394">
        <f t="shared" si="7"/>
        <v>1</v>
      </c>
      <c r="N29" s="304">
        <f>K29*L29*M29</f>
        <v>261126.68999999997</v>
      </c>
    </row>
    <row r="30" spans="1:14">
      <c r="A30" s="112">
        <f t="shared" si="1"/>
        <v>16</v>
      </c>
      <c r="B30" s="855">
        <v>35020</v>
      </c>
      <c r="C30" s="205" t="s">
        <v>785</v>
      </c>
      <c r="D30" s="364">
        <f>'[4]Gross Plant'!Q118</f>
        <v>4681.58</v>
      </c>
      <c r="E30" s="498">
        <v>0</v>
      </c>
      <c r="F30" s="364">
        <f>D30+E30</f>
        <v>4681.58</v>
      </c>
      <c r="G30" s="394">
        <f t="shared" si="3"/>
        <v>1</v>
      </c>
      <c r="H30" s="394">
        <f t="shared" si="3"/>
        <v>1</v>
      </c>
      <c r="I30" s="364">
        <f t="shared" ref="I30:I45" si="8">F30*G30*H30</f>
        <v>4681.58</v>
      </c>
      <c r="K30" s="364">
        <f>'[4]Gross Plant'!C118</f>
        <v>4681.5800000000008</v>
      </c>
      <c r="L30" s="394">
        <f t="shared" si="7"/>
        <v>1</v>
      </c>
      <c r="M30" s="394">
        <f t="shared" si="7"/>
        <v>1</v>
      </c>
      <c r="N30" s="364">
        <f t="shared" ref="N30:N45" si="9">K30*L30*M30</f>
        <v>4681.5800000000008</v>
      </c>
    </row>
    <row r="31" spans="1:14">
      <c r="A31" s="112">
        <f t="shared" si="1"/>
        <v>17</v>
      </c>
      <c r="B31" s="855">
        <v>35100</v>
      </c>
      <c r="C31" s="205" t="s">
        <v>956</v>
      </c>
      <c r="D31" s="364">
        <f>'[4]Gross Plant'!Q119</f>
        <v>17916.189999999999</v>
      </c>
      <c r="E31" s="498">
        <v>0</v>
      </c>
      <c r="F31" s="364">
        <f t="shared" ref="F31:F45" si="10">D31+E31</f>
        <v>17916.189999999999</v>
      </c>
      <c r="G31" s="394">
        <f t="shared" si="3"/>
        <v>1</v>
      </c>
      <c r="H31" s="394">
        <f t="shared" si="3"/>
        <v>1</v>
      </c>
      <c r="I31" s="364">
        <f t="shared" si="8"/>
        <v>17916.189999999999</v>
      </c>
      <c r="K31" s="364">
        <f>'[4]Gross Plant'!C119</f>
        <v>17916.189999999999</v>
      </c>
      <c r="L31" s="394">
        <f t="shared" si="7"/>
        <v>1</v>
      </c>
      <c r="M31" s="394">
        <f t="shared" si="7"/>
        <v>1</v>
      </c>
      <c r="N31" s="364">
        <f t="shared" si="9"/>
        <v>17916.189999999999</v>
      </c>
    </row>
    <row r="32" spans="1:14">
      <c r="A32" s="112">
        <f t="shared" si="1"/>
        <v>18</v>
      </c>
      <c r="B32" s="855">
        <v>35102</v>
      </c>
      <c r="C32" s="205" t="s">
        <v>278</v>
      </c>
      <c r="D32" s="364">
        <f>'[4]Gross Plant'!Q120</f>
        <v>153261.29999999999</v>
      </c>
      <c r="E32" s="498">
        <v>0</v>
      </c>
      <c r="F32" s="364">
        <f t="shared" si="10"/>
        <v>153261.29999999999</v>
      </c>
      <c r="G32" s="394">
        <f t="shared" si="3"/>
        <v>1</v>
      </c>
      <c r="H32" s="394">
        <f t="shared" si="3"/>
        <v>1</v>
      </c>
      <c r="I32" s="364">
        <f t="shared" si="8"/>
        <v>153261.29999999999</v>
      </c>
      <c r="K32" s="364">
        <f>'[4]Gross Plant'!C120</f>
        <v>153261.30000000002</v>
      </c>
      <c r="L32" s="394">
        <f t="shared" si="7"/>
        <v>1</v>
      </c>
      <c r="M32" s="394">
        <f t="shared" si="7"/>
        <v>1</v>
      </c>
      <c r="N32" s="364">
        <f t="shared" si="9"/>
        <v>153261.30000000002</v>
      </c>
    </row>
    <row r="33" spans="1:15">
      <c r="A33" s="112">
        <f t="shared" si="1"/>
        <v>19</v>
      </c>
      <c r="B33" s="855">
        <v>35103</v>
      </c>
      <c r="C33" s="205" t="s">
        <v>580</v>
      </c>
      <c r="D33" s="364">
        <f>'[4]Gross Plant'!Q121</f>
        <v>23138.38</v>
      </c>
      <c r="E33" s="498">
        <v>0</v>
      </c>
      <c r="F33" s="364">
        <f t="shared" si="10"/>
        <v>23138.38</v>
      </c>
      <c r="G33" s="394">
        <f t="shared" si="3"/>
        <v>1</v>
      </c>
      <c r="H33" s="394">
        <f t="shared" si="3"/>
        <v>1</v>
      </c>
      <c r="I33" s="364">
        <f t="shared" si="8"/>
        <v>23138.38</v>
      </c>
      <c r="K33" s="364">
        <f>'[4]Gross Plant'!C121</f>
        <v>23138.38</v>
      </c>
      <c r="L33" s="394">
        <f t="shared" si="7"/>
        <v>1</v>
      </c>
      <c r="M33" s="394">
        <f t="shared" si="7"/>
        <v>1</v>
      </c>
      <c r="N33" s="364">
        <f t="shared" si="9"/>
        <v>23138.38</v>
      </c>
    </row>
    <row r="34" spans="1:15">
      <c r="A34" s="112">
        <f t="shared" si="1"/>
        <v>20</v>
      </c>
      <c r="B34" s="855">
        <v>35104</v>
      </c>
      <c r="C34" s="205" t="s">
        <v>581</v>
      </c>
      <c r="D34" s="364">
        <f>'[4]Gross Plant'!Q122</f>
        <v>137442.53</v>
      </c>
      <c r="E34" s="498">
        <v>0</v>
      </c>
      <c r="F34" s="364">
        <f t="shared" si="10"/>
        <v>137442.53</v>
      </c>
      <c r="G34" s="394">
        <f t="shared" si="3"/>
        <v>1</v>
      </c>
      <c r="H34" s="394">
        <f t="shared" si="3"/>
        <v>1</v>
      </c>
      <c r="I34" s="364">
        <f t="shared" si="8"/>
        <v>137442.53</v>
      </c>
      <c r="K34" s="364">
        <f>'[4]Gross Plant'!C122</f>
        <v>137442.53</v>
      </c>
      <c r="L34" s="394">
        <f t="shared" si="7"/>
        <v>1</v>
      </c>
      <c r="M34" s="394">
        <f t="shared" si="7"/>
        <v>1</v>
      </c>
      <c r="N34" s="364">
        <f t="shared" si="9"/>
        <v>137442.53</v>
      </c>
    </row>
    <row r="35" spans="1:15">
      <c r="A35" s="112">
        <f t="shared" si="1"/>
        <v>21</v>
      </c>
      <c r="B35" s="855">
        <v>35200</v>
      </c>
      <c r="C35" s="205" t="s">
        <v>437</v>
      </c>
      <c r="D35" s="364">
        <f>'[4]Gross Plant'!Q123</f>
        <v>9083125.5700000003</v>
      </c>
      <c r="E35" s="498">
        <v>0</v>
      </c>
      <c r="F35" s="364">
        <f t="shared" si="10"/>
        <v>9083125.5700000003</v>
      </c>
      <c r="G35" s="394">
        <f t="shared" si="3"/>
        <v>1</v>
      </c>
      <c r="H35" s="394">
        <f t="shared" si="3"/>
        <v>1</v>
      </c>
      <c r="I35" s="364">
        <f t="shared" si="8"/>
        <v>9083125.5700000003</v>
      </c>
      <c r="K35" s="364">
        <f>'[4]Gross Plant'!C123</f>
        <v>9083125.5699999966</v>
      </c>
      <c r="L35" s="394">
        <f t="shared" si="7"/>
        <v>1</v>
      </c>
      <c r="M35" s="394">
        <f t="shared" si="7"/>
        <v>1</v>
      </c>
      <c r="N35" s="364">
        <f t="shared" si="9"/>
        <v>9083125.5699999966</v>
      </c>
    </row>
    <row r="36" spans="1:15">
      <c r="A36" s="112">
        <f t="shared" si="1"/>
        <v>22</v>
      </c>
      <c r="B36" s="855">
        <v>35201</v>
      </c>
      <c r="C36" s="205" t="s">
        <v>582</v>
      </c>
      <c r="D36" s="364">
        <f>'[4]Gross Plant'!Q124</f>
        <v>1699998.54</v>
      </c>
      <c r="E36" s="498">
        <v>0</v>
      </c>
      <c r="F36" s="364">
        <f t="shared" si="10"/>
        <v>1699998.54</v>
      </c>
      <c r="G36" s="394">
        <f t="shared" si="3"/>
        <v>1</v>
      </c>
      <c r="H36" s="394">
        <f t="shared" si="3"/>
        <v>1</v>
      </c>
      <c r="I36" s="364">
        <f t="shared" si="8"/>
        <v>1699998.54</v>
      </c>
      <c r="K36" s="364">
        <f>'[4]Gross Plant'!C124</f>
        <v>1699998.5399999993</v>
      </c>
      <c r="L36" s="394">
        <f t="shared" si="7"/>
        <v>1</v>
      </c>
      <c r="M36" s="394">
        <f t="shared" si="7"/>
        <v>1</v>
      </c>
      <c r="N36" s="364">
        <f t="shared" si="9"/>
        <v>1699998.5399999993</v>
      </c>
    </row>
    <row r="37" spans="1:15">
      <c r="A37" s="112">
        <f t="shared" si="1"/>
        <v>23</v>
      </c>
      <c r="B37" s="855">
        <v>35202</v>
      </c>
      <c r="C37" s="205" t="s">
        <v>583</v>
      </c>
      <c r="D37" s="364">
        <f>'[4]Gross Plant'!Q125</f>
        <v>449309.06</v>
      </c>
      <c r="E37" s="498">
        <v>0</v>
      </c>
      <c r="F37" s="364">
        <f t="shared" si="10"/>
        <v>449309.06</v>
      </c>
      <c r="G37" s="394">
        <f t="shared" si="3"/>
        <v>1</v>
      </c>
      <c r="H37" s="394">
        <f t="shared" si="3"/>
        <v>1</v>
      </c>
      <c r="I37" s="364">
        <f t="shared" si="8"/>
        <v>449309.06</v>
      </c>
      <c r="K37" s="364">
        <f>'[4]Gross Plant'!C125</f>
        <v>449309.05999999988</v>
      </c>
      <c r="L37" s="394">
        <f t="shared" si="7"/>
        <v>1</v>
      </c>
      <c r="M37" s="394">
        <f t="shared" si="7"/>
        <v>1</v>
      </c>
      <c r="N37" s="364">
        <f t="shared" si="9"/>
        <v>449309.05999999988</v>
      </c>
    </row>
    <row r="38" spans="1:15">
      <c r="A38" s="112">
        <f t="shared" si="1"/>
        <v>24</v>
      </c>
      <c r="B38" s="855">
        <v>35203</v>
      </c>
      <c r="C38" s="205" t="s">
        <v>341</v>
      </c>
      <c r="D38" s="364">
        <f>'[4]Gross Plant'!Q126</f>
        <v>1694832.96</v>
      </c>
      <c r="E38" s="498">
        <v>0</v>
      </c>
      <c r="F38" s="364">
        <f t="shared" si="10"/>
        <v>1694832.96</v>
      </c>
      <c r="G38" s="394">
        <f t="shared" si="3"/>
        <v>1</v>
      </c>
      <c r="H38" s="394">
        <f t="shared" si="3"/>
        <v>1</v>
      </c>
      <c r="I38" s="364">
        <f t="shared" si="8"/>
        <v>1694832.96</v>
      </c>
      <c r="K38" s="364">
        <f>'[4]Gross Plant'!C126</f>
        <v>1694832.9600000007</v>
      </c>
      <c r="L38" s="394">
        <f t="shared" si="7"/>
        <v>1</v>
      </c>
      <c r="M38" s="394">
        <f t="shared" si="7"/>
        <v>1</v>
      </c>
      <c r="N38" s="364">
        <f t="shared" si="9"/>
        <v>1694832.9600000007</v>
      </c>
    </row>
    <row r="39" spans="1:15">
      <c r="A39" s="112">
        <f t="shared" si="1"/>
        <v>25</v>
      </c>
      <c r="B39" s="855">
        <v>35210</v>
      </c>
      <c r="C39" s="205" t="s">
        <v>584</v>
      </c>
      <c r="D39" s="364">
        <f>'[4]Gross Plant'!Q127</f>
        <v>178530.09</v>
      </c>
      <c r="E39" s="498">
        <v>0</v>
      </c>
      <c r="F39" s="364">
        <f t="shared" si="10"/>
        <v>178530.09</v>
      </c>
      <c r="G39" s="394">
        <f t="shared" si="3"/>
        <v>1</v>
      </c>
      <c r="H39" s="394">
        <f t="shared" si="3"/>
        <v>1</v>
      </c>
      <c r="I39" s="364">
        <f t="shared" si="8"/>
        <v>178530.09</v>
      </c>
      <c r="K39" s="364">
        <f>'[4]Gross Plant'!C127</f>
        <v>178530.09000000003</v>
      </c>
      <c r="L39" s="394">
        <f t="shared" si="7"/>
        <v>1</v>
      </c>
      <c r="M39" s="394">
        <f t="shared" si="7"/>
        <v>1</v>
      </c>
      <c r="N39" s="364">
        <f t="shared" si="9"/>
        <v>178530.09000000003</v>
      </c>
    </row>
    <row r="40" spans="1:15">
      <c r="A40" s="112">
        <f t="shared" si="1"/>
        <v>26</v>
      </c>
      <c r="B40" s="855">
        <v>35211</v>
      </c>
      <c r="C40" s="205" t="s">
        <v>585</v>
      </c>
      <c r="D40" s="364">
        <f>'[4]Gross Plant'!Q128</f>
        <v>54614.27</v>
      </c>
      <c r="E40" s="498">
        <v>0</v>
      </c>
      <c r="F40" s="364">
        <f t="shared" si="10"/>
        <v>54614.27</v>
      </c>
      <c r="G40" s="394">
        <f t="shared" si="3"/>
        <v>1</v>
      </c>
      <c r="H40" s="394">
        <f t="shared" si="3"/>
        <v>1</v>
      </c>
      <c r="I40" s="364">
        <f t="shared" si="8"/>
        <v>54614.27</v>
      </c>
      <c r="K40" s="364">
        <f>'[4]Gross Plant'!C128</f>
        <v>54614.270000000011</v>
      </c>
      <c r="L40" s="394">
        <f t="shared" si="7"/>
        <v>1</v>
      </c>
      <c r="M40" s="394">
        <f t="shared" si="7"/>
        <v>1</v>
      </c>
      <c r="N40" s="364">
        <f t="shared" si="9"/>
        <v>54614.270000000011</v>
      </c>
    </row>
    <row r="41" spans="1:15">
      <c r="A41" s="112">
        <f t="shared" si="1"/>
        <v>27</v>
      </c>
      <c r="B41" s="855">
        <v>35301</v>
      </c>
      <c r="C41" s="172" t="s">
        <v>161</v>
      </c>
      <c r="D41" s="364">
        <f>'[4]Gross Plant'!Q129</f>
        <v>175350.37</v>
      </c>
      <c r="E41" s="498">
        <v>0</v>
      </c>
      <c r="F41" s="364">
        <f t="shared" si="10"/>
        <v>175350.37</v>
      </c>
      <c r="G41" s="394">
        <f t="shared" si="3"/>
        <v>1</v>
      </c>
      <c r="H41" s="394">
        <f t="shared" si="3"/>
        <v>1</v>
      </c>
      <c r="I41" s="364">
        <f t="shared" si="8"/>
        <v>175350.37</v>
      </c>
      <c r="K41" s="364">
        <f>'[4]Gross Plant'!C129</f>
        <v>175350.37000000005</v>
      </c>
      <c r="L41" s="394">
        <f t="shared" si="7"/>
        <v>1</v>
      </c>
      <c r="M41" s="394">
        <f t="shared" si="7"/>
        <v>1</v>
      </c>
      <c r="N41" s="364">
        <f t="shared" si="9"/>
        <v>175350.37000000005</v>
      </c>
    </row>
    <row r="42" spans="1:15">
      <c r="A42" s="112">
        <f t="shared" si="1"/>
        <v>28</v>
      </c>
      <c r="B42" s="855">
        <v>35302</v>
      </c>
      <c r="C42" s="205" t="s">
        <v>591</v>
      </c>
      <c r="D42" s="364">
        <f>'[4]Gross Plant'!Q130</f>
        <v>209318.9</v>
      </c>
      <c r="E42" s="498">
        <v>0</v>
      </c>
      <c r="F42" s="364">
        <f t="shared" si="10"/>
        <v>209318.9</v>
      </c>
      <c r="G42" s="394">
        <f t="shared" si="3"/>
        <v>1</v>
      </c>
      <c r="H42" s="394">
        <f t="shared" si="3"/>
        <v>1</v>
      </c>
      <c r="I42" s="364">
        <f t="shared" si="8"/>
        <v>209318.9</v>
      </c>
      <c r="K42" s="364">
        <f>'[4]Gross Plant'!C130</f>
        <v>209318.89999999994</v>
      </c>
      <c r="L42" s="394">
        <f t="shared" si="7"/>
        <v>1</v>
      </c>
      <c r="M42" s="394">
        <f t="shared" si="7"/>
        <v>1</v>
      </c>
      <c r="N42" s="364">
        <f t="shared" si="9"/>
        <v>209318.89999999994</v>
      </c>
    </row>
    <row r="43" spans="1:15">
      <c r="A43" s="112">
        <f t="shared" si="1"/>
        <v>29</v>
      </c>
      <c r="B43" s="855">
        <v>35400</v>
      </c>
      <c r="C43" s="205" t="s">
        <v>586</v>
      </c>
      <c r="D43" s="364">
        <f>'[4]Gross Plant'!Q131</f>
        <v>923446.05</v>
      </c>
      <c r="E43" s="498">
        <v>0</v>
      </c>
      <c r="F43" s="364">
        <f t="shared" si="10"/>
        <v>923446.05</v>
      </c>
      <c r="G43" s="394">
        <f t="shared" si="3"/>
        <v>1</v>
      </c>
      <c r="H43" s="394">
        <f t="shared" si="3"/>
        <v>1</v>
      </c>
      <c r="I43" s="364">
        <f t="shared" si="8"/>
        <v>923446.05</v>
      </c>
      <c r="K43" s="364">
        <f>'[4]Gross Plant'!C131</f>
        <v>923446.05000000016</v>
      </c>
      <c r="L43" s="394">
        <f t="shared" si="7"/>
        <v>1</v>
      </c>
      <c r="M43" s="394">
        <f t="shared" si="7"/>
        <v>1</v>
      </c>
      <c r="N43" s="364">
        <f t="shared" si="9"/>
        <v>923446.05000000016</v>
      </c>
    </row>
    <row r="44" spans="1:15">
      <c r="A44" s="112">
        <f t="shared" si="1"/>
        <v>30</v>
      </c>
      <c r="B44" s="855">
        <v>35500</v>
      </c>
      <c r="C44" s="205" t="s">
        <v>979</v>
      </c>
      <c r="D44" s="364">
        <f>'[4]Gross Plant'!Q132</f>
        <v>273084.38</v>
      </c>
      <c r="E44" s="498">
        <v>0</v>
      </c>
      <c r="F44" s="364">
        <f t="shared" si="10"/>
        <v>273084.38</v>
      </c>
      <c r="G44" s="394">
        <f t="shared" si="3"/>
        <v>1</v>
      </c>
      <c r="H44" s="394">
        <f t="shared" si="3"/>
        <v>1</v>
      </c>
      <c r="I44" s="364">
        <f t="shared" si="8"/>
        <v>273084.38</v>
      </c>
      <c r="K44" s="364">
        <f>'[4]Gross Plant'!C132</f>
        <v>273084.37999999995</v>
      </c>
      <c r="L44" s="394">
        <f t="shared" si="7"/>
        <v>1</v>
      </c>
      <c r="M44" s="394">
        <f t="shared" si="7"/>
        <v>1</v>
      </c>
      <c r="N44" s="364">
        <f t="shared" si="9"/>
        <v>273084.37999999995</v>
      </c>
    </row>
    <row r="45" spans="1:15">
      <c r="A45" s="112">
        <f t="shared" si="1"/>
        <v>31</v>
      </c>
      <c r="B45" s="855">
        <v>35600</v>
      </c>
      <c r="C45" s="205" t="s">
        <v>1024</v>
      </c>
      <c r="D45" s="364">
        <f>'[4]Gross Plant'!Q133</f>
        <v>829029.81</v>
      </c>
      <c r="E45" s="850">
        <v>0</v>
      </c>
      <c r="F45" s="326">
        <f t="shared" si="10"/>
        <v>829029.81</v>
      </c>
      <c r="G45" s="394">
        <f t="shared" ref="G45:H79" si="11">$G$16</f>
        <v>1</v>
      </c>
      <c r="H45" s="394">
        <f t="shared" si="11"/>
        <v>1</v>
      </c>
      <c r="I45" s="842">
        <f t="shared" si="8"/>
        <v>829029.81</v>
      </c>
      <c r="K45" s="364">
        <f>'[4]Gross Plant'!C133</f>
        <v>829029.81000000029</v>
      </c>
      <c r="L45" s="394">
        <f t="shared" si="7"/>
        <v>1</v>
      </c>
      <c r="M45" s="394">
        <f t="shared" si="7"/>
        <v>1</v>
      </c>
      <c r="N45" s="842">
        <f t="shared" si="9"/>
        <v>829029.81000000029</v>
      </c>
    </row>
    <row r="46" spans="1:15">
      <c r="A46" s="112">
        <f t="shared" si="1"/>
        <v>32</v>
      </c>
      <c r="B46" s="956"/>
      <c r="C46" s="205"/>
      <c r="D46" s="499"/>
      <c r="E46" s="499"/>
      <c r="F46" s="499"/>
      <c r="G46" s="296"/>
      <c r="H46" s="296"/>
      <c r="I46" s="583"/>
      <c r="K46" s="499"/>
      <c r="N46" s="499"/>
    </row>
    <row r="47" spans="1:15">
      <c r="A47" s="112">
        <f t="shared" si="1"/>
        <v>33</v>
      </c>
      <c r="B47" s="956"/>
      <c r="C47" s="205" t="s">
        <v>214</v>
      </c>
      <c r="D47" s="304">
        <f>SUM(D29:D46)</f>
        <v>16168206.670000002</v>
      </c>
      <c r="E47" s="304">
        <f>SUM(E29:E46)</f>
        <v>0</v>
      </c>
      <c r="F47" s="304">
        <f>SUM(F29:F46)</f>
        <v>16168206.670000002</v>
      </c>
      <c r="G47" s="296"/>
      <c r="H47" s="296"/>
      <c r="I47" s="304">
        <f>SUM(I29:I46)</f>
        <v>16168206.670000002</v>
      </c>
      <c r="K47" s="304">
        <f>SUM(K29:K46)</f>
        <v>16168206.669999998</v>
      </c>
      <c r="N47" s="304">
        <f>SUM(N29:N46)</f>
        <v>16168206.669999998</v>
      </c>
      <c r="O47" s="544"/>
    </row>
    <row r="48" spans="1:15">
      <c r="A48" s="112">
        <f t="shared" si="1"/>
        <v>34</v>
      </c>
      <c r="B48" s="956"/>
      <c r="C48" s="205"/>
      <c r="G48" s="296"/>
      <c r="H48" s="296"/>
      <c r="I48" s="310"/>
    </row>
    <row r="49" spans="1:22">
      <c r="A49" s="112">
        <f t="shared" si="1"/>
        <v>35</v>
      </c>
      <c r="B49" s="956"/>
      <c r="C49" s="500" t="s">
        <v>980</v>
      </c>
      <c r="G49" s="296"/>
      <c r="H49" s="296"/>
      <c r="I49" s="310"/>
    </row>
    <row r="50" spans="1:22">
      <c r="A50" s="112">
        <f t="shared" si="1"/>
        <v>36</v>
      </c>
      <c r="B50" s="855">
        <v>36510</v>
      </c>
      <c r="C50" s="205" t="s">
        <v>290</v>
      </c>
      <c r="D50" s="290">
        <f>'[4]Gross Plant'!Q134</f>
        <v>26970.37</v>
      </c>
      <c r="E50" s="387">
        <v>0</v>
      </c>
      <c r="F50" s="304">
        <f>D50+E50</f>
        <v>26970.37</v>
      </c>
      <c r="G50" s="394">
        <f t="shared" si="11"/>
        <v>1</v>
      </c>
      <c r="H50" s="394">
        <f t="shared" si="11"/>
        <v>1</v>
      </c>
      <c r="I50" s="304">
        <f>F50*G50*H50</f>
        <v>26970.37</v>
      </c>
      <c r="K50" s="290">
        <f>'[4]Gross Plant'!C134</f>
        <v>26970.37</v>
      </c>
      <c r="L50" s="394">
        <f t="shared" ref="L50:M58" si="12">$G$16</f>
        <v>1</v>
      </c>
      <c r="M50" s="394">
        <f t="shared" si="12"/>
        <v>1</v>
      </c>
      <c r="N50" s="304">
        <f>K50*L50*M50</f>
        <v>26970.37</v>
      </c>
    </row>
    <row r="51" spans="1:22">
      <c r="A51" s="112">
        <f t="shared" si="1"/>
        <v>37</v>
      </c>
      <c r="B51" s="855">
        <v>36520</v>
      </c>
      <c r="C51" s="205" t="s">
        <v>785</v>
      </c>
      <c r="D51" s="364">
        <f>'[4]Gross Plant'!Q135</f>
        <v>867772</v>
      </c>
      <c r="E51" s="498">
        <v>0</v>
      </c>
      <c r="F51" s="364">
        <f>D51+E51</f>
        <v>867772</v>
      </c>
      <c r="G51" s="394">
        <f t="shared" si="11"/>
        <v>1</v>
      </c>
      <c r="H51" s="394">
        <f t="shared" si="11"/>
        <v>1</v>
      </c>
      <c r="I51" s="364">
        <f t="shared" ref="I51:I58" si="13">F51*G51*H51</f>
        <v>867772</v>
      </c>
      <c r="K51" s="364">
        <f>'[4]Gross Plant'!C135</f>
        <v>867772</v>
      </c>
      <c r="L51" s="394">
        <f t="shared" si="12"/>
        <v>1</v>
      </c>
      <c r="M51" s="394">
        <f t="shared" si="12"/>
        <v>1</v>
      </c>
      <c r="N51" s="364">
        <f t="shared" ref="N51:N58" si="14">K51*L51*M51</f>
        <v>867772</v>
      </c>
    </row>
    <row r="52" spans="1:22">
      <c r="A52" s="112">
        <f t="shared" si="1"/>
        <v>38</v>
      </c>
      <c r="B52" s="855">
        <v>36602</v>
      </c>
      <c r="C52" s="205" t="s">
        <v>848</v>
      </c>
      <c r="D52" s="364">
        <f>'[4]Gross Plant'!Q136</f>
        <v>49001.72</v>
      </c>
      <c r="E52" s="498">
        <v>0</v>
      </c>
      <c r="F52" s="364">
        <f t="shared" ref="F52:F58" si="15">D52+E52</f>
        <v>49001.72</v>
      </c>
      <c r="G52" s="394">
        <f t="shared" si="11"/>
        <v>1</v>
      </c>
      <c r="H52" s="394">
        <f t="shared" si="11"/>
        <v>1</v>
      </c>
      <c r="I52" s="364">
        <f t="shared" si="13"/>
        <v>49001.72</v>
      </c>
      <c r="K52" s="364">
        <f>'[4]Gross Plant'!C136</f>
        <v>49001.719999999987</v>
      </c>
      <c r="L52" s="394">
        <f t="shared" si="12"/>
        <v>1</v>
      </c>
      <c r="M52" s="394">
        <f t="shared" si="12"/>
        <v>1</v>
      </c>
      <c r="N52" s="364">
        <f t="shared" si="14"/>
        <v>49001.719999999987</v>
      </c>
    </row>
    <row r="53" spans="1:22">
      <c r="A53" s="112">
        <f t="shared" si="1"/>
        <v>39</v>
      </c>
      <c r="B53" s="855">
        <v>36603</v>
      </c>
      <c r="C53" s="205" t="s">
        <v>981</v>
      </c>
      <c r="D53" s="364">
        <f>'[4]Gross Plant'!Q137</f>
        <v>60826.29</v>
      </c>
      <c r="E53" s="498">
        <v>0</v>
      </c>
      <c r="F53" s="364">
        <f t="shared" si="15"/>
        <v>60826.29</v>
      </c>
      <c r="G53" s="394">
        <f t="shared" si="11"/>
        <v>1</v>
      </c>
      <c r="H53" s="394">
        <f t="shared" si="11"/>
        <v>1</v>
      </c>
      <c r="I53" s="364">
        <f t="shared" si="13"/>
        <v>60826.29</v>
      </c>
      <c r="K53" s="364">
        <f>'[4]Gross Plant'!C137</f>
        <v>60826.290000000008</v>
      </c>
      <c r="L53" s="394">
        <f t="shared" si="12"/>
        <v>1</v>
      </c>
      <c r="M53" s="394">
        <f t="shared" si="12"/>
        <v>1</v>
      </c>
      <c r="N53" s="364">
        <f t="shared" si="14"/>
        <v>60826.290000000008</v>
      </c>
    </row>
    <row r="54" spans="1:22">
      <c r="A54" s="112">
        <f t="shared" si="1"/>
        <v>40</v>
      </c>
      <c r="B54" s="855">
        <v>36700</v>
      </c>
      <c r="C54" s="205" t="s">
        <v>836</v>
      </c>
      <c r="D54" s="364">
        <f>'[4]Gross Plant'!Q138</f>
        <v>47232.93</v>
      </c>
      <c r="E54" s="498">
        <v>0</v>
      </c>
      <c r="F54" s="364">
        <f t="shared" si="15"/>
        <v>47232.93</v>
      </c>
      <c r="G54" s="394">
        <f t="shared" si="11"/>
        <v>1</v>
      </c>
      <c r="H54" s="394">
        <f t="shared" si="11"/>
        <v>1</v>
      </c>
      <c r="I54" s="364">
        <f t="shared" si="13"/>
        <v>47232.93</v>
      </c>
      <c r="K54" s="364">
        <f>'[4]Gross Plant'!C138</f>
        <v>47232.930000000008</v>
      </c>
      <c r="L54" s="394">
        <f t="shared" si="12"/>
        <v>1</v>
      </c>
      <c r="M54" s="394">
        <f t="shared" si="12"/>
        <v>1</v>
      </c>
      <c r="N54" s="364">
        <f t="shared" si="14"/>
        <v>47232.930000000008</v>
      </c>
    </row>
    <row r="55" spans="1:22">
      <c r="A55" s="112">
        <f t="shared" si="1"/>
        <v>41</v>
      </c>
      <c r="B55" s="855">
        <v>36701</v>
      </c>
      <c r="C55" s="205" t="s">
        <v>16</v>
      </c>
      <c r="D55" s="364">
        <f>'[4]Gross Plant'!Q139</f>
        <v>27828360.870000001</v>
      </c>
      <c r="E55" s="498">
        <v>0</v>
      </c>
      <c r="F55" s="364">
        <f t="shared" si="15"/>
        <v>27828360.870000001</v>
      </c>
      <c r="G55" s="394">
        <f t="shared" si="11"/>
        <v>1</v>
      </c>
      <c r="H55" s="394">
        <f t="shared" si="11"/>
        <v>1</v>
      </c>
      <c r="I55" s="364">
        <f t="shared" si="13"/>
        <v>27828360.870000001</v>
      </c>
      <c r="K55" s="364">
        <f>'[4]Gross Plant'!C139</f>
        <v>27828360.870000001</v>
      </c>
      <c r="L55" s="394">
        <f t="shared" si="12"/>
        <v>1</v>
      </c>
      <c r="M55" s="394">
        <f t="shared" si="12"/>
        <v>1</v>
      </c>
      <c r="N55" s="364">
        <f t="shared" si="14"/>
        <v>27828360.870000001</v>
      </c>
    </row>
    <row r="56" spans="1:22">
      <c r="A56" s="112">
        <f t="shared" si="1"/>
        <v>42</v>
      </c>
      <c r="B56" s="855">
        <v>36703</v>
      </c>
      <c r="C56" s="205" t="s">
        <v>1529</v>
      </c>
      <c r="D56" s="364">
        <f>'[4]Gross Plant'!Q140</f>
        <v>51177.42</v>
      </c>
      <c r="E56" s="498">
        <v>0</v>
      </c>
      <c r="F56" s="364">
        <f t="shared" ref="F56" si="16">D56+E56</f>
        <v>51177.42</v>
      </c>
      <c r="G56" s="394">
        <f t="shared" si="11"/>
        <v>1</v>
      </c>
      <c r="H56" s="394">
        <f t="shared" si="11"/>
        <v>1</v>
      </c>
      <c r="I56" s="364">
        <f t="shared" ref="I56" si="17">F56*G56*H56</f>
        <v>51177.42</v>
      </c>
      <c r="K56" s="364">
        <f>'[4]Gross Plant'!C140</f>
        <v>51177.42</v>
      </c>
      <c r="L56" s="394">
        <f t="shared" si="12"/>
        <v>1</v>
      </c>
      <c r="M56" s="394">
        <f t="shared" si="12"/>
        <v>1</v>
      </c>
      <c r="N56" s="364">
        <f t="shared" ref="N56" si="18">K56*L56*M56</f>
        <v>51177.42</v>
      </c>
      <c r="O56"/>
      <c r="P56"/>
      <c r="Q56"/>
      <c r="R56"/>
      <c r="S56"/>
      <c r="T56"/>
      <c r="U56"/>
      <c r="V56"/>
    </row>
    <row r="57" spans="1:22">
      <c r="A57" s="112">
        <f t="shared" si="1"/>
        <v>43</v>
      </c>
      <c r="B57" s="855">
        <v>36900</v>
      </c>
      <c r="C57" s="205" t="s">
        <v>982</v>
      </c>
      <c r="D57" s="364">
        <f>'[4]Gross Plant'!Q141</f>
        <v>1999587.39</v>
      </c>
      <c r="E57" s="498">
        <v>0</v>
      </c>
      <c r="F57" s="364">
        <f t="shared" si="15"/>
        <v>1999587.39</v>
      </c>
      <c r="G57" s="394">
        <f t="shared" si="11"/>
        <v>1</v>
      </c>
      <c r="H57" s="394">
        <f t="shared" si="11"/>
        <v>1</v>
      </c>
      <c r="I57" s="364">
        <f t="shared" si="13"/>
        <v>1999587.39</v>
      </c>
      <c r="K57" s="364">
        <f>'[4]Gross Plant'!C141</f>
        <v>1999587.3900000004</v>
      </c>
      <c r="L57" s="394">
        <f t="shared" si="12"/>
        <v>1</v>
      </c>
      <c r="M57" s="394">
        <f t="shared" si="12"/>
        <v>1</v>
      </c>
      <c r="N57" s="364">
        <f t="shared" si="14"/>
        <v>1999587.3900000004</v>
      </c>
      <c r="O57"/>
      <c r="P57"/>
      <c r="Q57"/>
      <c r="R57"/>
      <c r="S57"/>
      <c r="T57"/>
      <c r="U57"/>
      <c r="V57"/>
    </row>
    <row r="58" spans="1:22">
      <c r="A58" s="112">
        <f t="shared" si="1"/>
        <v>44</v>
      </c>
      <c r="B58" s="855">
        <v>36901</v>
      </c>
      <c r="C58" s="205" t="s">
        <v>982</v>
      </c>
      <c r="D58" s="364">
        <f>'[4]Gross Plant'!Q142</f>
        <v>2269499.29</v>
      </c>
      <c r="E58" s="850">
        <v>0</v>
      </c>
      <c r="F58" s="326">
        <f t="shared" si="15"/>
        <v>2269499.29</v>
      </c>
      <c r="G58" s="394">
        <f t="shared" si="11"/>
        <v>1</v>
      </c>
      <c r="H58" s="394">
        <f t="shared" si="11"/>
        <v>1</v>
      </c>
      <c r="I58" s="842">
        <f t="shared" si="13"/>
        <v>2269499.29</v>
      </c>
      <c r="K58" s="364">
        <f>'[4]Gross Plant'!C142</f>
        <v>2269499.2899999996</v>
      </c>
      <c r="L58" s="394">
        <f t="shared" si="12"/>
        <v>1</v>
      </c>
      <c r="M58" s="394">
        <f t="shared" si="12"/>
        <v>1</v>
      </c>
      <c r="N58" s="842">
        <f t="shared" si="14"/>
        <v>2269499.2899999996</v>
      </c>
      <c r="O58"/>
      <c r="P58"/>
      <c r="Q58"/>
      <c r="R58"/>
      <c r="S58"/>
      <c r="T58"/>
      <c r="U58"/>
      <c r="V58"/>
    </row>
    <row r="59" spans="1:22">
      <c r="A59" s="112">
        <f t="shared" si="1"/>
        <v>45</v>
      </c>
      <c r="B59" s="956"/>
      <c r="C59" s="205"/>
      <c r="D59" s="499"/>
      <c r="E59" s="499"/>
      <c r="F59" s="499"/>
      <c r="G59" s="296"/>
      <c r="H59" s="296"/>
      <c r="I59" s="583"/>
      <c r="K59" s="583"/>
      <c r="N59" s="499"/>
      <c r="O59"/>
      <c r="P59"/>
      <c r="Q59"/>
      <c r="R59"/>
      <c r="S59"/>
      <c r="T59"/>
      <c r="U59"/>
      <c r="V59"/>
    </row>
    <row r="60" spans="1:22">
      <c r="A60" s="112">
        <f t="shared" si="1"/>
        <v>46</v>
      </c>
      <c r="B60" s="956"/>
      <c r="C60" s="205" t="s">
        <v>1301</v>
      </c>
      <c r="D60" s="304">
        <f>SUM(D50:D59)</f>
        <v>33200428.280000001</v>
      </c>
      <c r="E60" s="304">
        <f>SUM(E50:E59)</f>
        <v>0</v>
      </c>
      <c r="F60" s="304">
        <f>SUM(F50:F59)</f>
        <v>33200428.280000001</v>
      </c>
      <c r="G60" s="296"/>
      <c r="H60" s="296"/>
      <c r="I60" s="304">
        <f>SUM(I50:I59)</f>
        <v>33200428.280000001</v>
      </c>
      <c r="K60" s="304">
        <f>SUM(K50:K59)</f>
        <v>33200428.280000001</v>
      </c>
      <c r="N60" s="304">
        <f>SUM(N50:N59)</f>
        <v>33200428.280000001</v>
      </c>
      <c r="O60"/>
      <c r="P60"/>
      <c r="Q60"/>
      <c r="R60"/>
      <c r="S60"/>
      <c r="T60"/>
      <c r="U60"/>
      <c r="V60"/>
    </row>
    <row r="61" spans="1:22">
      <c r="A61" s="112">
        <f t="shared" si="1"/>
        <v>47</v>
      </c>
      <c r="B61" s="956"/>
      <c r="C61" s="172"/>
      <c r="G61" s="296"/>
      <c r="H61" s="296"/>
      <c r="I61" s="310"/>
      <c r="K61" s="310"/>
      <c r="O61"/>
      <c r="P61"/>
      <c r="Q61"/>
      <c r="R61"/>
      <c r="S61"/>
      <c r="T61"/>
      <c r="U61"/>
      <c r="V61"/>
    </row>
    <row r="62" spans="1:22">
      <c r="A62" s="112">
        <f t="shared" si="1"/>
        <v>48</v>
      </c>
      <c r="B62" s="956"/>
      <c r="C62" s="500" t="s">
        <v>297</v>
      </c>
      <c r="G62" s="296"/>
      <c r="H62" s="296"/>
      <c r="I62" s="310"/>
      <c r="K62" s="310"/>
      <c r="O62"/>
      <c r="P62"/>
      <c r="Q62"/>
      <c r="R62"/>
      <c r="S62"/>
      <c r="T62"/>
      <c r="U62"/>
      <c r="V62"/>
    </row>
    <row r="63" spans="1:22">
      <c r="A63" s="112">
        <f t="shared" si="1"/>
        <v>49</v>
      </c>
      <c r="B63" s="855">
        <v>37400</v>
      </c>
      <c r="C63" s="205" t="s">
        <v>1128</v>
      </c>
      <c r="D63" s="290">
        <f>'[4]Gross Plant'!Q143</f>
        <v>531166.79</v>
      </c>
      <c r="E63" s="387">
        <v>0</v>
      </c>
      <c r="F63" s="304">
        <f>D63+E63</f>
        <v>531166.79</v>
      </c>
      <c r="G63" s="394">
        <f t="shared" si="11"/>
        <v>1</v>
      </c>
      <c r="H63" s="394">
        <f t="shared" si="11"/>
        <v>1</v>
      </c>
      <c r="I63" s="304">
        <f>F63*G63*H63</f>
        <v>531166.79</v>
      </c>
      <c r="K63" s="290">
        <f>'[4]Gross Plant'!C143</f>
        <v>531166.79</v>
      </c>
      <c r="L63" s="394">
        <f t="shared" ref="L63:M84" si="19">$G$16</f>
        <v>1</v>
      </c>
      <c r="M63" s="394">
        <f t="shared" si="19"/>
        <v>1</v>
      </c>
      <c r="N63" s="304">
        <f>K63*L63*M63</f>
        <v>531166.79</v>
      </c>
      <c r="O63"/>
      <c r="P63"/>
      <c r="Q63"/>
      <c r="R63"/>
      <c r="S63"/>
      <c r="T63"/>
      <c r="U63"/>
      <c r="V63"/>
    </row>
    <row r="64" spans="1:22">
      <c r="A64" s="112">
        <f t="shared" si="1"/>
        <v>50</v>
      </c>
      <c r="B64" s="855">
        <v>37401</v>
      </c>
      <c r="C64" s="205" t="s">
        <v>290</v>
      </c>
      <c r="D64" s="364">
        <f>'[4]Gross Plant'!Q144</f>
        <v>428640.46</v>
      </c>
      <c r="E64" s="498">
        <v>0</v>
      </c>
      <c r="F64" s="364">
        <f>D64+E64</f>
        <v>428640.46</v>
      </c>
      <c r="G64" s="394">
        <f t="shared" si="11"/>
        <v>1</v>
      </c>
      <c r="H64" s="394">
        <f t="shared" si="11"/>
        <v>1</v>
      </c>
      <c r="I64" s="364">
        <f t="shared" ref="I64:I84" si="20">F64*G64*H64</f>
        <v>428640.46</v>
      </c>
      <c r="J64" s="498"/>
      <c r="K64" s="364">
        <f>'[4]Gross Plant'!C144</f>
        <v>428640.46</v>
      </c>
      <c r="L64" s="394">
        <f t="shared" si="19"/>
        <v>1</v>
      </c>
      <c r="M64" s="394">
        <f t="shared" si="19"/>
        <v>1</v>
      </c>
      <c r="N64" s="364">
        <f t="shared" ref="N64:N84" si="21">K64*L64*M64</f>
        <v>428640.46</v>
      </c>
      <c r="O64"/>
      <c r="P64"/>
      <c r="Q64"/>
      <c r="R64"/>
      <c r="S64"/>
      <c r="T64"/>
      <c r="U64"/>
      <c r="V64"/>
    </row>
    <row r="65" spans="1:22">
      <c r="A65" s="112">
        <f t="shared" si="1"/>
        <v>51</v>
      </c>
      <c r="B65" s="855">
        <v>37402</v>
      </c>
      <c r="C65" s="205" t="s">
        <v>986</v>
      </c>
      <c r="D65" s="364">
        <f>'[4]Gross Plant'!Q145</f>
        <v>3561926.33</v>
      </c>
      <c r="E65" s="498">
        <v>0</v>
      </c>
      <c r="F65" s="364">
        <f t="shared" ref="F65:F84" si="22">D65+E65</f>
        <v>3561926.33</v>
      </c>
      <c r="G65" s="394">
        <f t="shared" si="11"/>
        <v>1</v>
      </c>
      <c r="H65" s="394">
        <f t="shared" si="11"/>
        <v>1</v>
      </c>
      <c r="I65" s="364">
        <f t="shared" si="20"/>
        <v>3561926.33</v>
      </c>
      <c r="J65" s="498"/>
      <c r="K65" s="364">
        <f>'[4]Gross Plant'!C145</f>
        <v>3561926.3299999987</v>
      </c>
      <c r="L65" s="394">
        <f t="shared" si="19"/>
        <v>1</v>
      </c>
      <c r="M65" s="394">
        <f t="shared" si="19"/>
        <v>1</v>
      </c>
      <c r="N65" s="364">
        <f t="shared" si="21"/>
        <v>3561926.3299999987</v>
      </c>
      <c r="O65"/>
      <c r="P65"/>
      <c r="Q65"/>
      <c r="R65"/>
      <c r="S65"/>
      <c r="T65"/>
      <c r="U65"/>
      <c r="V65"/>
    </row>
    <row r="66" spans="1:22">
      <c r="A66" s="112">
        <f t="shared" si="1"/>
        <v>52</v>
      </c>
      <c r="B66" s="855">
        <v>37403</v>
      </c>
      <c r="C66" s="205" t="s">
        <v>983</v>
      </c>
      <c r="D66" s="364">
        <f>'[4]Gross Plant'!Q146</f>
        <v>2783.89</v>
      </c>
      <c r="E66" s="498">
        <v>0</v>
      </c>
      <c r="F66" s="364">
        <f t="shared" si="22"/>
        <v>2783.89</v>
      </c>
      <c r="G66" s="394">
        <f t="shared" si="11"/>
        <v>1</v>
      </c>
      <c r="H66" s="394">
        <f t="shared" si="11"/>
        <v>1</v>
      </c>
      <c r="I66" s="364">
        <f t="shared" si="20"/>
        <v>2783.89</v>
      </c>
      <c r="J66" s="498"/>
      <c r="K66" s="364">
        <f>'[4]Gross Plant'!C146</f>
        <v>2783.89</v>
      </c>
      <c r="L66" s="394">
        <f t="shared" si="19"/>
        <v>1</v>
      </c>
      <c r="M66" s="394">
        <f t="shared" si="19"/>
        <v>1</v>
      </c>
      <c r="N66" s="364">
        <f t="shared" si="21"/>
        <v>2783.89</v>
      </c>
      <c r="O66"/>
      <c r="P66"/>
      <c r="Q66"/>
      <c r="R66"/>
      <c r="S66"/>
      <c r="T66"/>
      <c r="U66"/>
      <c r="V66"/>
    </row>
    <row r="67" spans="1:22">
      <c r="A67" s="112">
        <f t="shared" si="1"/>
        <v>53</v>
      </c>
      <c r="B67" s="855">
        <v>37500</v>
      </c>
      <c r="C67" s="205" t="s">
        <v>848</v>
      </c>
      <c r="D67" s="364">
        <f>'[4]Gross Plant'!Q147</f>
        <v>336167.54</v>
      </c>
      <c r="E67" s="498">
        <v>0</v>
      </c>
      <c r="F67" s="364">
        <f t="shared" si="22"/>
        <v>336167.54</v>
      </c>
      <c r="G67" s="394">
        <f t="shared" si="11"/>
        <v>1</v>
      </c>
      <c r="H67" s="394">
        <f t="shared" si="11"/>
        <v>1</v>
      </c>
      <c r="I67" s="364">
        <f t="shared" si="20"/>
        <v>336167.54</v>
      </c>
      <c r="J67" s="498"/>
      <c r="K67" s="364">
        <f>'[4]Gross Plant'!C147</f>
        <v>336167.54</v>
      </c>
      <c r="L67" s="394">
        <f t="shared" si="19"/>
        <v>1</v>
      </c>
      <c r="M67" s="394">
        <f t="shared" si="19"/>
        <v>1</v>
      </c>
      <c r="N67" s="364">
        <f t="shared" si="21"/>
        <v>336167.54</v>
      </c>
      <c r="O67"/>
      <c r="P67"/>
      <c r="Q67"/>
      <c r="R67"/>
      <c r="S67"/>
      <c r="T67"/>
      <c r="U67"/>
      <c r="V67"/>
    </row>
    <row r="68" spans="1:22">
      <c r="A68" s="112">
        <f t="shared" si="1"/>
        <v>54</v>
      </c>
      <c r="B68" s="855">
        <v>37501</v>
      </c>
      <c r="C68" s="205" t="s">
        <v>984</v>
      </c>
      <c r="D68" s="364">
        <f>'[4]Gross Plant'!Q148</f>
        <v>99818.13</v>
      </c>
      <c r="E68" s="498">
        <v>0</v>
      </c>
      <c r="F68" s="364">
        <f t="shared" si="22"/>
        <v>99818.13</v>
      </c>
      <c r="G68" s="394">
        <f t="shared" si="11"/>
        <v>1</v>
      </c>
      <c r="H68" s="394">
        <f t="shared" si="11"/>
        <v>1</v>
      </c>
      <c r="I68" s="364">
        <f t="shared" si="20"/>
        <v>99818.13</v>
      </c>
      <c r="J68" s="498"/>
      <c r="K68" s="364">
        <f>'[4]Gross Plant'!C148</f>
        <v>99818.12999999999</v>
      </c>
      <c r="L68" s="394">
        <f t="shared" si="19"/>
        <v>1</v>
      </c>
      <c r="M68" s="394">
        <f t="shared" si="19"/>
        <v>1</v>
      </c>
      <c r="N68" s="364">
        <f t="shared" si="21"/>
        <v>99818.12999999999</v>
      </c>
      <c r="O68"/>
      <c r="P68"/>
      <c r="Q68"/>
      <c r="R68"/>
      <c r="S68"/>
      <c r="T68"/>
      <c r="U68"/>
      <c r="V68"/>
    </row>
    <row r="69" spans="1:22">
      <c r="A69" s="112">
        <f t="shared" si="1"/>
        <v>55</v>
      </c>
      <c r="B69" s="855">
        <v>37502</v>
      </c>
      <c r="C69" s="205" t="s">
        <v>986</v>
      </c>
      <c r="D69" s="364">
        <f>'[4]Gross Plant'!Q149</f>
        <v>46264.19</v>
      </c>
      <c r="E69" s="498">
        <v>0</v>
      </c>
      <c r="F69" s="364">
        <f t="shared" si="22"/>
        <v>46264.19</v>
      </c>
      <c r="G69" s="394">
        <f t="shared" si="11"/>
        <v>1</v>
      </c>
      <c r="H69" s="394">
        <f t="shared" si="11"/>
        <v>1</v>
      </c>
      <c r="I69" s="364">
        <f t="shared" si="20"/>
        <v>46264.19</v>
      </c>
      <c r="J69" s="498"/>
      <c r="K69" s="364">
        <f>'[4]Gross Plant'!C149</f>
        <v>46264.189999999995</v>
      </c>
      <c r="L69" s="394">
        <f t="shared" si="19"/>
        <v>1</v>
      </c>
      <c r="M69" s="394">
        <f t="shared" si="19"/>
        <v>1</v>
      </c>
      <c r="N69" s="364">
        <f t="shared" si="21"/>
        <v>46264.189999999995</v>
      </c>
      <c r="O69"/>
      <c r="P69"/>
      <c r="Q69"/>
      <c r="R69"/>
      <c r="S69"/>
      <c r="T69"/>
      <c r="U69"/>
      <c r="V69"/>
    </row>
    <row r="70" spans="1:22">
      <c r="A70" s="112">
        <f t="shared" si="1"/>
        <v>56</v>
      </c>
      <c r="B70" s="855">
        <v>37503</v>
      </c>
      <c r="C70" s="205" t="s">
        <v>985</v>
      </c>
      <c r="D70" s="364">
        <f>'[4]Gross Plant'!Q150</f>
        <v>4005.08</v>
      </c>
      <c r="E70" s="498">
        <v>0</v>
      </c>
      <c r="F70" s="364">
        <f t="shared" si="22"/>
        <v>4005.08</v>
      </c>
      <c r="G70" s="394">
        <f t="shared" si="11"/>
        <v>1</v>
      </c>
      <c r="H70" s="394">
        <f t="shared" si="11"/>
        <v>1</v>
      </c>
      <c r="I70" s="364">
        <f t="shared" si="20"/>
        <v>4005.08</v>
      </c>
      <c r="J70" s="498"/>
      <c r="K70" s="364">
        <f>'[4]Gross Plant'!C150</f>
        <v>4005.0800000000013</v>
      </c>
      <c r="L70" s="394">
        <f t="shared" si="19"/>
        <v>1</v>
      </c>
      <c r="M70" s="394">
        <f t="shared" si="19"/>
        <v>1</v>
      </c>
      <c r="N70" s="364">
        <f t="shared" si="21"/>
        <v>4005.0800000000013</v>
      </c>
      <c r="O70"/>
      <c r="P70"/>
      <c r="Q70"/>
      <c r="R70"/>
      <c r="S70"/>
      <c r="T70"/>
      <c r="U70"/>
      <c r="V70"/>
    </row>
    <row r="71" spans="1:22">
      <c r="A71" s="112">
        <f t="shared" si="1"/>
        <v>57</v>
      </c>
      <c r="B71" s="855">
        <v>37600</v>
      </c>
      <c r="C71" s="205" t="s">
        <v>836</v>
      </c>
      <c r="D71" s="364">
        <f>'[4]Gross Plant'!Q151</f>
        <v>3207248.113778342</v>
      </c>
      <c r="E71" s="498">
        <v>0</v>
      </c>
      <c r="F71" s="364">
        <f t="shared" si="22"/>
        <v>3207248.113778342</v>
      </c>
      <c r="G71" s="394">
        <f t="shared" si="11"/>
        <v>1</v>
      </c>
      <c r="H71" s="394">
        <f t="shared" si="11"/>
        <v>1</v>
      </c>
      <c r="I71" s="364">
        <f t="shared" si="20"/>
        <v>3207248.113778342</v>
      </c>
      <c r="J71" s="498"/>
      <c r="K71" s="364">
        <f>'[4]Gross Plant'!C151</f>
        <v>3038232.6160787982</v>
      </c>
      <c r="L71" s="394">
        <f t="shared" si="19"/>
        <v>1</v>
      </c>
      <c r="M71" s="394">
        <f t="shared" si="19"/>
        <v>1</v>
      </c>
      <c r="N71" s="364">
        <f t="shared" si="21"/>
        <v>3038232.6160787982</v>
      </c>
      <c r="O71"/>
      <c r="P71"/>
      <c r="Q71"/>
      <c r="R71"/>
      <c r="S71"/>
      <c r="T71"/>
      <c r="U71"/>
      <c r="V71"/>
    </row>
    <row r="72" spans="1:22">
      <c r="A72" s="112">
        <f t="shared" si="1"/>
        <v>58</v>
      </c>
      <c r="B72" s="855">
        <v>37601</v>
      </c>
      <c r="C72" s="205" t="s">
        <v>16</v>
      </c>
      <c r="D72" s="364">
        <f>'[4]Gross Plant'!Q152</f>
        <v>207358889.91344732</v>
      </c>
      <c r="E72" s="498">
        <v>0</v>
      </c>
      <c r="F72" s="364">
        <f t="shared" si="22"/>
        <v>207358889.91344732</v>
      </c>
      <c r="G72" s="394">
        <f t="shared" si="11"/>
        <v>1</v>
      </c>
      <c r="H72" s="394">
        <f t="shared" si="11"/>
        <v>1</v>
      </c>
      <c r="I72" s="364">
        <f t="shared" si="20"/>
        <v>207358889.91344732</v>
      </c>
      <c r="J72" s="498"/>
      <c r="K72" s="364">
        <f>'[4]Gross Plant'!C152</f>
        <v>207619414.29454848</v>
      </c>
      <c r="L72" s="394">
        <f t="shared" si="19"/>
        <v>1</v>
      </c>
      <c r="M72" s="394">
        <f t="shared" si="19"/>
        <v>1</v>
      </c>
      <c r="N72" s="364">
        <f t="shared" si="21"/>
        <v>207619414.29454848</v>
      </c>
      <c r="O72"/>
      <c r="P72"/>
      <c r="Q72"/>
      <c r="R72"/>
      <c r="S72"/>
      <c r="T72"/>
      <c r="U72"/>
      <c r="V72"/>
    </row>
    <row r="73" spans="1:22">
      <c r="A73" s="112">
        <f t="shared" si="1"/>
        <v>59</v>
      </c>
      <c r="B73" s="855">
        <v>37602</v>
      </c>
      <c r="C73" s="205" t="s">
        <v>837</v>
      </c>
      <c r="D73" s="364">
        <f>'[4]Gross Plant'!Q153</f>
        <v>190174254.55873442</v>
      </c>
      <c r="E73" s="498">
        <v>0</v>
      </c>
      <c r="F73" s="364">
        <f t="shared" si="22"/>
        <v>190174254.55873442</v>
      </c>
      <c r="G73" s="394">
        <f t="shared" si="11"/>
        <v>1</v>
      </c>
      <c r="H73" s="394">
        <f t="shared" si="11"/>
        <v>1</v>
      </c>
      <c r="I73" s="364">
        <f t="shared" si="20"/>
        <v>190174254.55873442</v>
      </c>
      <c r="J73" s="498"/>
      <c r="K73" s="364">
        <f>'[4]Gross Plant'!C153</f>
        <v>179103056.86933357</v>
      </c>
      <c r="L73" s="394">
        <f t="shared" si="19"/>
        <v>1</v>
      </c>
      <c r="M73" s="394">
        <f t="shared" si="19"/>
        <v>1</v>
      </c>
      <c r="N73" s="364">
        <f t="shared" si="21"/>
        <v>179103056.86933357</v>
      </c>
      <c r="O73"/>
      <c r="P73"/>
      <c r="Q73"/>
      <c r="R73"/>
      <c r="S73"/>
      <c r="T73"/>
      <c r="U73"/>
      <c r="V73"/>
    </row>
    <row r="74" spans="1:22">
      <c r="A74" s="112">
        <f t="shared" si="1"/>
        <v>60</v>
      </c>
      <c r="B74" s="855">
        <v>37603</v>
      </c>
      <c r="C74" s="205" t="s">
        <v>1529</v>
      </c>
      <c r="D74" s="364">
        <f>'[4]Gross Plant'!Q154</f>
        <v>3699723.6753650834</v>
      </c>
      <c r="E74" s="498">
        <v>0</v>
      </c>
      <c r="F74" s="364">
        <f t="shared" si="22"/>
        <v>3699723.6753650834</v>
      </c>
      <c r="G74" s="394">
        <f t="shared" si="11"/>
        <v>1</v>
      </c>
      <c r="H74" s="394">
        <f t="shared" si="11"/>
        <v>1</v>
      </c>
      <c r="I74" s="364">
        <f t="shared" ref="I74:I75" si="23">F74*G74*H74</f>
        <v>3699723.6753650834</v>
      </c>
      <c r="J74" s="498"/>
      <c r="K74" s="364">
        <f>'[4]Gross Plant'!C154</f>
        <v>3779341.2559170625</v>
      </c>
      <c r="L74" s="394">
        <f t="shared" si="19"/>
        <v>1</v>
      </c>
      <c r="M74" s="394">
        <f t="shared" si="19"/>
        <v>1</v>
      </c>
      <c r="N74" s="364">
        <f t="shared" ref="N74:N75" si="24">K74*L74*M74</f>
        <v>3779341.2559170625</v>
      </c>
      <c r="O74"/>
      <c r="P74"/>
      <c r="Q74"/>
      <c r="R74"/>
      <c r="S74"/>
      <c r="T74"/>
      <c r="U74"/>
      <c r="V74"/>
    </row>
    <row r="75" spans="1:22">
      <c r="A75" s="112">
        <f t="shared" si="1"/>
        <v>61</v>
      </c>
      <c r="B75" s="855">
        <v>37604</v>
      </c>
      <c r="C75" s="205" t="s">
        <v>1530</v>
      </c>
      <c r="D75" s="364">
        <f>'[4]Gross Plant'!Q155</f>
        <v>10571511.840000002</v>
      </c>
      <c r="E75" s="498">
        <v>0</v>
      </c>
      <c r="F75" s="364">
        <f t="shared" si="22"/>
        <v>10571511.840000002</v>
      </c>
      <c r="G75" s="394">
        <f t="shared" si="11"/>
        <v>1</v>
      </c>
      <c r="H75" s="394">
        <f t="shared" si="11"/>
        <v>1</v>
      </c>
      <c r="I75" s="364">
        <f t="shared" si="23"/>
        <v>10571511.840000002</v>
      </c>
      <c r="J75" s="498"/>
      <c r="K75" s="364">
        <f>'[4]Gross Plant'!C155</f>
        <v>10705338.530769231</v>
      </c>
      <c r="L75" s="394">
        <f t="shared" si="19"/>
        <v>1</v>
      </c>
      <c r="M75" s="394">
        <f t="shared" si="19"/>
        <v>1</v>
      </c>
      <c r="N75" s="364">
        <f t="shared" si="24"/>
        <v>10705338.530769231</v>
      </c>
      <c r="O75"/>
      <c r="P75"/>
      <c r="Q75"/>
      <c r="R75"/>
      <c r="S75"/>
      <c r="T75"/>
      <c r="U75"/>
      <c r="V75"/>
    </row>
    <row r="76" spans="1:22">
      <c r="A76" s="112">
        <f t="shared" si="1"/>
        <v>62</v>
      </c>
      <c r="B76" s="855">
        <v>37800</v>
      </c>
      <c r="C76" s="205" t="s">
        <v>228</v>
      </c>
      <c r="D76" s="364">
        <f>'[4]Gross Plant'!Q156</f>
        <v>22815490.154152837</v>
      </c>
      <c r="E76" s="498">
        <v>0</v>
      </c>
      <c r="F76" s="364">
        <f t="shared" si="22"/>
        <v>22815490.154152837</v>
      </c>
      <c r="G76" s="394">
        <f t="shared" si="11"/>
        <v>1</v>
      </c>
      <c r="H76" s="394">
        <f t="shared" si="11"/>
        <v>1</v>
      </c>
      <c r="I76" s="364">
        <f t="shared" si="20"/>
        <v>22815490.154152837</v>
      </c>
      <c r="J76" s="498"/>
      <c r="K76" s="364">
        <f>'[4]Gross Plant'!C156</f>
        <v>22692460.626004133</v>
      </c>
      <c r="L76" s="394">
        <f t="shared" si="19"/>
        <v>1</v>
      </c>
      <c r="M76" s="394">
        <f t="shared" si="19"/>
        <v>1</v>
      </c>
      <c r="N76" s="364">
        <f t="shared" si="21"/>
        <v>22692460.626004133</v>
      </c>
      <c r="O76"/>
      <c r="P76"/>
      <c r="Q76"/>
      <c r="R76"/>
      <c r="S76"/>
      <c r="T76"/>
      <c r="U76"/>
      <c r="V76"/>
    </row>
    <row r="77" spans="1:22">
      <c r="A77" s="112">
        <f t="shared" si="1"/>
        <v>63</v>
      </c>
      <c r="B77" s="855">
        <v>37900</v>
      </c>
      <c r="C77" s="205" t="s">
        <v>1171</v>
      </c>
      <c r="D77" s="364">
        <f>'[4]Gross Plant'!Q157</f>
        <v>4790857.9581055371</v>
      </c>
      <c r="E77" s="498">
        <v>0</v>
      </c>
      <c r="F77" s="364">
        <f t="shared" si="22"/>
        <v>4790857.9581055371</v>
      </c>
      <c r="G77" s="394">
        <f t="shared" si="11"/>
        <v>1</v>
      </c>
      <c r="H77" s="394">
        <f t="shared" si="11"/>
        <v>1</v>
      </c>
      <c r="I77" s="364">
        <f t="shared" si="20"/>
        <v>4790857.9581055371</v>
      </c>
      <c r="J77" s="498"/>
      <c r="K77" s="364">
        <f>'[4]Gross Plant'!C157</f>
        <v>4927691.1663013482</v>
      </c>
      <c r="L77" s="394">
        <f t="shared" si="19"/>
        <v>1</v>
      </c>
      <c r="M77" s="394">
        <f t="shared" si="19"/>
        <v>1</v>
      </c>
      <c r="N77" s="364">
        <f t="shared" si="21"/>
        <v>4927691.1663013482</v>
      </c>
      <c r="O77"/>
      <c r="P77"/>
      <c r="Q77"/>
      <c r="R77"/>
      <c r="S77"/>
      <c r="T77"/>
      <c r="U77"/>
      <c r="V77"/>
    </row>
    <row r="78" spans="1:22">
      <c r="A78" s="112">
        <f t="shared" si="1"/>
        <v>64</v>
      </c>
      <c r="B78" s="855">
        <v>37905</v>
      </c>
      <c r="C78" s="205" t="s">
        <v>720</v>
      </c>
      <c r="D78" s="364">
        <f>'[4]Gross Plant'!Q158</f>
        <v>1723567.7349804058</v>
      </c>
      <c r="E78" s="498">
        <v>0</v>
      </c>
      <c r="F78" s="364">
        <f t="shared" si="22"/>
        <v>1723567.7349804058</v>
      </c>
      <c r="G78" s="394">
        <f t="shared" si="11"/>
        <v>1</v>
      </c>
      <c r="H78" s="394">
        <f t="shared" si="11"/>
        <v>1</v>
      </c>
      <c r="I78" s="364">
        <f t="shared" si="20"/>
        <v>1723567.7349804058</v>
      </c>
      <c r="J78" s="498"/>
      <c r="K78" s="364">
        <f>'[4]Gross Plant'!C158</f>
        <v>1724872.5996302865</v>
      </c>
      <c r="L78" s="394">
        <f t="shared" si="19"/>
        <v>1</v>
      </c>
      <c r="M78" s="394">
        <f t="shared" si="19"/>
        <v>1</v>
      </c>
      <c r="N78" s="364">
        <f t="shared" si="21"/>
        <v>1724872.5996302865</v>
      </c>
      <c r="O78"/>
      <c r="P78"/>
      <c r="Q78"/>
      <c r="R78"/>
      <c r="S78"/>
      <c r="T78"/>
      <c r="U78"/>
      <c r="V78"/>
    </row>
    <row r="79" spans="1:22">
      <c r="A79" s="112">
        <f t="shared" si="1"/>
        <v>65</v>
      </c>
      <c r="B79" s="855">
        <v>38000</v>
      </c>
      <c r="C79" s="205" t="s">
        <v>1036</v>
      </c>
      <c r="D79" s="364">
        <f>'[4]Gross Plant'!Q159</f>
        <v>173203520.65037173</v>
      </c>
      <c r="E79" s="498">
        <v>0</v>
      </c>
      <c r="F79" s="364">
        <f t="shared" si="22"/>
        <v>173203520.65037173</v>
      </c>
      <c r="G79" s="394">
        <f t="shared" si="11"/>
        <v>1</v>
      </c>
      <c r="H79" s="394">
        <f t="shared" si="11"/>
        <v>1</v>
      </c>
      <c r="I79" s="364">
        <f t="shared" si="20"/>
        <v>173203520.65037173</v>
      </c>
      <c r="J79" s="498"/>
      <c r="K79" s="364">
        <f>'[4]Gross Plant'!C159</f>
        <v>165660240.76667559</v>
      </c>
      <c r="L79" s="394">
        <f t="shared" si="19"/>
        <v>1</v>
      </c>
      <c r="M79" s="394">
        <f t="shared" si="19"/>
        <v>1</v>
      </c>
      <c r="N79" s="364">
        <f t="shared" si="21"/>
        <v>165660240.76667559</v>
      </c>
    </row>
    <row r="80" spans="1:22">
      <c r="A80" s="112">
        <f t="shared" si="1"/>
        <v>66</v>
      </c>
      <c r="B80" s="855">
        <v>38100</v>
      </c>
      <c r="C80" s="205" t="s">
        <v>838</v>
      </c>
      <c r="D80" s="364">
        <f>'[4]Gross Plant'!Q160</f>
        <v>48089444.620903425</v>
      </c>
      <c r="E80" s="498">
        <v>0</v>
      </c>
      <c r="F80" s="364">
        <f t="shared" si="22"/>
        <v>48089444.620903425</v>
      </c>
      <c r="G80" s="394">
        <f t="shared" ref="G80:H113" si="25">$G$16</f>
        <v>1</v>
      </c>
      <c r="H80" s="394">
        <f t="shared" si="25"/>
        <v>1</v>
      </c>
      <c r="I80" s="364">
        <f t="shared" si="20"/>
        <v>48089444.620903425</v>
      </c>
      <c r="J80" s="498"/>
      <c r="K80" s="364">
        <f>'[4]Gross Plant'!C160</f>
        <v>46845919.596373193</v>
      </c>
      <c r="L80" s="394">
        <f t="shared" si="19"/>
        <v>1</v>
      </c>
      <c r="M80" s="394">
        <f t="shared" si="19"/>
        <v>1</v>
      </c>
      <c r="N80" s="364">
        <f t="shared" si="21"/>
        <v>46845919.596373193</v>
      </c>
    </row>
    <row r="81" spans="1:15">
      <c r="A81" s="112">
        <f t="shared" si="1"/>
        <v>67</v>
      </c>
      <c r="B81" s="855">
        <v>38200</v>
      </c>
      <c r="C81" s="205" t="s">
        <v>438</v>
      </c>
      <c r="D81" s="364">
        <f>'[4]Gross Plant'!Q161</f>
        <v>57371213.714886084</v>
      </c>
      <c r="E81" s="498">
        <v>0</v>
      </c>
      <c r="F81" s="364">
        <f t="shared" si="22"/>
        <v>57371213.714886084</v>
      </c>
      <c r="G81" s="394">
        <f t="shared" si="25"/>
        <v>1</v>
      </c>
      <c r="H81" s="394">
        <f t="shared" si="25"/>
        <v>1</v>
      </c>
      <c r="I81" s="364">
        <f t="shared" si="20"/>
        <v>57371213.714886084</v>
      </c>
      <c r="J81" s="498"/>
      <c r="K81" s="364">
        <f>'[4]Gross Plant'!C161</f>
        <v>57018115.534302302</v>
      </c>
      <c r="L81" s="394">
        <f t="shared" si="19"/>
        <v>1</v>
      </c>
      <c r="M81" s="394">
        <f t="shared" si="19"/>
        <v>1</v>
      </c>
      <c r="N81" s="364">
        <f t="shared" si="21"/>
        <v>57018115.534302302</v>
      </c>
    </row>
    <row r="82" spans="1:15">
      <c r="A82" s="112">
        <f t="shared" si="1"/>
        <v>68</v>
      </c>
      <c r="B82" s="855">
        <v>38300</v>
      </c>
      <c r="C82" s="205" t="s">
        <v>1037</v>
      </c>
      <c r="D82" s="364">
        <f>'[4]Gross Plant'!Q162</f>
        <v>3309601.0356617197</v>
      </c>
      <c r="E82" s="498">
        <v>0</v>
      </c>
      <c r="F82" s="364">
        <f t="shared" si="22"/>
        <v>3309601.0356617197</v>
      </c>
      <c r="G82" s="394">
        <f t="shared" si="25"/>
        <v>1</v>
      </c>
      <c r="H82" s="394">
        <f t="shared" si="25"/>
        <v>1</v>
      </c>
      <c r="I82" s="364">
        <f t="shared" si="20"/>
        <v>3309601.0356617197</v>
      </c>
      <c r="J82" s="498"/>
      <c r="K82" s="364">
        <f>'[4]Gross Plant'!C162</f>
        <v>3740576.8070402062</v>
      </c>
      <c r="L82" s="394">
        <f t="shared" si="19"/>
        <v>1</v>
      </c>
      <c r="M82" s="394">
        <f t="shared" si="19"/>
        <v>1</v>
      </c>
      <c r="N82" s="364">
        <f t="shared" si="21"/>
        <v>3740576.8070402062</v>
      </c>
    </row>
    <row r="83" spans="1:15">
      <c r="A83" s="112">
        <f t="shared" si="1"/>
        <v>69</v>
      </c>
      <c r="B83" s="855">
        <v>38400</v>
      </c>
      <c r="C83" s="205" t="s">
        <v>439</v>
      </c>
      <c r="D83" s="364">
        <f>'[4]Gross Plant'!Q163</f>
        <v>298681.36846847145</v>
      </c>
      <c r="E83" s="498">
        <v>0</v>
      </c>
      <c r="F83" s="364">
        <f t="shared" si="22"/>
        <v>298681.36846847145</v>
      </c>
      <c r="G83" s="394">
        <f t="shared" si="25"/>
        <v>1</v>
      </c>
      <c r="H83" s="394">
        <f t="shared" si="25"/>
        <v>1</v>
      </c>
      <c r="I83" s="364">
        <f t="shared" si="20"/>
        <v>298681.36846847145</v>
      </c>
      <c r="J83" s="498"/>
      <c r="K83" s="364">
        <f>'[4]Gross Plant'!C163</f>
        <v>277461.38580407336</v>
      </c>
      <c r="L83" s="394">
        <f t="shared" si="19"/>
        <v>1</v>
      </c>
      <c r="M83" s="394">
        <f t="shared" si="19"/>
        <v>1</v>
      </c>
      <c r="N83" s="364">
        <f t="shared" si="21"/>
        <v>277461.38580407336</v>
      </c>
    </row>
    <row r="84" spans="1:15">
      <c r="A84" s="112">
        <f t="shared" ref="A84:A147" si="26">A83+1</f>
        <v>70</v>
      </c>
      <c r="B84" s="855">
        <v>38500</v>
      </c>
      <c r="C84" s="205" t="s">
        <v>440</v>
      </c>
      <c r="D84" s="364">
        <f>'[4]Gross Plant'!Q164</f>
        <v>5318879.4721106309</v>
      </c>
      <c r="E84" s="498">
        <v>0</v>
      </c>
      <c r="F84" s="364">
        <f t="shared" si="22"/>
        <v>5318879.4721106309</v>
      </c>
      <c r="G84" s="394">
        <f t="shared" si="25"/>
        <v>1</v>
      </c>
      <c r="H84" s="394">
        <f t="shared" si="25"/>
        <v>1</v>
      </c>
      <c r="I84" s="364">
        <f t="shared" si="20"/>
        <v>5318879.4721106309</v>
      </c>
      <c r="J84" s="498"/>
      <c r="K84" s="364">
        <f>'[4]Gross Plant'!C164</f>
        <v>5292272.2407675879</v>
      </c>
      <c r="L84" s="394">
        <f t="shared" si="19"/>
        <v>1</v>
      </c>
      <c r="M84" s="394">
        <f t="shared" si="19"/>
        <v>1</v>
      </c>
      <c r="N84" s="364">
        <f t="shared" si="21"/>
        <v>5292272.2407675879</v>
      </c>
    </row>
    <row r="85" spans="1:15">
      <c r="A85" s="112">
        <f t="shared" si="26"/>
        <v>71</v>
      </c>
      <c r="B85" s="956"/>
      <c r="C85" s="205"/>
      <c r="D85" s="499"/>
      <c r="E85" s="499"/>
      <c r="F85" s="499"/>
      <c r="G85" s="296"/>
      <c r="H85" s="296"/>
      <c r="I85" s="499"/>
      <c r="K85" s="583"/>
      <c r="N85" s="499"/>
    </row>
    <row r="86" spans="1:15">
      <c r="A86" s="112">
        <f t="shared" si="26"/>
        <v>72</v>
      </c>
      <c r="B86" s="956"/>
      <c r="C86" s="205" t="s">
        <v>298</v>
      </c>
      <c r="D86" s="304">
        <f>SUM(D63:D85)</f>
        <v>736943657.22096598</v>
      </c>
      <c r="E86" s="304">
        <f>SUM(E63:E85)</f>
        <v>0</v>
      </c>
      <c r="F86" s="304">
        <f>SUM(F63:F85)</f>
        <v>736943657.22096598</v>
      </c>
      <c r="G86" s="296"/>
      <c r="H86" s="296"/>
      <c r="I86" s="304">
        <f>SUM(I63:I85)</f>
        <v>736943657.22096598</v>
      </c>
      <c r="K86" s="304">
        <f>SUM(K63:K85)</f>
        <v>717435766.69954598</v>
      </c>
      <c r="N86" s="304">
        <f>SUM(N63:N85)</f>
        <v>717435766.69954598</v>
      </c>
      <c r="O86" s="544"/>
    </row>
    <row r="87" spans="1:15">
      <c r="A87" s="112">
        <f t="shared" si="26"/>
        <v>73</v>
      </c>
      <c r="B87" s="956"/>
      <c r="C87" s="205"/>
      <c r="G87" s="296"/>
      <c r="H87" s="296"/>
      <c r="K87" s="310"/>
    </row>
    <row r="88" spans="1:15">
      <c r="A88" s="112">
        <f t="shared" si="26"/>
        <v>74</v>
      </c>
      <c r="B88" s="956"/>
      <c r="C88" s="500" t="s">
        <v>1150</v>
      </c>
      <c r="G88" s="296"/>
      <c r="H88" s="296"/>
      <c r="K88" s="310"/>
    </row>
    <row r="89" spans="1:15">
      <c r="A89" s="112">
        <f t="shared" si="26"/>
        <v>75</v>
      </c>
      <c r="B89" s="855">
        <v>38900</v>
      </c>
      <c r="C89" s="205" t="s">
        <v>1128</v>
      </c>
      <c r="D89" s="290">
        <f>'[4]Gross Plant'!Q165</f>
        <v>1211697.3</v>
      </c>
      <c r="E89" s="387">
        <v>0</v>
      </c>
      <c r="F89" s="304">
        <f t="shared" ref="F89:F113" si="27">D89+E89</f>
        <v>1211697.3</v>
      </c>
      <c r="G89" s="394">
        <f t="shared" si="25"/>
        <v>1</v>
      </c>
      <c r="H89" s="394">
        <f t="shared" si="25"/>
        <v>1</v>
      </c>
      <c r="I89" s="304">
        <f>F89*G89*H89</f>
        <v>1211697.3</v>
      </c>
      <c r="K89" s="290">
        <f>'[4]Gross Plant'!C165</f>
        <v>1211697.3000000003</v>
      </c>
      <c r="L89" s="394">
        <f t="shared" ref="L89:M113" si="28">$G$16</f>
        <v>1</v>
      </c>
      <c r="M89" s="394">
        <f t="shared" si="28"/>
        <v>1</v>
      </c>
      <c r="N89" s="304">
        <f>K89*L89*M89</f>
        <v>1211697.3000000003</v>
      </c>
    </row>
    <row r="90" spans="1:15">
      <c r="A90" s="112">
        <f t="shared" si="26"/>
        <v>76</v>
      </c>
      <c r="B90" s="855">
        <v>39000</v>
      </c>
      <c r="C90" s="205" t="s">
        <v>848</v>
      </c>
      <c r="D90" s="364">
        <f>'[4]Gross Plant'!Q166</f>
        <v>8820208.2810155917</v>
      </c>
      <c r="E90" s="498">
        <v>0</v>
      </c>
      <c r="F90" s="364">
        <f>D90+E90</f>
        <v>8820208.2810155917</v>
      </c>
      <c r="G90" s="394">
        <f t="shared" si="25"/>
        <v>1</v>
      </c>
      <c r="H90" s="394">
        <f t="shared" si="25"/>
        <v>1</v>
      </c>
      <c r="I90" s="364">
        <f t="shared" ref="I90:I113" si="29">F90*G90*H90</f>
        <v>8820208.2810155917</v>
      </c>
      <c r="K90" s="364">
        <f>'[4]Gross Plant'!C166</f>
        <v>8627518.9842080697</v>
      </c>
      <c r="L90" s="394">
        <f t="shared" si="28"/>
        <v>1</v>
      </c>
      <c r="M90" s="394">
        <f t="shared" si="28"/>
        <v>1</v>
      </c>
      <c r="N90" s="364">
        <f t="shared" ref="N90:N113" si="30">K90*L90*M90</f>
        <v>8627518.9842080697</v>
      </c>
    </row>
    <row r="91" spans="1:15">
      <c r="A91" s="112">
        <f t="shared" si="26"/>
        <v>77</v>
      </c>
      <c r="B91" s="855">
        <v>39002</v>
      </c>
      <c r="C91" s="205" t="s">
        <v>741</v>
      </c>
      <c r="D91" s="364">
        <f>'[4]Gross Plant'!Q167</f>
        <v>173114.85</v>
      </c>
      <c r="E91" s="498">
        <v>0</v>
      </c>
      <c r="F91" s="364">
        <f t="shared" si="27"/>
        <v>173114.85</v>
      </c>
      <c r="G91" s="394">
        <f t="shared" si="25"/>
        <v>1</v>
      </c>
      <c r="H91" s="394">
        <f t="shared" si="25"/>
        <v>1</v>
      </c>
      <c r="I91" s="364">
        <f t="shared" si="29"/>
        <v>173114.85</v>
      </c>
      <c r="K91" s="364">
        <f>'[4]Gross Plant'!C167</f>
        <v>173114.85000000003</v>
      </c>
      <c r="L91" s="394">
        <f t="shared" si="28"/>
        <v>1</v>
      </c>
      <c r="M91" s="394">
        <f t="shared" si="28"/>
        <v>1</v>
      </c>
      <c r="N91" s="364">
        <f t="shared" si="30"/>
        <v>173114.85000000003</v>
      </c>
    </row>
    <row r="92" spans="1:15">
      <c r="A92" s="112">
        <f t="shared" si="26"/>
        <v>78</v>
      </c>
      <c r="B92" s="855">
        <v>39003</v>
      </c>
      <c r="C92" s="205" t="s">
        <v>985</v>
      </c>
      <c r="D92" s="364">
        <f>'[4]Gross Plant'!Q168</f>
        <v>709199.18</v>
      </c>
      <c r="E92" s="498">
        <v>0</v>
      </c>
      <c r="F92" s="364">
        <f t="shared" si="27"/>
        <v>709199.18</v>
      </c>
      <c r="G92" s="394">
        <f t="shared" si="25"/>
        <v>1</v>
      </c>
      <c r="H92" s="394">
        <f t="shared" si="25"/>
        <v>1</v>
      </c>
      <c r="I92" s="364">
        <f t="shared" si="29"/>
        <v>709199.18</v>
      </c>
      <c r="K92" s="364">
        <f>'[4]Gross Plant'!C168</f>
        <v>709199.17999999982</v>
      </c>
      <c r="L92" s="394">
        <f t="shared" si="28"/>
        <v>1</v>
      </c>
      <c r="M92" s="394">
        <f t="shared" si="28"/>
        <v>1</v>
      </c>
      <c r="N92" s="364">
        <f t="shared" si="30"/>
        <v>709199.17999999982</v>
      </c>
    </row>
    <row r="93" spans="1:15">
      <c r="A93" s="112">
        <f t="shared" si="26"/>
        <v>79</v>
      </c>
      <c r="B93" s="855">
        <v>39004</v>
      </c>
      <c r="C93" s="205" t="s">
        <v>441</v>
      </c>
      <c r="D93" s="364">
        <f>'[4]Gross Plant'!Q169</f>
        <v>12954.74</v>
      </c>
      <c r="E93" s="498">
        <v>0</v>
      </c>
      <c r="F93" s="364">
        <f t="shared" si="27"/>
        <v>12954.74</v>
      </c>
      <c r="G93" s="394">
        <f t="shared" si="25"/>
        <v>1</v>
      </c>
      <c r="H93" s="394">
        <f t="shared" si="25"/>
        <v>1</v>
      </c>
      <c r="I93" s="364">
        <f t="shared" si="29"/>
        <v>12954.74</v>
      </c>
      <c r="K93" s="364">
        <f>'[4]Gross Plant'!C169</f>
        <v>12954.74</v>
      </c>
      <c r="L93" s="394">
        <f t="shared" si="28"/>
        <v>1</v>
      </c>
      <c r="M93" s="394">
        <f t="shared" si="28"/>
        <v>1</v>
      </c>
      <c r="N93" s="364">
        <f t="shared" si="30"/>
        <v>12954.74</v>
      </c>
    </row>
    <row r="94" spans="1:15">
      <c r="A94" s="112">
        <f t="shared" si="26"/>
        <v>80</v>
      </c>
      <c r="B94" s="855">
        <v>39009</v>
      </c>
      <c r="C94" s="205" t="s">
        <v>1020</v>
      </c>
      <c r="D94" s="364">
        <f>'[4]Gross Plant'!Q170</f>
        <v>1246194.18</v>
      </c>
      <c r="E94" s="498">
        <v>0</v>
      </c>
      <c r="F94" s="364">
        <f t="shared" si="27"/>
        <v>1246194.18</v>
      </c>
      <c r="G94" s="394">
        <f t="shared" si="25"/>
        <v>1</v>
      </c>
      <c r="H94" s="394">
        <f t="shared" si="25"/>
        <v>1</v>
      </c>
      <c r="I94" s="364">
        <f t="shared" si="29"/>
        <v>1246194.18</v>
      </c>
      <c r="K94" s="364">
        <f>'[4]Gross Plant'!C170</f>
        <v>1246194.18</v>
      </c>
      <c r="L94" s="394">
        <f t="shared" si="28"/>
        <v>1</v>
      </c>
      <c r="M94" s="394">
        <f t="shared" si="28"/>
        <v>1</v>
      </c>
      <c r="N94" s="364">
        <f t="shared" si="30"/>
        <v>1246194.18</v>
      </c>
    </row>
    <row r="95" spans="1:15">
      <c r="A95" s="112">
        <f t="shared" si="26"/>
        <v>81</v>
      </c>
      <c r="B95" s="855">
        <v>39100</v>
      </c>
      <c r="C95" s="205" t="s">
        <v>772</v>
      </c>
      <c r="D95" s="364">
        <f>'[4]Gross Plant'!Q171</f>
        <v>1753372.73</v>
      </c>
      <c r="E95" s="498">
        <v>0</v>
      </c>
      <c r="F95" s="364">
        <f t="shared" si="27"/>
        <v>1753372.73</v>
      </c>
      <c r="G95" s="394">
        <f t="shared" si="25"/>
        <v>1</v>
      </c>
      <c r="H95" s="394">
        <f t="shared" si="25"/>
        <v>1</v>
      </c>
      <c r="I95" s="364">
        <f t="shared" si="29"/>
        <v>1753372.73</v>
      </c>
      <c r="K95" s="364">
        <f>'[4]Gross Plant'!C171</f>
        <v>1753372.7300000002</v>
      </c>
      <c r="L95" s="394">
        <f t="shared" si="28"/>
        <v>1</v>
      </c>
      <c r="M95" s="394">
        <f t="shared" si="28"/>
        <v>1</v>
      </c>
      <c r="N95" s="364">
        <f t="shared" si="30"/>
        <v>1753372.7300000002</v>
      </c>
    </row>
    <row r="96" spans="1:15">
      <c r="A96" s="112">
        <f t="shared" si="26"/>
        <v>82</v>
      </c>
      <c r="B96" s="855">
        <v>39103</v>
      </c>
      <c r="C96" s="72" t="s">
        <v>773</v>
      </c>
      <c r="D96" s="364">
        <f>'[4]Gross Plant'!Q172</f>
        <v>0</v>
      </c>
      <c r="E96" s="498">
        <v>0</v>
      </c>
      <c r="F96" s="364">
        <f t="shared" si="27"/>
        <v>0</v>
      </c>
      <c r="G96" s="394">
        <f t="shared" si="25"/>
        <v>1</v>
      </c>
      <c r="H96" s="394">
        <f t="shared" si="25"/>
        <v>1</v>
      </c>
      <c r="I96" s="364">
        <f t="shared" si="29"/>
        <v>0</v>
      </c>
      <c r="K96" s="364">
        <f>'[4]Gross Plant'!C172</f>
        <v>0</v>
      </c>
      <c r="L96" s="394">
        <f t="shared" si="28"/>
        <v>1</v>
      </c>
      <c r="M96" s="394">
        <f t="shared" si="28"/>
        <v>1</v>
      </c>
      <c r="N96" s="364">
        <f t="shared" si="30"/>
        <v>0</v>
      </c>
    </row>
    <row r="97" spans="1:14">
      <c r="A97" s="112">
        <f t="shared" si="26"/>
        <v>83</v>
      </c>
      <c r="B97" s="855">
        <v>39200</v>
      </c>
      <c r="C97" s="205" t="s">
        <v>1060</v>
      </c>
      <c r="D97" s="364">
        <f>'[4]Gross Plant'!Q173</f>
        <v>191968.61</v>
      </c>
      <c r="E97" s="498">
        <v>0</v>
      </c>
      <c r="F97" s="364">
        <f t="shared" si="27"/>
        <v>191968.61</v>
      </c>
      <c r="G97" s="394">
        <f t="shared" si="25"/>
        <v>1</v>
      </c>
      <c r="H97" s="394">
        <f t="shared" si="25"/>
        <v>1</v>
      </c>
      <c r="I97" s="364">
        <f t="shared" si="29"/>
        <v>191968.61</v>
      </c>
      <c r="K97" s="364">
        <f>'[4]Gross Plant'!C173</f>
        <v>191968.60999999993</v>
      </c>
      <c r="L97" s="394">
        <f t="shared" si="28"/>
        <v>1</v>
      </c>
      <c r="M97" s="394">
        <f t="shared" si="28"/>
        <v>1</v>
      </c>
      <c r="N97" s="364">
        <f t="shared" si="30"/>
        <v>191968.60999999993</v>
      </c>
    </row>
    <row r="98" spans="1:14">
      <c r="A98" s="112">
        <f t="shared" si="26"/>
        <v>84</v>
      </c>
      <c r="B98" s="855">
        <v>39202</v>
      </c>
      <c r="C98" s="205" t="s">
        <v>85</v>
      </c>
      <c r="D98" s="364">
        <f>'[4]Gross Plant'!Q174</f>
        <v>27063.96</v>
      </c>
      <c r="E98" s="498">
        <v>0</v>
      </c>
      <c r="F98" s="364">
        <f t="shared" si="27"/>
        <v>27063.96</v>
      </c>
      <c r="G98" s="394">
        <f t="shared" si="25"/>
        <v>1</v>
      </c>
      <c r="H98" s="394">
        <f t="shared" si="25"/>
        <v>1</v>
      </c>
      <c r="I98" s="364">
        <f t="shared" si="29"/>
        <v>27063.96</v>
      </c>
      <c r="K98" s="364">
        <f>'[4]Gross Plant'!C174</f>
        <v>30698.52461538462</v>
      </c>
      <c r="L98" s="394">
        <f t="shared" si="28"/>
        <v>1</v>
      </c>
      <c r="M98" s="394">
        <f t="shared" si="28"/>
        <v>1</v>
      </c>
      <c r="N98" s="364">
        <f t="shared" si="30"/>
        <v>30698.52461538462</v>
      </c>
    </row>
    <row r="99" spans="1:14">
      <c r="A99" s="112">
        <f t="shared" si="26"/>
        <v>85</v>
      </c>
      <c r="B99" s="855">
        <v>39400</v>
      </c>
      <c r="C99" s="205" t="s">
        <v>1019</v>
      </c>
      <c r="D99" s="364">
        <f>'[4]Gross Plant'!Q175</f>
        <v>6736611.979334726</v>
      </c>
      <c r="E99" s="498">
        <v>0</v>
      </c>
      <c r="F99" s="364">
        <f t="shared" si="27"/>
        <v>6736611.979334726</v>
      </c>
      <c r="G99" s="394">
        <f t="shared" si="25"/>
        <v>1</v>
      </c>
      <c r="H99" s="394">
        <f t="shared" si="25"/>
        <v>1</v>
      </c>
      <c r="I99" s="364">
        <f t="shared" si="29"/>
        <v>6736611.979334726</v>
      </c>
      <c r="K99" s="364">
        <f>'[4]Gross Plant'!C175</f>
        <v>5733659.4122599373</v>
      </c>
      <c r="L99" s="394">
        <f t="shared" si="28"/>
        <v>1</v>
      </c>
      <c r="M99" s="394">
        <f t="shared" si="28"/>
        <v>1</v>
      </c>
      <c r="N99" s="364">
        <f t="shared" si="30"/>
        <v>5733659.4122599373</v>
      </c>
    </row>
    <row r="100" spans="1:14">
      <c r="A100" s="112">
        <f t="shared" si="26"/>
        <v>86</v>
      </c>
      <c r="B100" s="855">
        <v>39603</v>
      </c>
      <c r="C100" s="205" t="s">
        <v>86</v>
      </c>
      <c r="D100" s="364">
        <f>'[4]Gross Plant'!Q176</f>
        <v>0</v>
      </c>
      <c r="E100" s="498">
        <v>0</v>
      </c>
      <c r="F100" s="364">
        <f t="shared" si="27"/>
        <v>0</v>
      </c>
      <c r="G100" s="394">
        <f t="shared" si="25"/>
        <v>1</v>
      </c>
      <c r="H100" s="394">
        <f t="shared" si="25"/>
        <v>1</v>
      </c>
      <c r="I100" s="364">
        <f t="shared" si="29"/>
        <v>0</v>
      </c>
      <c r="K100" s="364">
        <f>'[4]Gross Plant'!C176</f>
        <v>0</v>
      </c>
      <c r="L100" s="394">
        <f t="shared" si="28"/>
        <v>1</v>
      </c>
      <c r="M100" s="394">
        <f t="shared" si="28"/>
        <v>1</v>
      </c>
      <c r="N100" s="364">
        <f t="shared" si="30"/>
        <v>0</v>
      </c>
    </row>
    <row r="101" spans="1:14">
      <c r="A101" s="112">
        <f t="shared" si="26"/>
        <v>87</v>
      </c>
      <c r="B101" s="855">
        <v>39604</v>
      </c>
      <c r="C101" s="205" t="s">
        <v>87</v>
      </c>
      <c r="D101" s="364">
        <f>'[4]Gross Plant'!Q177</f>
        <v>0</v>
      </c>
      <c r="E101" s="498">
        <v>0</v>
      </c>
      <c r="F101" s="364">
        <f t="shared" si="27"/>
        <v>0</v>
      </c>
      <c r="G101" s="394">
        <f t="shared" si="25"/>
        <v>1</v>
      </c>
      <c r="H101" s="394">
        <f t="shared" si="25"/>
        <v>1</v>
      </c>
      <c r="I101" s="364">
        <f t="shared" si="29"/>
        <v>0</v>
      </c>
      <c r="K101" s="364">
        <f>'[4]Gross Plant'!C177</f>
        <v>0</v>
      </c>
      <c r="L101" s="394">
        <f t="shared" si="28"/>
        <v>1</v>
      </c>
      <c r="M101" s="394">
        <f t="shared" si="28"/>
        <v>1</v>
      </c>
      <c r="N101" s="364">
        <f t="shared" si="30"/>
        <v>0</v>
      </c>
    </row>
    <row r="102" spans="1:14">
      <c r="A102" s="112">
        <f t="shared" si="26"/>
        <v>88</v>
      </c>
      <c r="B102" s="855">
        <v>39605</v>
      </c>
      <c r="C102" s="172" t="s">
        <v>88</v>
      </c>
      <c r="D102" s="364">
        <f>'[4]Gross Plant'!Q178</f>
        <v>0</v>
      </c>
      <c r="E102" s="498">
        <v>0</v>
      </c>
      <c r="F102" s="364">
        <f t="shared" si="27"/>
        <v>0</v>
      </c>
      <c r="G102" s="394">
        <f t="shared" si="25"/>
        <v>1</v>
      </c>
      <c r="H102" s="394">
        <f t="shared" si="25"/>
        <v>1</v>
      </c>
      <c r="I102" s="364">
        <f t="shared" si="29"/>
        <v>0</v>
      </c>
      <c r="K102" s="364">
        <f>'[4]Gross Plant'!C178</f>
        <v>2714.4923076923078</v>
      </c>
      <c r="L102" s="394">
        <f t="shared" si="28"/>
        <v>1</v>
      </c>
      <c r="M102" s="394">
        <f t="shared" si="28"/>
        <v>1</v>
      </c>
      <c r="N102" s="364">
        <f t="shared" si="30"/>
        <v>2714.4923076923078</v>
      </c>
    </row>
    <row r="103" spans="1:14">
      <c r="A103" s="112">
        <f t="shared" si="26"/>
        <v>89</v>
      </c>
      <c r="B103" s="855">
        <v>39700</v>
      </c>
      <c r="C103" s="205" t="s">
        <v>436</v>
      </c>
      <c r="D103" s="364">
        <f>'[4]Gross Plant'!Q179</f>
        <v>425326.37</v>
      </c>
      <c r="E103" s="498">
        <v>0</v>
      </c>
      <c r="F103" s="364">
        <f t="shared" si="27"/>
        <v>425326.37</v>
      </c>
      <c r="G103" s="394">
        <f t="shared" si="25"/>
        <v>1</v>
      </c>
      <c r="H103" s="394">
        <f t="shared" si="25"/>
        <v>1</v>
      </c>
      <c r="I103" s="364">
        <f t="shared" si="29"/>
        <v>425326.37</v>
      </c>
      <c r="K103" s="364">
        <f>'[4]Gross Plant'!C179</f>
        <v>425326.37000000005</v>
      </c>
      <c r="L103" s="394">
        <f t="shared" si="28"/>
        <v>1</v>
      </c>
      <c r="M103" s="394">
        <f t="shared" si="28"/>
        <v>1</v>
      </c>
      <c r="N103" s="364">
        <f t="shared" si="30"/>
        <v>425326.37000000005</v>
      </c>
    </row>
    <row r="104" spans="1:14">
      <c r="A104" s="112">
        <f t="shared" si="26"/>
        <v>90</v>
      </c>
      <c r="B104" s="855">
        <v>39701</v>
      </c>
      <c r="C104" s="72" t="s">
        <v>1436</v>
      </c>
      <c r="D104" s="364">
        <f>'[4]Gross Plant'!Q180</f>
        <v>0</v>
      </c>
      <c r="E104" s="498">
        <v>0</v>
      </c>
      <c r="F104" s="364">
        <f t="shared" si="27"/>
        <v>0</v>
      </c>
      <c r="G104" s="394">
        <f t="shared" si="25"/>
        <v>1</v>
      </c>
      <c r="H104" s="394">
        <f t="shared" si="25"/>
        <v>1</v>
      </c>
      <c r="I104" s="364">
        <f t="shared" si="29"/>
        <v>0</v>
      </c>
      <c r="K104" s="364">
        <f>'[4]Gross Plant'!C180</f>
        <v>0</v>
      </c>
      <c r="L104" s="394">
        <f t="shared" si="28"/>
        <v>1</v>
      </c>
      <c r="M104" s="394">
        <f t="shared" si="28"/>
        <v>1</v>
      </c>
      <c r="N104" s="364">
        <f t="shared" si="30"/>
        <v>0</v>
      </c>
    </row>
    <row r="105" spans="1:14">
      <c r="A105" s="112">
        <f t="shared" si="26"/>
        <v>91</v>
      </c>
      <c r="B105" s="855">
        <v>39702</v>
      </c>
      <c r="C105" s="72" t="s">
        <v>1436</v>
      </c>
      <c r="D105" s="364">
        <f>'[4]Gross Plant'!Q181</f>
        <v>0</v>
      </c>
      <c r="E105" s="498">
        <v>0</v>
      </c>
      <c r="F105" s="364">
        <f t="shared" si="27"/>
        <v>0</v>
      </c>
      <c r="G105" s="394">
        <f t="shared" si="25"/>
        <v>1</v>
      </c>
      <c r="H105" s="394">
        <f t="shared" si="25"/>
        <v>1</v>
      </c>
      <c r="I105" s="364">
        <f t="shared" si="29"/>
        <v>0</v>
      </c>
      <c r="K105" s="364">
        <f>'[4]Gross Plant'!C181</f>
        <v>0</v>
      </c>
      <c r="L105" s="394">
        <f t="shared" si="28"/>
        <v>1</v>
      </c>
      <c r="M105" s="394">
        <f t="shared" si="28"/>
        <v>1</v>
      </c>
      <c r="N105" s="364">
        <f t="shared" si="30"/>
        <v>0</v>
      </c>
    </row>
    <row r="106" spans="1:14">
      <c r="A106" s="112">
        <f t="shared" si="26"/>
        <v>92</v>
      </c>
      <c r="B106" s="855">
        <v>39705</v>
      </c>
      <c r="C106" s="205" t="s">
        <v>716</v>
      </c>
      <c r="D106" s="364">
        <f>'[4]Gross Plant'!Q182</f>
        <v>0</v>
      </c>
      <c r="E106" s="498">
        <v>0</v>
      </c>
      <c r="F106" s="364">
        <f t="shared" si="27"/>
        <v>0</v>
      </c>
      <c r="G106" s="394">
        <f t="shared" si="25"/>
        <v>1</v>
      </c>
      <c r="H106" s="394">
        <f t="shared" si="25"/>
        <v>1</v>
      </c>
      <c r="I106" s="364">
        <f t="shared" si="29"/>
        <v>0</v>
      </c>
      <c r="K106" s="364">
        <f>'[4]Gross Plant'!C182</f>
        <v>0</v>
      </c>
      <c r="L106" s="394">
        <f t="shared" si="28"/>
        <v>1</v>
      </c>
      <c r="M106" s="394">
        <f t="shared" si="28"/>
        <v>1</v>
      </c>
      <c r="N106" s="364">
        <f t="shared" si="30"/>
        <v>0</v>
      </c>
    </row>
    <row r="107" spans="1:14">
      <c r="A107" s="112">
        <f t="shared" si="26"/>
        <v>93</v>
      </c>
      <c r="B107" s="855">
        <v>39800</v>
      </c>
      <c r="C107" s="205" t="s">
        <v>645</v>
      </c>
      <c r="D107" s="364">
        <f>'[4]Gross Plant'!Q183</f>
        <v>3889123.02</v>
      </c>
      <c r="E107" s="498">
        <v>0</v>
      </c>
      <c r="F107" s="364">
        <f t="shared" si="27"/>
        <v>3889123.02</v>
      </c>
      <c r="G107" s="394">
        <f t="shared" si="25"/>
        <v>1</v>
      </c>
      <c r="H107" s="394">
        <f t="shared" si="25"/>
        <v>1</v>
      </c>
      <c r="I107" s="364">
        <f t="shared" si="29"/>
        <v>3889123.02</v>
      </c>
      <c r="K107" s="364">
        <f>'[4]Gross Plant'!C183</f>
        <v>3889123.0200000009</v>
      </c>
      <c r="L107" s="394">
        <f t="shared" si="28"/>
        <v>1</v>
      </c>
      <c r="M107" s="394">
        <f t="shared" si="28"/>
        <v>1</v>
      </c>
      <c r="N107" s="364">
        <f t="shared" si="30"/>
        <v>3889123.0200000009</v>
      </c>
    </row>
    <row r="108" spans="1:14">
      <c r="A108" s="112">
        <f t="shared" si="26"/>
        <v>94</v>
      </c>
      <c r="B108" s="855">
        <v>39901</v>
      </c>
      <c r="C108" s="72" t="s">
        <v>1437</v>
      </c>
      <c r="D108" s="364">
        <f>'[4]Gross Plant'!Q184</f>
        <v>35814.99</v>
      </c>
      <c r="E108" s="498">
        <v>0</v>
      </c>
      <c r="F108" s="364">
        <f t="shared" si="27"/>
        <v>35814.99</v>
      </c>
      <c r="G108" s="394">
        <f t="shared" si="25"/>
        <v>1</v>
      </c>
      <c r="H108" s="394">
        <f t="shared" si="25"/>
        <v>1</v>
      </c>
      <c r="I108" s="364">
        <f t="shared" si="29"/>
        <v>35814.99</v>
      </c>
      <c r="K108" s="364">
        <f>'[4]Gross Plant'!C184</f>
        <v>35814.99</v>
      </c>
      <c r="L108" s="394">
        <f t="shared" si="28"/>
        <v>1</v>
      </c>
      <c r="M108" s="394">
        <f t="shared" si="28"/>
        <v>1</v>
      </c>
      <c r="N108" s="364">
        <f t="shared" si="30"/>
        <v>35814.99</v>
      </c>
    </row>
    <row r="109" spans="1:14">
      <c r="A109" s="112">
        <f t="shared" si="26"/>
        <v>95</v>
      </c>
      <c r="B109" s="855">
        <v>39902</v>
      </c>
      <c r="C109" s="72" t="s">
        <v>1438</v>
      </c>
      <c r="D109" s="364">
        <f>'[4]Gross Plant'!Q185</f>
        <v>0</v>
      </c>
      <c r="E109" s="498">
        <v>0</v>
      </c>
      <c r="F109" s="364">
        <f t="shared" si="27"/>
        <v>0</v>
      </c>
      <c r="G109" s="394">
        <f t="shared" si="25"/>
        <v>1</v>
      </c>
      <c r="H109" s="394">
        <f t="shared" si="25"/>
        <v>1</v>
      </c>
      <c r="I109" s="364">
        <f t="shared" si="29"/>
        <v>0</v>
      </c>
      <c r="K109" s="364">
        <f>'[4]Gross Plant'!C185</f>
        <v>0</v>
      </c>
      <c r="L109" s="394">
        <f t="shared" si="28"/>
        <v>1</v>
      </c>
      <c r="M109" s="394">
        <f t="shared" si="28"/>
        <v>1</v>
      </c>
      <c r="N109" s="364">
        <f t="shared" si="30"/>
        <v>0</v>
      </c>
    </row>
    <row r="110" spans="1:14">
      <c r="A110" s="112">
        <f t="shared" si="26"/>
        <v>96</v>
      </c>
      <c r="B110" s="855">
        <v>39903</v>
      </c>
      <c r="C110" s="205" t="s">
        <v>990</v>
      </c>
      <c r="D110" s="364">
        <f>'[4]Gross Plant'!Q186</f>
        <v>134598.85999999999</v>
      </c>
      <c r="E110" s="498">
        <v>0</v>
      </c>
      <c r="F110" s="364">
        <f t="shared" si="27"/>
        <v>134598.85999999999</v>
      </c>
      <c r="G110" s="394">
        <f t="shared" si="25"/>
        <v>1</v>
      </c>
      <c r="H110" s="394">
        <f t="shared" si="25"/>
        <v>1</v>
      </c>
      <c r="I110" s="364">
        <f t="shared" si="29"/>
        <v>134598.85999999999</v>
      </c>
      <c r="K110" s="364">
        <f>'[4]Gross Plant'!C186</f>
        <v>134598.85999999993</v>
      </c>
      <c r="L110" s="394">
        <f t="shared" si="28"/>
        <v>1</v>
      </c>
      <c r="M110" s="394">
        <f t="shared" si="28"/>
        <v>1</v>
      </c>
      <c r="N110" s="364">
        <f t="shared" si="30"/>
        <v>134598.85999999993</v>
      </c>
    </row>
    <row r="111" spans="1:14">
      <c r="A111" s="112">
        <f t="shared" si="26"/>
        <v>97</v>
      </c>
      <c r="B111" s="855">
        <v>39906</v>
      </c>
      <c r="C111" s="205" t="s">
        <v>447</v>
      </c>
      <c r="D111" s="364">
        <f>'[4]Gross Plant'!Q187</f>
        <v>491338.04887792497</v>
      </c>
      <c r="E111" s="498">
        <v>0</v>
      </c>
      <c r="F111" s="364">
        <f t="shared" si="27"/>
        <v>491338.04887792497</v>
      </c>
      <c r="G111" s="394">
        <f t="shared" si="25"/>
        <v>1</v>
      </c>
      <c r="H111" s="394">
        <f t="shared" si="25"/>
        <v>1</v>
      </c>
      <c r="I111" s="364">
        <f t="shared" si="29"/>
        <v>491338.04887792497</v>
      </c>
      <c r="K111" s="364">
        <f>'[4]Gross Plant'!C187</f>
        <v>805395.67863452132</v>
      </c>
      <c r="L111" s="394">
        <f t="shared" si="28"/>
        <v>1</v>
      </c>
      <c r="M111" s="394">
        <f t="shared" si="28"/>
        <v>1</v>
      </c>
      <c r="N111" s="364">
        <f t="shared" si="30"/>
        <v>805395.67863452132</v>
      </c>
    </row>
    <row r="112" spans="1:14">
      <c r="A112" s="112">
        <f t="shared" si="26"/>
        <v>98</v>
      </c>
      <c r="B112" s="855">
        <v>39907</v>
      </c>
      <c r="C112" s="205" t="s">
        <v>501</v>
      </c>
      <c r="D112" s="364">
        <f>'[4]Gross Plant'!Q188</f>
        <v>0</v>
      </c>
      <c r="E112" s="498">
        <v>0</v>
      </c>
      <c r="F112" s="364">
        <f t="shared" si="27"/>
        <v>0</v>
      </c>
      <c r="G112" s="394">
        <f t="shared" si="25"/>
        <v>1</v>
      </c>
      <c r="H112" s="394">
        <f t="shared" si="25"/>
        <v>1</v>
      </c>
      <c r="I112" s="364">
        <f t="shared" si="29"/>
        <v>0</v>
      </c>
      <c r="K112" s="364">
        <f>'[4]Gross Plant'!C188</f>
        <v>0</v>
      </c>
      <c r="L112" s="394">
        <f t="shared" si="28"/>
        <v>1</v>
      </c>
      <c r="M112" s="394">
        <f t="shared" si="28"/>
        <v>1</v>
      </c>
      <c r="N112" s="364">
        <f t="shared" si="30"/>
        <v>0</v>
      </c>
    </row>
    <row r="113" spans="1:18">
      <c r="A113" s="112">
        <f t="shared" si="26"/>
        <v>99</v>
      </c>
      <c r="B113" s="855">
        <v>39908</v>
      </c>
      <c r="C113" s="205" t="s">
        <v>178</v>
      </c>
      <c r="D113" s="364">
        <f>'[4]Gross Plant'!Q189</f>
        <v>65605.8</v>
      </c>
      <c r="E113" s="498">
        <v>0</v>
      </c>
      <c r="F113" s="364">
        <f t="shared" si="27"/>
        <v>65605.8</v>
      </c>
      <c r="G113" s="394">
        <f t="shared" si="25"/>
        <v>1</v>
      </c>
      <c r="H113" s="394">
        <f t="shared" si="25"/>
        <v>1</v>
      </c>
      <c r="I113" s="364">
        <f t="shared" si="29"/>
        <v>65605.8</v>
      </c>
      <c r="K113" s="364">
        <f>'[4]Gross Plant'!C189</f>
        <v>65605.800000000017</v>
      </c>
      <c r="L113" s="394">
        <f t="shared" si="28"/>
        <v>1</v>
      </c>
      <c r="M113" s="394">
        <f t="shared" si="28"/>
        <v>1</v>
      </c>
      <c r="N113" s="364">
        <f t="shared" si="30"/>
        <v>65605.800000000017</v>
      </c>
    </row>
    <row r="114" spans="1:18">
      <c r="A114" s="112">
        <f t="shared" si="26"/>
        <v>100</v>
      </c>
      <c r="B114" s="956"/>
      <c r="C114" s="205"/>
      <c r="D114" s="499"/>
      <c r="E114" s="499"/>
      <c r="F114" s="499"/>
      <c r="I114" s="499"/>
      <c r="K114" s="583"/>
      <c r="N114" s="499"/>
    </row>
    <row r="115" spans="1:18">
      <c r="A115" s="112">
        <f t="shared" si="26"/>
        <v>101</v>
      </c>
      <c r="B115" s="956"/>
      <c r="C115" s="205" t="s">
        <v>4</v>
      </c>
      <c r="D115" s="304">
        <f>SUM(D89:D114)</f>
        <v>25924192.899228241</v>
      </c>
      <c r="E115" s="304">
        <f>SUM(E89:E114)</f>
        <v>0</v>
      </c>
      <c r="F115" s="304">
        <f>SUM(F89:F114)</f>
        <v>25924192.899228241</v>
      </c>
      <c r="G115" s="296"/>
      <c r="H115" s="296"/>
      <c r="I115" s="304">
        <f>SUM(I89:I114)</f>
        <v>25924192.899228241</v>
      </c>
      <c r="K115" s="304">
        <f>SUM(K89:K114)</f>
        <v>25048957.722025603</v>
      </c>
      <c r="N115" s="304">
        <f>SUM(N89:N114)</f>
        <v>25048957.722025603</v>
      </c>
    </row>
    <row r="116" spans="1:18">
      <c r="A116" s="112">
        <f t="shared" si="26"/>
        <v>102</v>
      </c>
      <c r="B116" s="956"/>
      <c r="C116" s="205"/>
      <c r="K116" s="310"/>
    </row>
    <row r="117" spans="1:18" ht="15.75" thickBot="1">
      <c r="A117" s="112">
        <f t="shared" si="26"/>
        <v>103</v>
      </c>
      <c r="B117" s="956"/>
      <c r="C117" s="205" t="s">
        <v>1272</v>
      </c>
      <c r="D117" s="1059">
        <f>D19+D26+D47+D60+D86+D115</f>
        <v>812364667.48019421</v>
      </c>
      <c r="E117" s="1059">
        <f>E19+E26+E47+E60+E86+E115</f>
        <v>0</v>
      </c>
      <c r="F117" s="1059">
        <f>F19+F26+F47+F60+F86+F115</f>
        <v>812364667.48019421</v>
      </c>
      <c r="I117" s="1059">
        <f>I19+I26+I47+I60+I86+I115</f>
        <v>812364667.48019421</v>
      </c>
      <c r="K117" s="1059">
        <f>K19+K26+K47+K60+K86+K115</f>
        <v>791981541.78157163</v>
      </c>
      <c r="N117" s="1059">
        <f>N19+N26+N47+N60+N86+N115</f>
        <v>791981541.78157163</v>
      </c>
    </row>
    <row r="118" spans="1:18" ht="15.75" thickTop="1">
      <c r="A118" s="112">
        <f t="shared" si="26"/>
        <v>104</v>
      </c>
      <c r="B118" s="956"/>
      <c r="C118" s="205"/>
      <c r="K118" s="310"/>
    </row>
    <row r="119" spans="1:18">
      <c r="A119" s="112">
        <f t="shared" si="26"/>
        <v>105</v>
      </c>
      <c r="B119" s="956"/>
      <c r="C119" s="172" t="s">
        <v>1635</v>
      </c>
      <c r="D119" s="290">
        <f>'[4]Gross Plant'!$Q$223</f>
        <v>8127182.6599999992</v>
      </c>
      <c r="E119" s="290">
        <f>-D119</f>
        <v>-8127182.6599999992</v>
      </c>
      <c r="F119" s="290">
        <f>D119+E119</f>
        <v>0</v>
      </c>
      <c r="G119" s="356">
        <f>$G$16</f>
        <v>1</v>
      </c>
      <c r="H119" s="356">
        <f>$G$16</f>
        <v>1</v>
      </c>
      <c r="I119" s="290">
        <f>F119*G119*H119</f>
        <v>0</v>
      </c>
      <c r="K119" s="290">
        <f>'[4]Gross Plant'!$C$223*0</f>
        <v>0</v>
      </c>
      <c r="L119" s="394">
        <f>$G$16</f>
        <v>1</v>
      </c>
      <c r="M119" s="394">
        <f>$G$16</f>
        <v>1</v>
      </c>
      <c r="N119" s="290">
        <f>K119*L119*M119</f>
        <v>0</v>
      </c>
      <c r="R119" s="358"/>
    </row>
    <row r="120" spans="1:18">
      <c r="A120" s="112">
        <f t="shared" si="26"/>
        <v>106</v>
      </c>
      <c r="B120" s="846"/>
      <c r="K120" s="310"/>
    </row>
    <row r="121" spans="1:18" ht="15.75">
      <c r="A121" s="112">
        <f t="shared" si="26"/>
        <v>107</v>
      </c>
      <c r="B121" s="843" t="s">
        <v>7</v>
      </c>
      <c r="K121" s="310"/>
    </row>
    <row r="122" spans="1:18">
      <c r="A122" s="112">
        <f t="shared" si="26"/>
        <v>108</v>
      </c>
      <c r="B122" s="846"/>
      <c r="K122" s="310"/>
    </row>
    <row r="123" spans="1:18">
      <c r="A123" s="112">
        <f t="shared" si="26"/>
        <v>109</v>
      </c>
      <c r="B123" s="846"/>
      <c r="C123" s="500" t="s">
        <v>295</v>
      </c>
      <c r="K123" s="310"/>
    </row>
    <row r="124" spans="1:18">
      <c r="A124" s="112">
        <f t="shared" si="26"/>
        <v>110</v>
      </c>
      <c r="B124" s="957">
        <v>30100</v>
      </c>
      <c r="C124" s="205" t="s">
        <v>289</v>
      </c>
      <c r="D124" s="290">
        <f>'[4]Gross Plant'!Q84</f>
        <v>185309.27</v>
      </c>
      <c r="E124" s="310">
        <v>0</v>
      </c>
      <c r="F124" s="304">
        <f>D124+E124</f>
        <v>185309.27</v>
      </c>
      <c r="G124" s="394">
        <f>$G$16</f>
        <v>1</v>
      </c>
      <c r="H124" s="395">
        <f>Allocation!$H$17</f>
        <v>0.50419999999999998</v>
      </c>
      <c r="I124" s="304">
        <f>F124*G124*H124</f>
        <v>93432.933933999986</v>
      </c>
      <c r="K124" s="290">
        <f>'[4]Gross Plant'!C84</f>
        <v>185309.27</v>
      </c>
      <c r="L124" s="394">
        <f t="shared" ref="L124:M125" si="31">G124</f>
        <v>1</v>
      </c>
      <c r="M124" s="395">
        <f t="shared" si="31"/>
        <v>0.50419999999999998</v>
      </c>
      <c r="N124" s="364">
        <f t="shared" ref="N124:N125" si="32">K124*L124*M124</f>
        <v>93432.933933999986</v>
      </c>
      <c r="R124" s="358"/>
    </row>
    <row r="125" spans="1:18">
      <c r="A125" s="112">
        <f t="shared" si="26"/>
        <v>111</v>
      </c>
      <c r="B125" s="957">
        <v>30300</v>
      </c>
      <c r="C125" s="205" t="s">
        <v>537</v>
      </c>
      <c r="D125" s="364">
        <f>'[4]Gross Plant'!Q85</f>
        <v>1109551.68</v>
      </c>
      <c r="E125" s="850">
        <v>0</v>
      </c>
      <c r="F125" s="326">
        <f>D125+E125</f>
        <v>1109551.68</v>
      </c>
      <c r="G125" s="394">
        <f>$G$16</f>
        <v>1</v>
      </c>
      <c r="H125" s="395">
        <f>$H$124</f>
        <v>0.50419999999999998</v>
      </c>
      <c r="I125" s="842">
        <f>F125*G125*H125</f>
        <v>559435.9570559999</v>
      </c>
      <c r="K125" s="364">
        <f>'[4]Gross Plant'!C85</f>
        <v>1109551.68</v>
      </c>
      <c r="L125" s="394">
        <f t="shared" si="31"/>
        <v>1</v>
      </c>
      <c r="M125" s="395">
        <f t="shared" si="31"/>
        <v>0.50419999999999998</v>
      </c>
      <c r="N125" s="364">
        <f t="shared" si="32"/>
        <v>559435.9570559999</v>
      </c>
      <c r="R125" s="358"/>
    </row>
    <row r="126" spans="1:18">
      <c r="A126" s="112">
        <f t="shared" si="26"/>
        <v>112</v>
      </c>
      <c r="B126" s="956"/>
      <c r="C126" s="205"/>
      <c r="D126" s="499"/>
      <c r="E126" s="499"/>
      <c r="F126" s="499"/>
      <c r="I126" s="499"/>
      <c r="K126" s="583"/>
      <c r="N126" s="499"/>
    </row>
    <row r="127" spans="1:18">
      <c r="A127" s="112">
        <f t="shared" si="26"/>
        <v>113</v>
      </c>
      <c r="B127" s="956"/>
      <c r="C127" s="205" t="s">
        <v>296</v>
      </c>
      <c r="D127" s="304">
        <f>SUM(D124:D126)</f>
        <v>1294860.95</v>
      </c>
      <c r="E127" s="304">
        <f>SUM(E124:E126)</f>
        <v>0</v>
      </c>
      <c r="F127" s="304">
        <f>SUM(F124:F126)</f>
        <v>1294860.95</v>
      </c>
      <c r="G127" s="296"/>
      <c r="H127" s="296"/>
      <c r="I127" s="304">
        <f>SUM(I124:I126)</f>
        <v>652868.89098999987</v>
      </c>
      <c r="K127" s="304">
        <f>SUM(K124:K126)</f>
        <v>1294860.95</v>
      </c>
      <c r="N127" s="304">
        <f>SUM(N124:N126)</f>
        <v>652868.89098999987</v>
      </c>
    </row>
    <row r="128" spans="1:18">
      <c r="A128" s="112">
        <f t="shared" si="26"/>
        <v>114</v>
      </c>
      <c r="B128" s="956"/>
      <c r="K128" s="310"/>
    </row>
    <row r="129" spans="1:14">
      <c r="A129" s="112">
        <f t="shared" si="26"/>
        <v>115</v>
      </c>
      <c r="B129" s="956"/>
      <c r="C129" s="500" t="s">
        <v>297</v>
      </c>
      <c r="K129" s="310"/>
    </row>
    <row r="130" spans="1:14">
      <c r="A130" s="112">
        <f t="shared" si="26"/>
        <v>116</v>
      </c>
      <c r="B130" s="957">
        <v>37400</v>
      </c>
      <c r="C130" s="205" t="s">
        <v>1128</v>
      </c>
      <c r="D130" s="310">
        <v>0</v>
      </c>
      <c r="E130" s="310">
        <v>0</v>
      </c>
      <c r="F130" s="304">
        <f>D130+E130</f>
        <v>0</v>
      </c>
      <c r="G130" s="394">
        <f>$G$16</f>
        <v>1</v>
      </c>
      <c r="H130" s="395">
        <f>$H$124</f>
        <v>0.50419999999999998</v>
      </c>
      <c r="I130" s="304">
        <f>F130*G130*H130</f>
        <v>0</v>
      </c>
      <c r="K130" s="310">
        <v>0</v>
      </c>
      <c r="L130" s="394">
        <f>G130</f>
        <v>1</v>
      </c>
      <c r="M130" s="395">
        <f>H130</f>
        <v>0.50419999999999998</v>
      </c>
      <c r="N130" s="304">
        <f>K130*L130*M130</f>
        <v>0</v>
      </c>
    </row>
    <row r="131" spans="1:14">
      <c r="A131" s="112">
        <f t="shared" si="26"/>
        <v>117</v>
      </c>
      <c r="B131" s="957">
        <v>35010</v>
      </c>
      <c r="C131" s="205" t="s">
        <v>290</v>
      </c>
      <c r="D131" s="498">
        <v>0</v>
      </c>
      <c r="E131" s="498">
        <v>0</v>
      </c>
      <c r="F131" s="364">
        <f>D131+E131</f>
        <v>0</v>
      </c>
      <c r="G131" s="394">
        <f>$G$16</f>
        <v>1</v>
      </c>
      <c r="H131" s="395">
        <f>$H$124</f>
        <v>0.50419999999999998</v>
      </c>
      <c r="I131" s="364">
        <f>F131*G131*H131</f>
        <v>0</v>
      </c>
      <c r="K131" s="498">
        <v>0</v>
      </c>
      <c r="L131" s="394">
        <f t="shared" ref="L131:L150" si="33">G131</f>
        <v>1</v>
      </c>
      <c r="M131" s="395">
        <f t="shared" ref="M131:M150" si="34">H131</f>
        <v>0.50419999999999998</v>
      </c>
      <c r="N131" s="364">
        <f t="shared" ref="N131:N150" si="35">K131*L131*M131</f>
        <v>0</v>
      </c>
    </row>
    <row r="132" spans="1:14">
      <c r="A132" s="112">
        <f t="shared" si="26"/>
        <v>118</v>
      </c>
      <c r="B132" s="957">
        <v>37402</v>
      </c>
      <c r="C132" s="205" t="s">
        <v>986</v>
      </c>
      <c r="D132" s="498">
        <v>0</v>
      </c>
      <c r="E132" s="498">
        <v>0</v>
      </c>
      <c r="F132" s="364">
        <f t="shared" ref="F132:F150" si="36">D132+E132</f>
        <v>0</v>
      </c>
      <c r="G132" s="394">
        <f t="shared" ref="G132:G150" si="37">$G$16</f>
        <v>1</v>
      </c>
      <c r="H132" s="395">
        <f t="shared" ref="H132:H150" si="38">$H$124</f>
        <v>0.50419999999999998</v>
      </c>
      <c r="I132" s="364">
        <f t="shared" ref="I132:I150" si="39">F132*G132*H132</f>
        <v>0</v>
      </c>
      <c r="K132" s="498">
        <v>0</v>
      </c>
      <c r="L132" s="394">
        <f t="shared" si="33"/>
        <v>1</v>
      </c>
      <c r="M132" s="395">
        <f t="shared" si="34"/>
        <v>0.50419999999999998</v>
      </c>
      <c r="N132" s="364">
        <f t="shared" si="35"/>
        <v>0</v>
      </c>
    </row>
    <row r="133" spans="1:14">
      <c r="A133" s="112">
        <f t="shared" si="26"/>
        <v>119</v>
      </c>
      <c r="B133" s="957">
        <v>37403</v>
      </c>
      <c r="C133" s="205" t="s">
        <v>983</v>
      </c>
      <c r="D133" s="498">
        <v>0</v>
      </c>
      <c r="E133" s="498">
        <v>0</v>
      </c>
      <c r="F133" s="364">
        <f t="shared" si="36"/>
        <v>0</v>
      </c>
      <c r="G133" s="394">
        <f t="shared" si="37"/>
        <v>1</v>
      </c>
      <c r="H133" s="395">
        <f t="shared" si="38"/>
        <v>0.50419999999999998</v>
      </c>
      <c r="I133" s="364">
        <f t="shared" si="39"/>
        <v>0</v>
      </c>
      <c r="K133" s="498">
        <v>0</v>
      </c>
      <c r="L133" s="394">
        <f t="shared" si="33"/>
        <v>1</v>
      </c>
      <c r="M133" s="395">
        <f t="shared" si="34"/>
        <v>0.50419999999999998</v>
      </c>
      <c r="N133" s="364">
        <f t="shared" si="35"/>
        <v>0</v>
      </c>
    </row>
    <row r="134" spans="1:14">
      <c r="A134" s="112">
        <f t="shared" si="26"/>
        <v>120</v>
      </c>
      <c r="B134" s="957">
        <v>36602</v>
      </c>
      <c r="C134" s="205" t="s">
        <v>848</v>
      </c>
      <c r="D134" s="498">
        <v>0</v>
      </c>
      <c r="E134" s="498">
        <v>0</v>
      </c>
      <c r="F134" s="364">
        <f t="shared" si="36"/>
        <v>0</v>
      </c>
      <c r="G134" s="394">
        <f t="shared" si="37"/>
        <v>1</v>
      </c>
      <c r="H134" s="395">
        <f t="shared" si="38"/>
        <v>0.50419999999999998</v>
      </c>
      <c r="I134" s="364">
        <f t="shared" si="39"/>
        <v>0</v>
      </c>
      <c r="K134" s="498">
        <v>0</v>
      </c>
      <c r="L134" s="394">
        <f t="shared" si="33"/>
        <v>1</v>
      </c>
      <c r="M134" s="395">
        <f t="shared" si="34"/>
        <v>0.50419999999999998</v>
      </c>
      <c r="N134" s="364">
        <f t="shared" si="35"/>
        <v>0</v>
      </c>
    </row>
    <row r="135" spans="1:14">
      <c r="A135" s="112">
        <f t="shared" si="26"/>
        <v>121</v>
      </c>
      <c r="B135" s="957">
        <v>37402</v>
      </c>
      <c r="C135" s="205" t="s">
        <v>986</v>
      </c>
      <c r="D135" s="498">
        <v>0</v>
      </c>
      <c r="E135" s="498">
        <v>0</v>
      </c>
      <c r="F135" s="364">
        <f>D135+E135</f>
        <v>0</v>
      </c>
      <c r="G135" s="394">
        <f t="shared" si="37"/>
        <v>1</v>
      </c>
      <c r="H135" s="395">
        <f t="shared" si="38"/>
        <v>0.50419999999999998</v>
      </c>
      <c r="I135" s="364">
        <f>F135*G135*H135</f>
        <v>0</v>
      </c>
      <c r="K135" s="498">
        <v>0</v>
      </c>
      <c r="L135" s="394">
        <f>G135</f>
        <v>1</v>
      </c>
      <c r="M135" s="395">
        <f>H135</f>
        <v>0.50419999999999998</v>
      </c>
      <c r="N135" s="364">
        <f>K135*L135*M135</f>
        <v>0</v>
      </c>
    </row>
    <row r="136" spans="1:14">
      <c r="A136" s="112">
        <f t="shared" si="26"/>
        <v>122</v>
      </c>
      <c r="B136" s="957">
        <v>37501</v>
      </c>
      <c r="C136" s="205" t="s">
        <v>984</v>
      </c>
      <c r="D136" s="498">
        <v>0</v>
      </c>
      <c r="E136" s="498">
        <v>0</v>
      </c>
      <c r="F136" s="364">
        <f t="shared" si="36"/>
        <v>0</v>
      </c>
      <c r="G136" s="394">
        <f t="shared" si="37"/>
        <v>1</v>
      </c>
      <c r="H136" s="395">
        <f t="shared" si="38"/>
        <v>0.50419999999999998</v>
      </c>
      <c r="I136" s="364">
        <f t="shared" si="39"/>
        <v>0</v>
      </c>
      <c r="K136" s="498">
        <v>0</v>
      </c>
      <c r="L136" s="394">
        <f t="shared" si="33"/>
        <v>1</v>
      </c>
      <c r="M136" s="395">
        <f t="shared" si="34"/>
        <v>0.50419999999999998</v>
      </c>
      <c r="N136" s="364">
        <f t="shared" si="35"/>
        <v>0</v>
      </c>
    </row>
    <row r="137" spans="1:14">
      <c r="A137" s="112">
        <f t="shared" si="26"/>
        <v>123</v>
      </c>
      <c r="B137" s="957">
        <v>37503</v>
      </c>
      <c r="C137" s="205" t="s">
        <v>985</v>
      </c>
      <c r="D137" s="498">
        <v>0</v>
      </c>
      <c r="E137" s="498">
        <v>0</v>
      </c>
      <c r="F137" s="364">
        <f t="shared" si="36"/>
        <v>0</v>
      </c>
      <c r="G137" s="394">
        <f t="shared" si="37"/>
        <v>1</v>
      </c>
      <c r="H137" s="395">
        <f t="shared" si="38"/>
        <v>0.50419999999999998</v>
      </c>
      <c r="I137" s="364">
        <f t="shared" si="39"/>
        <v>0</v>
      </c>
      <c r="K137" s="498">
        <v>0</v>
      </c>
      <c r="L137" s="394">
        <f t="shared" si="33"/>
        <v>1</v>
      </c>
      <c r="M137" s="395">
        <f t="shared" si="34"/>
        <v>0.50419999999999998</v>
      </c>
      <c r="N137" s="364">
        <f t="shared" si="35"/>
        <v>0</v>
      </c>
    </row>
    <row r="138" spans="1:14">
      <c r="A138" s="112">
        <f t="shared" si="26"/>
        <v>124</v>
      </c>
      <c r="B138" s="957">
        <v>36700</v>
      </c>
      <c r="C138" s="205" t="s">
        <v>836</v>
      </c>
      <c r="D138" s="498">
        <v>0</v>
      </c>
      <c r="E138" s="498">
        <v>0</v>
      </c>
      <c r="F138" s="364">
        <f t="shared" si="36"/>
        <v>0</v>
      </c>
      <c r="G138" s="394">
        <f t="shared" si="37"/>
        <v>1</v>
      </c>
      <c r="H138" s="395">
        <f t="shared" si="38"/>
        <v>0.50419999999999998</v>
      </c>
      <c r="I138" s="364">
        <f t="shared" si="39"/>
        <v>0</v>
      </c>
      <c r="K138" s="498">
        <v>0</v>
      </c>
      <c r="L138" s="394">
        <f t="shared" si="33"/>
        <v>1</v>
      </c>
      <c r="M138" s="395">
        <f t="shared" si="34"/>
        <v>0.50419999999999998</v>
      </c>
      <c r="N138" s="364">
        <f t="shared" si="35"/>
        <v>0</v>
      </c>
    </row>
    <row r="139" spans="1:14">
      <c r="A139" s="112">
        <f t="shared" si="26"/>
        <v>125</v>
      </c>
      <c r="B139" s="957">
        <v>36701</v>
      </c>
      <c r="C139" s="205" t="s">
        <v>16</v>
      </c>
      <c r="D139" s="498">
        <v>0</v>
      </c>
      <c r="E139" s="498">
        <v>0</v>
      </c>
      <c r="F139" s="364">
        <f t="shared" si="36"/>
        <v>0</v>
      </c>
      <c r="G139" s="394">
        <f t="shared" si="37"/>
        <v>1</v>
      </c>
      <c r="H139" s="395">
        <f t="shared" si="38"/>
        <v>0.50419999999999998</v>
      </c>
      <c r="I139" s="364">
        <f t="shared" si="39"/>
        <v>0</v>
      </c>
      <c r="K139" s="498">
        <v>0</v>
      </c>
      <c r="L139" s="394">
        <f t="shared" si="33"/>
        <v>1</v>
      </c>
      <c r="M139" s="395">
        <f t="shared" si="34"/>
        <v>0.50419999999999998</v>
      </c>
      <c r="N139" s="364">
        <f t="shared" si="35"/>
        <v>0</v>
      </c>
    </row>
    <row r="140" spans="1:14">
      <c r="A140" s="112">
        <f t="shared" si="26"/>
        <v>126</v>
      </c>
      <c r="B140" s="957">
        <v>37602</v>
      </c>
      <c r="C140" s="205" t="s">
        <v>837</v>
      </c>
      <c r="D140" s="498">
        <v>0</v>
      </c>
      <c r="E140" s="498">
        <v>0</v>
      </c>
      <c r="F140" s="364">
        <f t="shared" si="36"/>
        <v>0</v>
      </c>
      <c r="G140" s="394">
        <f t="shared" si="37"/>
        <v>1</v>
      </c>
      <c r="H140" s="395">
        <f t="shared" si="38"/>
        <v>0.50419999999999998</v>
      </c>
      <c r="I140" s="364">
        <f t="shared" si="39"/>
        <v>0</v>
      </c>
      <c r="K140" s="498">
        <v>0</v>
      </c>
      <c r="L140" s="394">
        <f t="shared" si="33"/>
        <v>1</v>
      </c>
      <c r="M140" s="395">
        <f t="shared" si="34"/>
        <v>0.50419999999999998</v>
      </c>
      <c r="N140" s="364">
        <f t="shared" si="35"/>
        <v>0</v>
      </c>
    </row>
    <row r="141" spans="1:14">
      <c r="A141" s="112">
        <f t="shared" si="26"/>
        <v>127</v>
      </c>
      <c r="B141" s="957">
        <v>37800</v>
      </c>
      <c r="C141" s="205" t="s">
        <v>228</v>
      </c>
      <c r="D141" s="498">
        <v>0</v>
      </c>
      <c r="E141" s="498">
        <v>0</v>
      </c>
      <c r="F141" s="364">
        <f t="shared" si="36"/>
        <v>0</v>
      </c>
      <c r="G141" s="394">
        <f t="shared" si="37"/>
        <v>1</v>
      </c>
      <c r="H141" s="395">
        <f t="shared" si="38"/>
        <v>0.50419999999999998</v>
      </c>
      <c r="I141" s="364">
        <f t="shared" si="39"/>
        <v>0</v>
      </c>
      <c r="K141" s="498">
        <v>0</v>
      </c>
      <c r="L141" s="394">
        <f t="shared" si="33"/>
        <v>1</v>
      </c>
      <c r="M141" s="395">
        <f t="shared" si="34"/>
        <v>0.50419999999999998</v>
      </c>
      <c r="N141" s="364">
        <f t="shared" si="35"/>
        <v>0</v>
      </c>
    </row>
    <row r="142" spans="1:14">
      <c r="A142" s="112">
        <f t="shared" si="26"/>
        <v>128</v>
      </c>
      <c r="B142" s="957">
        <v>37900</v>
      </c>
      <c r="C142" s="205" t="s">
        <v>1171</v>
      </c>
      <c r="D142" s="498">
        <v>0</v>
      </c>
      <c r="E142" s="498">
        <v>0</v>
      </c>
      <c r="F142" s="364">
        <f t="shared" si="36"/>
        <v>0</v>
      </c>
      <c r="G142" s="394">
        <f t="shared" si="37"/>
        <v>1</v>
      </c>
      <c r="H142" s="395">
        <f t="shared" si="38"/>
        <v>0.50419999999999998</v>
      </c>
      <c r="I142" s="364">
        <f t="shared" si="39"/>
        <v>0</v>
      </c>
      <c r="K142" s="498">
        <v>0</v>
      </c>
      <c r="L142" s="394">
        <f t="shared" si="33"/>
        <v>1</v>
      </c>
      <c r="M142" s="395">
        <f t="shared" si="34"/>
        <v>0.50419999999999998</v>
      </c>
      <c r="N142" s="364">
        <f t="shared" si="35"/>
        <v>0</v>
      </c>
    </row>
    <row r="143" spans="1:14">
      <c r="A143" s="112">
        <f t="shared" si="26"/>
        <v>129</v>
      </c>
      <c r="B143" s="957">
        <v>37905</v>
      </c>
      <c r="C143" s="205" t="s">
        <v>720</v>
      </c>
      <c r="D143" s="498">
        <v>0</v>
      </c>
      <c r="E143" s="498">
        <v>0</v>
      </c>
      <c r="F143" s="364">
        <f t="shared" si="36"/>
        <v>0</v>
      </c>
      <c r="G143" s="394">
        <f t="shared" si="37"/>
        <v>1</v>
      </c>
      <c r="H143" s="395">
        <f t="shared" si="38"/>
        <v>0.50419999999999998</v>
      </c>
      <c r="I143" s="364">
        <f t="shared" si="39"/>
        <v>0</v>
      </c>
      <c r="K143" s="498">
        <v>0</v>
      </c>
      <c r="L143" s="394">
        <f t="shared" si="33"/>
        <v>1</v>
      </c>
      <c r="M143" s="395">
        <f t="shared" si="34"/>
        <v>0.50419999999999998</v>
      </c>
      <c r="N143" s="364">
        <f t="shared" si="35"/>
        <v>0</v>
      </c>
    </row>
    <row r="144" spans="1:14">
      <c r="A144" s="112">
        <f t="shared" si="26"/>
        <v>130</v>
      </c>
      <c r="B144" s="957">
        <v>38000</v>
      </c>
      <c r="C144" s="205" t="s">
        <v>1036</v>
      </c>
      <c r="D144" s="498">
        <v>0</v>
      </c>
      <c r="E144" s="498">
        <v>0</v>
      </c>
      <c r="F144" s="364">
        <f t="shared" si="36"/>
        <v>0</v>
      </c>
      <c r="G144" s="394">
        <f t="shared" si="37"/>
        <v>1</v>
      </c>
      <c r="H144" s="395">
        <f t="shared" si="38"/>
        <v>0.50419999999999998</v>
      </c>
      <c r="I144" s="364">
        <f t="shared" si="39"/>
        <v>0</v>
      </c>
      <c r="K144" s="498">
        <v>0</v>
      </c>
      <c r="L144" s="394">
        <f t="shared" si="33"/>
        <v>1</v>
      </c>
      <c r="M144" s="395">
        <f t="shared" si="34"/>
        <v>0.50419999999999998</v>
      </c>
      <c r="N144" s="364">
        <f t="shared" si="35"/>
        <v>0</v>
      </c>
    </row>
    <row r="145" spans="1:18">
      <c r="A145" s="112">
        <f t="shared" si="26"/>
        <v>131</v>
      </c>
      <c r="B145" s="957">
        <v>38100</v>
      </c>
      <c r="C145" s="205" t="s">
        <v>838</v>
      </c>
      <c r="D145" s="498">
        <v>0</v>
      </c>
      <c r="E145" s="498">
        <v>0</v>
      </c>
      <c r="F145" s="364">
        <f t="shared" si="36"/>
        <v>0</v>
      </c>
      <c r="G145" s="394">
        <f t="shared" si="37"/>
        <v>1</v>
      </c>
      <c r="H145" s="395">
        <f t="shared" si="38"/>
        <v>0.50419999999999998</v>
      </c>
      <c r="I145" s="364">
        <f t="shared" si="39"/>
        <v>0</v>
      </c>
      <c r="K145" s="498">
        <v>0</v>
      </c>
      <c r="L145" s="394">
        <f t="shared" si="33"/>
        <v>1</v>
      </c>
      <c r="M145" s="395">
        <f t="shared" si="34"/>
        <v>0.50419999999999998</v>
      </c>
      <c r="N145" s="364">
        <f t="shared" si="35"/>
        <v>0</v>
      </c>
    </row>
    <row r="146" spans="1:18">
      <c r="A146" s="112">
        <f t="shared" si="26"/>
        <v>132</v>
      </c>
      <c r="B146" s="957">
        <v>38200</v>
      </c>
      <c r="C146" s="205" t="s">
        <v>438</v>
      </c>
      <c r="D146" s="498">
        <v>0</v>
      </c>
      <c r="E146" s="498">
        <v>0</v>
      </c>
      <c r="F146" s="364">
        <f t="shared" si="36"/>
        <v>0</v>
      </c>
      <c r="G146" s="394">
        <f t="shared" si="37"/>
        <v>1</v>
      </c>
      <c r="H146" s="395">
        <f t="shared" si="38"/>
        <v>0.50419999999999998</v>
      </c>
      <c r="I146" s="364">
        <f t="shared" si="39"/>
        <v>0</v>
      </c>
      <c r="K146" s="498">
        <v>0</v>
      </c>
      <c r="L146" s="394">
        <f t="shared" si="33"/>
        <v>1</v>
      </c>
      <c r="M146" s="395">
        <f t="shared" si="34"/>
        <v>0.50419999999999998</v>
      </c>
      <c r="N146" s="364">
        <f t="shared" si="35"/>
        <v>0</v>
      </c>
    </row>
    <row r="147" spans="1:18">
      <c r="A147" s="112">
        <f t="shared" si="26"/>
        <v>133</v>
      </c>
      <c r="B147" s="957">
        <v>38300</v>
      </c>
      <c r="C147" s="205" t="s">
        <v>1037</v>
      </c>
      <c r="D147" s="498">
        <v>0</v>
      </c>
      <c r="E147" s="498">
        <v>0</v>
      </c>
      <c r="F147" s="364">
        <f t="shared" si="36"/>
        <v>0</v>
      </c>
      <c r="G147" s="394">
        <f t="shared" si="37"/>
        <v>1</v>
      </c>
      <c r="H147" s="395">
        <f t="shared" si="38"/>
        <v>0.50419999999999998</v>
      </c>
      <c r="I147" s="364">
        <f t="shared" si="39"/>
        <v>0</v>
      </c>
      <c r="K147" s="498">
        <v>0</v>
      </c>
      <c r="L147" s="394">
        <f t="shared" si="33"/>
        <v>1</v>
      </c>
      <c r="M147" s="395">
        <f t="shared" si="34"/>
        <v>0.50419999999999998</v>
      </c>
      <c r="N147" s="364">
        <f t="shared" si="35"/>
        <v>0</v>
      </c>
    </row>
    <row r="148" spans="1:18">
      <c r="A148" s="112">
        <f t="shared" ref="A148:A211" si="40">A147+1</f>
        <v>134</v>
      </c>
      <c r="B148" s="957">
        <v>38400</v>
      </c>
      <c r="C148" s="205" t="s">
        <v>439</v>
      </c>
      <c r="D148" s="498">
        <v>0</v>
      </c>
      <c r="E148" s="498">
        <v>0</v>
      </c>
      <c r="F148" s="364">
        <f t="shared" si="36"/>
        <v>0</v>
      </c>
      <c r="G148" s="394">
        <f t="shared" si="37"/>
        <v>1</v>
      </c>
      <c r="H148" s="395">
        <f t="shared" si="38"/>
        <v>0.50419999999999998</v>
      </c>
      <c r="I148" s="364">
        <f t="shared" si="39"/>
        <v>0</v>
      </c>
      <c r="K148" s="498">
        <v>0</v>
      </c>
      <c r="L148" s="394">
        <f t="shared" si="33"/>
        <v>1</v>
      </c>
      <c r="M148" s="395">
        <f t="shared" si="34"/>
        <v>0.50419999999999998</v>
      </c>
      <c r="N148" s="364">
        <f t="shared" si="35"/>
        <v>0</v>
      </c>
    </row>
    <row r="149" spans="1:18">
      <c r="A149" s="112">
        <f t="shared" si="40"/>
        <v>135</v>
      </c>
      <c r="B149" s="957">
        <v>38500</v>
      </c>
      <c r="C149" s="205" t="s">
        <v>440</v>
      </c>
      <c r="D149" s="498">
        <v>0</v>
      </c>
      <c r="E149" s="498">
        <v>0</v>
      </c>
      <c r="F149" s="364">
        <f t="shared" si="36"/>
        <v>0</v>
      </c>
      <c r="G149" s="394">
        <f t="shared" si="37"/>
        <v>1</v>
      </c>
      <c r="H149" s="395">
        <f t="shared" si="38"/>
        <v>0.50419999999999998</v>
      </c>
      <c r="I149" s="364">
        <f t="shared" si="39"/>
        <v>0</v>
      </c>
      <c r="K149" s="498">
        <v>0</v>
      </c>
      <c r="L149" s="394">
        <f t="shared" si="33"/>
        <v>1</v>
      </c>
      <c r="M149" s="395">
        <f t="shared" si="34"/>
        <v>0.50419999999999998</v>
      </c>
      <c r="N149" s="364">
        <f t="shared" si="35"/>
        <v>0</v>
      </c>
    </row>
    <row r="150" spans="1:18">
      <c r="A150" s="112">
        <f t="shared" si="40"/>
        <v>136</v>
      </c>
      <c r="B150" s="957">
        <v>38600</v>
      </c>
      <c r="C150" s="205" t="s">
        <v>105</v>
      </c>
      <c r="D150" s="844">
        <v>0</v>
      </c>
      <c r="E150" s="844">
        <v>0</v>
      </c>
      <c r="F150" s="842">
        <f t="shared" si="36"/>
        <v>0</v>
      </c>
      <c r="G150" s="394">
        <f t="shared" si="37"/>
        <v>1</v>
      </c>
      <c r="H150" s="395">
        <f t="shared" si="38"/>
        <v>0.50419999999999998</v>
      </c>
      <c r="I150" s="842">
        <f t="shared" si="39"/>
        <v>0</v>
      </c>
      <c r="K150" s="844">
        <v>0</v>
      </c>
      <c r="L150" s="394">
        <f t="shared" si="33"/>
        <v>1</v>
      </c>
      <c r="M150" s="395">
        <f t="shared" si="34"/>
        <v>0.50419999999999998</v>
      </c>
      <c r="N150" s="842">
        <f t="shared" si="35"/>
        <v>0</v>
      </c>
    </row>
    <row r="151" spans="1:18">
      <c r="A151" s="112">
        <f t="shared" si="40"/>
        <v>137</v>
      </c>
      <c r="B151" s="956"/>
      <c r="C151" s="205"/>
      <c r="M151" s="288"/>
    </row>
    <row r="152" spans="1:18">
      <c r="A152" s="112">
        <f t="shared" si="40"/>
        <v>138</v>
      </c>
      <c r="B152" s="956"/>
      <c r="C152" s="205" t="s">
        <v>298</v>
      </c>
      <c r="D152" s="304">
        <f>SUM(D130:D151)</f>
        <v>0</v>
      </c>
      <c r="E152" s="304">
        <f>SUM(E130:E151)</f>
        <v>0</v>
      </c>
      <c r="F152" s="304">
        <f>SUM(F130:F151)</f>
        <v>0</v>
      </c>
      <c r="I152" s="304">
        <f>SUM(I130:I151)</f>
        <v>0</v>
      </c>
      <c r="K152" s="304">
        <f>SUM(K130:K151)</f>
        <v>0</v>
      </c>
      <c r="M152" s="288"/>
      <c r="N152" s="304">
        <f>SUM(N130:N151)</f>
        <v>0</v>
      </c>
    </row>
    <row r="153" spans="1:18">
      <c r="A153" s="112">
        <f t="shared" si="40"/>
        <v>139</v>
      </c>
      <c r="B153" s="956"/>
      <c r="C153" s="205"/>
      <c r="M153" s="288"/>
    </row>
    <row r="154" spans="1:18">
      <c r="A154" s="112">
        <f t="shared" si="40"/>
        <v>140</v>
      </c>
      <c r="B154" s="956"/>
      <c r="C154" s="500" t="s">
        <v>299</v>
      </c>
      <c r="M154" s="288"/>
    </row>
    <row r="155" spans="1:18">
      <c r="A155" s="112">
        <f t="shared" si="40"/>
        <v>141</v>
      </c>
      <c r="B155" s="957">
        <v>39001</v>
      </c>
      <c r="C155" s="205" t="s">
        <v>535</v>
      </c>
      <c r="D155" s="290">
        <f>'[4]Gross Plant'!Q86</f>
        <v>179338.52</v>
      </c>
      <c r="E155" s="498">
        <v>0</v>
      </c>
      <c r="F155" s="364">
        <f>D155+E155</f>
        <v>179338.52</v>
      </c>
      <c r="G155" s="394">
        <f>$G$16</f>
        <v>1</v>
      </c>
      <c r="H155" s="395">
        <f>$H$124</f>
        <v>0.50419999999999998</v>
      </c>
      <c r="I155" s="364">
        <f>F155*G155*H155</f>
        <v>90422.481783999989</v>
      </c>
      <c r="K155" s="290">
        <f>'[4]Gross Plant'!C86</f>
        <v>179338.52</v>
      </c>
      <c r="L155" s="394">
        <f t="shared" ref="L155:L175" si="41">G155</f>
        <v>1</v>
      </c>
      <c r="M155" s="395">
        <f t="shared" ref="M155:M175" si="42">H155</f>
        <v>0.50419999999999998</v>
      </c>
      <c r="N155" s="364">
        <f t="shared" ref="N155:N175" si="43">K155*L155*M155</f>
        <v>90422.481783999989</v>
      </c>
      <c r="R155" s="358"/>
    </row>
    <row r="156" spans="1:18">
      <c r="A156" s="112">
        <f t="shared" si="40"/>
        <v>142</v>
      </c>
      <c r="B156" s="957">
        <v>39004</v>
      </c>
      <c r="C156" s="205" t="s">
        <v>441</v>
      </c>
      <c r="D156" s="364">
        <f>'[4]Gross Plant'!Q87</f>
        <v>15383.91</v>
      </c>
      <c r="E156" s="498">
        <v>0</v>
      </c>
      <c r="F156" s="364">
        <f t="shared" ref="F156:F175" si="44">D156+E156</f>
        <v>15383.91</v>
      </c>
      <c r="G156" s="394">
        <f t="shared" ref="G156:G175" si="45">$G$16</f>
        <v>1</v>
      </c>
      <c r="H156" s="395">
        <f t="shared" ref="H156:H175" si="46">$H$124</f>
        <v>0.50419999999999998</v>
      </c>
      <c r="I156" s="364">
        <f t="shared" ref="I156:I158" si="47">F156*G156*H156</f>
        <v>7756.5674220000001</v>
      </c>
      <c r="K156" s="364">
        <f>'[4]Gross Plant'!C87</f>
        <v>15383.910000000002</v>
      </c>
      <c r="L156" s="394">
        <f t="shared" si="41"/>
        <v>1</v>
      </c>
      <c r="M156" s="395">
        <f t="shared" si="42"/>
        <v>0.50419999999999998</v>
      </c>
      <c r="N156" s="364">
        <f t="shared" si="43"/>
        <v>7756.567422000001</v>
      </c>
      <c r="R156" s="358"/>
    </row>
    <row r="157" spans="1:18">
      <c r="A157" s="112">
        <f t="shared" si="40"/>
        <v>143</v>
      </c>
      <c r="B157" s="957">
        <v>39009</v>
      </c>
      <c r="C157" s="205" t="s">
        <v>1020</v>
      </c>
      <c r="D157" s="364">
        <f>'[4]Gross Plant'!Q88</f>
        <v>38834</v>
      </c>
      <c r="E157" s="498">
        <v>0</v>
      </c>
      <c r="F157" s="364">
        <f t="shared" si="44"/>
        <v>38834</v>
      </c>
      <c r="G157" s="394">
        <f t="shared" si="45"/>
        <v>1</v>
      </c>
      <c r="H157" s="395">
        <f t="shared" si="46"/>
        <v>0.50419999999999998</v>
      </c>
      <c r="I157" s="364">
        <f t="shared" si="47"/>
        <v>19580.102800000001</v>
      </c>
      <c r="K157" s="364">
        <f>'[4]Gross Plant'!C88</f>
        <v>38834</v>
      </c>
      <c r="L157" s="394">
        <f t="shared" si="41"/>
        <v>1</v>
      </c>
      <c r="M157" s="395">
        <f t="shared" si="42"/>
        <v>0.50419999999999998</v>
      </c>
      <c r="N157" s="364">
        <f t="shared" si="43"/>
        <v>19580.102800000001</v>
      </c>
      <c r="R157" s="358"/>
    </row>
    <row r="158" spans="1:18">
      <c r="A158" s="112">
        <f t="shared" si="40"/>
        <v>144</v>
      </c>
      <c r="B158" s="957">
        <v>39100</v>
      </c>
      <c r="C158" s="205" t="s">
        <v>772</v>
      </c>
      <c r="D158" s="364">
        <f>'[4]Gross Plant'!Q89</f>
        <v>26927.929999999997</v>
      </c>
      <c r="E158" s="498">
        <v>0</v>
      </c>
      <c r="F158" s="364">
        <f t="shared" si="44"/>
        <v>26927.929999999997</v>
      </c>
      <c r="G158" s="394">
        <f t="shared" si="45"/>
        <v>1</v>
      </c>
      <c r="H158" s="395">
        <f t="shared" si="46"/>
        <v>0.50419999999999998</v>
      </c>
      <c r="I158" s="364">
        <f t="shared" si="47"/>
        <v>13577.062305999998</v>
      </c>
      <c r="K158" s="364">
        <f>'[4]Gross Plant'!C89</f>
        <v>27866.233076923068</v>
      </c>
      <c r="L158" s="394">
        <f t="shared" si="41"/>
        <v>1</v>
      </c>
      <c r="M158" s="395">
        <f t="shared" si="42"/>
        <v>0.50419999999999998</v>
      </c>
      <c r="N158" s="364">
        <f t="shared" si="43"/>
        <v>14050.15471738461</v>
      </c>
      <c r="R158" s="358"/>
    </row>
    <row r="159" spans="1:18">
      <c r="A159" s="112">
        <f t="shared" si="40"/>
        <v>145</v>
      </c>
      <c r="B159" s="957">
        <v>39101</v>
      </c>
      <c r="C159" s="205" t="s">
        <v>1439</v>
      </c>
      <c r="D159" s="364">
        <f>'[4]Gross Plant'!Q90</f>
        <v>0</v>
      </c>
      <c r="E159" s="498">
        <v>0</v>
      </c>
      <c r="F159" s="364">
        <f t="shared" si="44"/>
        <v>0</v>
      </c>
      <c r="G159" s="394">
        <f t="shared" si="45"/>
        <v>1</v>
      </c>
      <c r="H159" s="395">
        <f t="shared" si="46"/>
        <v>0.50419999999999998</v>
      </c>
      <c r="I159" s="364">
        <f t="shared" ref="I159:I175" si="48">F159*G159*H159</f>
        <v>0</v>
      </c>
      <c r="K159" s="364">
        <f>'[4]Gross Plant'!C90</f>
        <v>0</v>
      </c>
      <c r="L159" s="394">
        <f t="shared" ref="L159:L171" si="49">G159</f>
        <v>1</v>
      </c>
      <c r="M159" s="395">
        <f t="shared" ref="M159:M171" si="50">H159</f>
        <v>0.50419999999999998</v>
      </c>
      <c r="N159" s="364">
        <f t="shared" ref="N159:N171" si="51">K159*L159*M159</f>
        <v>0</v>
      </c>
      <c r="R159" s="358"/>
    </row>
    <row r="160" spans="1:18">
      <c r="A160" s="112">
        <f t="shared" si="40"/>
        <v>146</v>
      </c>
      <c r="B160" s="957">
        <v>39103</v>
      </c>
      <c r="C160" s="205" t="s">
        <v>773</v>
      </c>
      <c r="D160" s="364">
        <f>'[4]Gross Plant'!Q91</f>
        <v>0</v>
      </c>
      <c r="E160" s="498">
        <v>0</v>
      </c>
      <c r="F160" s="364">
        <f t="shared" si="44"/>
        <v>0</v>
      </c>
      <c r="G160" s="394">
        <f t="shared" si="45"/>
        <v>1</v>
      </c>
      <c r="H160" s="395">
        <f t="shared" si="46"/>
        <v>0.50419999999999998</v>
      </c>
      <c r="I160" s="364">
        <f t="shared" si="48"/>
        <v>0</v>
      </c>
      <c r="K160" s="364">
        <f>'[4]Gross Plant'!C91</f>
        <v>0</v>
      </c>
      <c r="L160" s="394">
        <f t="shared" si="49"/>
        <v>1</v>
      </c>
      <c r="M160" s="395">
        <f t="shared" si="50"/>
        <v>0.50419999999999998</v>
      </c>
      <c r="N160" s="364">
        <f t="shared" si="51"/>
        <v>0</v>
      </c>
      <c r="R160" s="358"/>
    </row>
    <row r="161" spans="1:18">
      <c r="A161" s="112">
        <f t="shared" si="40"/>
        <v>147</v>
      </c>
      <c r="B161" s="957">
        <v>39200</v>
      </c>
      <c r="C161" s="205" t="s">
        <v>1060</v>
      </c>
      <c r="D161" s="364">
        <f>'[4]Gross Plant'!Q92</f>
        <v>27284.69</v>
      </c>
      <c r="E161" s="498">
        <v>0</v>
      </c>
      <c r="F161" s="364">
        <f t="shared" si="44"/>
        <v>27284.69</v>
      </c>
      <c r="G161" s="394">
        <f t="shared" si="45"/>
        <v>1</v>
      </c>
      <c r="H161" s="395">
        <f t="shared" si="46"/>
        <v>0.50419999999999998</v>
      </c>
      <c r="I161" s="364">
        <f t="shared" si="48"/>
        <v>13756.940697999999</v>
      </c>
      <c r="K161" s="364">
        <f>'[4]Gross Plant'!C92</f>
        <v>27284.69</v>
      </c>
      <c r="L161" s="394">
        <f t="shared" si="49"/>
        <v>1</v>
      </c>
      <c r="M161" s="395">
        <f t="shared" si="50"/>
        <v>0.50419999999999998</v>
      </c>
      <c r="N161" s="364">
        <f t="shared" si="51"/>
        <v>13756.940697999999</v>
      </c>
      <c r="R161" s="358"/>
    </row>
    <row r="162" spans="1:18">
      <c r="A162" s="112">
        <f t="shared" si="40"/>
        <v>148</v>
      </c>
      <c r="B162" s="957">
        <v>39300</v>
      </c>
      <c r="C162" s="205" t="s">
        <v>644</v>
      </c>
      <c r="D162" s="364">
        <f>'[4]Gross Plant'!Q93</f>
        <v>0</v>
      </c>
      <c r="E162" s="498">
        <v>0</v>
      </c>
      <c r="F162" s="364">
        <f t="shared" si="44"/>
        <v>0</v>
      </c>
      <c r="G162" s="394">
        <f t="shared" si="45"/>
        <v>1</v>
      </c>
      <c r="H162" s="395">
        <f t="shared" si="46"/>
        <v>0.50419999999999998</v>
      </c>
      <c r="I162" s="364">
        <f t="shared" si="48"/>
        <v>0</v>
      </c>
      <c r="K162" s="364">
        <f>'[4]Gross Plant'!C93</f>
        <v>0</v>
      </c>
      <c r="L162" s="394">
        <f t="shared" si="49"/>
        <v>1</v>
      </c>
      <c r="M162" s="395">
        <f t="shared" si="50"/>
        <v>0.50419999999999998</v>
      </c>
      <c r="N162" s="364">
        <f t="shared" si="51"/>
        <v>0</v>
      </c>
      <c r="R162" s="358"/>
    </row>
    <row r="163" spans="1:18">
      <c r="A163" s="112">
        <f t="shared" si="40"/>
        <v>149</v>
      </c>
      <c r="B163" s="957">
        <v>39400</v>
      </c>
      <c r="C163" s="205" t="s">
        <v>1019</v>
      </c>
      <c r="D163" s="364">
        <f>'[4]Gross Plant'!Q94</f>
        <v>125287.07999999993</v>
      </c>
      <c r="E163" s="498">
        <v>0</v>
      </c>
      <c r="F163" s="364">
        <f t="shared" si="44"/>
        <v>125287.07999999993</v>
      </c>
      <c r="G163" s="394">
        <f t="shared" si="45"/>
        <v>1</v>
      </c>
      <c r="H163" s="395">
        <f t="shared" si="46"/>
        <v>0.50419999999999998</v>
      </c>
      <c r="I163" s="364">
        <f t="shared" si="48"/>
        <v>63169.745735999961</v>
      </c>
      <c r="K163" s="364">
        <f>'[4]Gross Plant'!C94</f>
        <v>121910.39384615388</v>
      </c>
      <c r="L163" s="394">
        <f t="shared" si="49"/>
        <v>1</v>
      </c>
      <c r="M163" s="395">
        <f t="shared" si="50"/>
        <v>0.50419999999999998</v>
      </c>
      <c r="N163" s="364">
        <f t="shared" si="51"/>
        <v>61467.220577230786</v>
      </c>
      <c r="R163" s="358"/>
    </row>
    <row r="164" spans="1:18">
      <c r="A164" s="112">
        <f t="shared" si="40"/>
        <v>150</v>
      </c>
      <c r="B164" s="957">
        <v>39600</v>
      </c>
      <c r="C164" s="205" t="s">
        <v>536</v>
      </c>
      <c r="D164" s="364">
        <f>'[4]Gross Plant'!Q95</f>
        <v>20515.689999999999</v>
      </c>
      <c r="E164" s="498">
        <v>0</v>
      </c>
      <c r="F164" s="364">
        <f t="shared" si="44"/>
        <v>20515.689999999999</v>
      </c>
      <c r="G164" s="394">
        <f t="shared" si="45"/>
        <v>1</v>
      </c>
      <c r="H164" s="395">
        <f t="shared" si="46"/>
        <v>0.50419999999999998</v>
      </c>
      <c r="I164" s="364">
        <f t="shared" si="48"/>
        <v>10344.010897999999</v>
      </c>
      <c r="K164" s="364">
        <f>'[4]Gross Plant'!C95</f>
        <v>20515.689999999999</v>
      </c>
      <c r="L164" s="394">
        <f t="shared" si="49"/>
        <v>1</v>
      </c>
      <c r="M164" s="395">
        <f t="shared" si="50"/>
        <v>0.50419999999999998</v>
      </c>
      <c r="N164" s="364">
        <f t="shared" si="51"/>
        <v>10344.010897999999</v>
      </c>
      <c r="R164" s="358"/>
    </row>
    <row r="165" spans="1:18">
      <c r="A165" s="112">
        <f t="shared" si="40"/>
        <v>151</v>
      </c>
      <c r="B165" s="957">
        <v>39700</v>
      </c>
      <c r="C165" s="205" t="s">
        <v>436</v>
      </c>
      <c r="D165" s="364">
        <f>'[4]Gross Plant'!Q96</f>
        <v>0</v>
      </c>
      <c r="E165" s="498">
        <v>0</v>
      </c>
      <c r="F165" s="364">
        <f t="shared" si="44"/>
        <v>0</v>
      </c>
      <c r="G165" s="394">
        <f t="shared" si="45"/>
        <v>1</v>
      </c>
      <c r="H165" s="395">
        <f t="shared" si="46"/>
        <v>0.50419999999999998</v>
      </c>
      <c r="I165" s="364">
        <f t="shared" si="48"/>
        <v>0</v>
      </c>
      <c r="K165" s="364">
        <f>'[4]Gross Plant'!C96</f>
        <v>8663.3076923076915</v>
      </c>
      <c r="L165" s="394">
        <f t="shared" si="49"/>
        <v>1</v>
      </c>
      <c r="M165" s="395">
        <f t="shared" si="50"/>
        <v>0.50419999999999998</v>
      </c>
      <c r="N165" s="364">
        <f t="shared" si="51"/>
        <v>4368.039738461538</v>
      </c>
      <c r="R165" s="358"/>
    </row>
    <row r="166" spans="1:18">
      <c r="A166" s="112">
        <f t="shared" si="40"/>
        <v>152</v>
      </c>
      <c r="B166" s="957">
        <v>39701</v>
      </c>
      <c r="C166" s="205" t="s">
        <v>1436</v>
      </c>
      <c r="D166" s="364">
        <f>'[4]Gross Plant'!Q97</f>
        <v>0</v>
      </c>
      <c r="E166" s="498">
        <v>0</v>
      </c>
      <c r="F166" s="364">
        <f t="shared" si="44"/>
        <v>0</v>
      </c>
      <c r="G166" s="394">
        <f t="shared" si="45"/>
        <v>1</v>
      </c>
      <c r="H166" s="395">
        <f t="shared" si="46"/>
        <v>0.50419999999999998</v>
      </c>
      <c r="I166" s="364">
        <f t="shared" si="48"/>
        <v>0</v>
      </c>
      <c r="K166" s="364">
        <f>'[4]Gross Plant'!C97</f>
        <v>0</v>
      </c>
      <c r="L166" s="394">
        <f t="shared" si="49"/>
        <v>1</v>
      </c>
      <c r="M166" s="395">
        <f t="shared" si="50"/>
        <v>0.50419999999999998</v>
      </c>
      <c r="N166" s="364">
        <f t="shared" si="51"/>
        <v>0</v>
      </c>
      <c r="R166" s="358"/>
    </row>
    <row r="167" spans="1:18">
      <c r="A167" s="112">
        <f t="shared" si="40"/>
        <v>153</v>
      </c>
      <c r="B167" s="957">
        <v>39702</v>
      </c>
      <c r="C167" s="205" t="s">
        <v>1436</v>
      </c>
      <c r="D167" s="364">
        <f>'[4]Gross Plant'!Q98</f>
        <v>0</v>
      </c>
      <c r="E167" s="498">
        <v>0</v>
      </c>
      <c r="F167" s="364">
        <f t="shared" si="44"/>
        <v>0</v>
      </c>
      <c r="G167" s="394">
        <f t="shared" si="45"/>
        <v>1</v>
      </c>
      <c r="H167" s="395">
        <f t="shared" si="46"/>
        <v>0.50419999999999998</v>
      </c>
      <c r="I167" s="364">
        <f t="shared" si="48"/>
        <v>0</v>
      </c>
      <c r="K167" s="364">
        <f>'[4]Gross Plant'!C98</f>
        <v>0</v>
      </c>
      <c r="L167" s="394">
        <f t="shared" si="49"/>
        <v>1</v>
      </c>
      <c r="M167" s="395">
        <f t="shared" si="50"/>
        <v>0.50419999999999998</v>
      </c>
      <c r="N167" s="364">
        <f t="shared" si="51"/>
        <v>0</v>
      </c>
      <c r="R167" s="358"/>
    </row>
    <row r="168" spans="1:18">
      <c r="A168" s="112">
        <f t="shared" si="40"/>
        <v>154</v>
      </c>
      <c r="B168" s="957">
        <v>39800</v>
      </c>
      <c r="C168" s="205" t="s">
        <v>645</v>
      </c>
      <c r="D168" s="364">
        <f>'[4]Gross Plant'!Q99</f>
        <v>0</v>
      </c>
      <c r="E168" s="498">
        <v>0</v>
      </c>
      <c r="F168" s="364">
        <f t="shared" si="44"/>
        <v>0</v>
      </c>
      <c r="G168" s="394">
        <f t="shared" si="45"/>
        <v>1</v>
      </c>
      <c r="H168" s="395">
        <f t="shared" si="46"/>
        <v>0.50419999999999998</v>
      </c>
      <c r="I168" s="364">
        <f t="shared" si="48"/>
        <v>0</v>
      </c>
      <c r="K168" s="364">
        <f>'[4]Gross Plant'!C99</f>
        <v>1046.7553846153846</v>
      </c>
      <c r="L168" s="394">
        <f t="shared" si="49"/>
        <v>1</v>
      </c>
      <c r="M168" s="395">
        <f t="shared" si="50"/>
        <v>0.50419999999999998</v>
      </c>
      <c r="N168" s="364">
        <f t="shared" si="51"/>
        <v>527.77406492307693</v>
      </c>
      <c r="R168" s="358"/>
    </row>
    <row r="169" spans="1:18">
      <c r="A169" s="112">
        <f t="shared" si="40"/>
        <v>155</v>
      </c>
      <c r="B169" s="957">
        <v>39900</v>
      </c>
      <c r="C169" s="205" t="s">
        <v>1133</v>
      </c>
      <c r="D169" s="364">
        <f>'[4]Gross Plant'!Q100</f>
        <v>0</v>
      </c>
      <c r="E169" s="498">
        <v>0</v>
      </c>
      <c r="F169" s="364">
        <f t="shared" si="44"/>
        <v>0</v>
      </c>
      <c r="G169" s="394">
        <f t="shared" si="45"/>
        <v>1</v>
      </c>
      <c r="H169" s="395">
        <f t="shared" si="46"/>
        <v>0.50419999999999998</v>
      </c>
      <c r="I169" s="364">
        <f t="shared" si="48"/>
        <v>0</v>
      </c>
      <c r="K169" s="364">
        <f>'[4]Gross Plant'!C100</f>
        <v>0</v>
      </c>
      <c r="L169" s="394">
        <f t="shared" si="49"/>
        <v>1</v>
      </c>
      <c r="M169" s="395">
        <f t="shared" si="50"/>
        <v>0.50419999999999998</v>
      </c>
      <c r="N169" s="364">
        <f t="shared" si="51"/>
        <v>0</v>
      </c>
      <c r="R169" s="358"/>
    </row>
    <row r="170" spans="1:18">
      <c r="A170" s="112">
        <f t="shared" si="40"/>
        <v>156</v>
      </c>
      <c r="B170" s="957">
        <v>39901</v>
      </c>
      <c r="C170" s="205" t="s">
        <v>470</v>
      </c>
      <c r="D170" s="364">
        <f>'[4]Gross Plant'!Q101</f>
        <v>0</v>
      </c>
      <c r="E170" s="498">
        <v>0</v>
      </c>
      <c r="F170" s="364">
        <f t="shared" si="44"/>
        <v>0</v>
      </c>
      <c r="G170" s="394">
        <f t="shared" si="45"/>
        <v>1</v>
      </c>
      <c r="H170" s="395">
        <f t="shared" si="46"/>
        <v>0.50419999999999998</v>
      </c>
      <c r="I170" s="364">
        <f t="shared" si="48"/>
        <v>0</v>
      </c>
      <c r="K170" s="364">
        <f>'[4]Gross Plant'!C101</f>
        <v>0</v>
      </c>
      <c r="L170" s="394">
        <f t="shared" si="49"/>
        <v>1</v>
      </c>
      <c r="M170" s="395">
        <f t="shared" si="50"/>
        <v>0.50419999999999998</v>
      </c>
      <c r="N170" s="364">
        <f t="shared" si="51"/>
        <v>0</v>
      </c>
      <c r="R170" s="358"/>
    </row>
    <row r="171" spans="1:18">
      <c r="A171" s="112">
        <f t="shared" si="40"/>
        <v>157</v>
      </c>
      <c r="B171" s="957">
        <v>39902</v>
      </c>
      <c r="C171" s="205" t="s">
        <v>947</v>
      </c>
      <c r="D171" s="364">
        <f>'[4]Gross Plant'!Q102</f>
        <v>0</v>
      </c>
      <c r="E171" s="498">
        <v>0</v>
      </c>
      <c r="F171" s="364">
        <f t="shared" si="44"/>
        <v>0</v>
      </c>
      <c r="G171" s="394">
        <f t="shared" si="45"/>
        <v>1</v>
      </c>
      <c r="H171" s="395">
        <f t="shared" si="46"/>
        <v>0.50419999999999998</v>
      </c>
      <c r="I171" s="364">
        <f t="shared" si="48"/>
        <v>0</v>
      </c>
      <c r="K171" s="364">
        <f>'[4]Gross Plant'!C102</f>
        <v>0</v>
      </c>
      <c r="L171" s="394">
        <f t="shared" si="49"/>
        <v>1</v>
      </c>
      <c r="M171" s="395">
        <f t="shared" si="50"/>
        <v>0.50419999999999998</v>
      </c>
      <c r="N171" s="364">
        <f t="shared" si="51"/>
        <v>0</v>
      </c>
      <c r="R171" s="358"/>
    </row>
    <row r="172" spans="1:18">
      <c r="A172" s="112">
        <f t="shared" si="40"/>
        <v>158</v>
      </c>
      <c r="B172" s="957">
        <v>39903</v>
      </c>
      <c r="C172" s="205" t="s">
        <v>990</v>
      </c>
      <c r="D172" s="364">
        <f>'[4]Gross Plant'!Q103</f>
        <v>28266.44</v>
      </c>
      <c r="E172" s="498">
        <v>0</v>
      </c>
      <c r="F172" s="364">
        <f t="shared" si="44"/>
        <v>28266.44</v>
      </c>
      <c r="G172" s="394">
        <f t="shared" si="45"/>
        <v>1</v>
      </c>
      <c r="H172" s="395">
        <f t="shared" si="46"/>
        <v>0.50419999999999998</v>
      </c>
      <c r="I172" s="364">
        <f t="shared" si="48"/>
        <v>14251.939047999998</v>
      </c>
      <c r="K172" s="364">
        <f>'[4]Gross Plant'!C103</f>
        <v>28266.44</v>
      </c>
      <c r="L172" s="394">
        <f t="shared" si="41"/>
        <v>1</v>
      </c>
      <c r="M172" s="395">
        <f t="shared" si="42"/>
        <v>0.50419999999999998</v>
      </c>
      <c r="N172" s="364">
        <f t="shared" si="43"/>
        <v>14251.939047999998</v>
      </c>
      <c r="R172" s="358"/>
    </row>
    <row r="173" spans="1:18">
      <c r="A173" s="112">
        <f t="shared" si="40"/>
        <v>159</v>
      </c>
      <c r="B173" s="957">
        <v>39906</v>
      </c>
      <c r="C173" s="205" t="s">
        <v>447</v>
      </c>
      <c r="D173" s="364">
        <f>'[4]Gross Plant'!Q104</f>
        <v>0</v>
      </c>
      <c r="E173" s="498">
        <v>0</v>
      </c>
      <c r="F173" s="364">
        <f t="shared" si="44"/>
        <v>0</v>
      </c>
      <c r="G173" s="394">
        <f t="shared" si="45"/>
        <v>1</v>
      </c>
      <c r="H173" s="395">
        <f t="shared" si="46"/>
        <v>0.50419999999999998</v>
      </c>
      <c r="I173" s="364">
        <f t="shared" si="48"/>
        <v>0</v>
      </c>
      <c r="K173" s="364">
        <f>'[4]Gross Plant'!C104</f>
        <v>6677.6192307692299</v>
      </c>
      <c r="L173" s="394">
        <f t="shared" si="41"/>
        <v>1</v>
      </c>
      <c r="M173" s="395">
        <f t="shared" si="42"/>
        <v>0.50419999999999998</v>
      </c>
      <c r="N173" s="364">
        <f t="shared" si="43"/>
        <v>3366.8556161538454</v>
      </c>
      <c r="R173" s="358"/>
    </row>
    <row r="174" spans="1:18">
      <c r="A174" s="112">
        <f t="shared" si="40"/>
        <v>160</v>
      </c>
      <c r="B174" s="957">
        <v>39907</v>
      </c>
      <c r="C174" s="205" t="s">
        <v>501</v>
      </c>
      <c r="D174" s="364">
        <f>'[4]Gross Plant'!Q105</f>
        <v>78585.679999999993</v>
      </c>
      <c r="E174" s="498">
        <v>0</v>
      </c>
      <c r="F174" s="364">
        <f t="shared" si="44"/>
        <v>78585.679999999993</v>
      </c>
      <c r="G174" s="394">
        <f t="shared" si="45"/>
        <v>1</v>
      </c>
      <c r="H174" s="395">
        <f t="shared" si="46"/>
        <v>0.50419999999999998</v>
      </c>
      <c r="I174" s="364">
        <f t="shared" si="48"/>
        <v>39622.899855999996</v>
      </c>
      <c r="K174" s="364">
        <f>'[4]Gross Plant'!C105</f>
        <v>78585.679999999964</v>
      </c>
      <c r="L174" s="394">
        <f t="shared" si="41"/>
        <v>1</v>
      </c>
      <c r="M174" s="395">
        <f t="shared" si="42"/>
        <v>0.50419999999999998</v>
      </c>
      <c r="N174" s="364">
        <f t="shared" si="43"/>
        <v>39622.899855999982</v>
      </c>
      <c r="R174" s="358"/>
    </row>
    <row r="175" spans="1:18">
      <c r="A175" s="112">
        <f t="shared" si="40"/>
        <v>161</v>
      </c>
      <c r="B175" s="957">
        <v>39908</v>
      </c>
      <c r="C175" s="205" t="s">
        <v>178</v>
      </c>
      <c r="D175" s="364">
        <f>'[4]Gross Plant'!Q106</f>
        <v>237874.80999999994</v>
      </c>
      <c r="E175" s="844">
        <v>0</v>
      </c>
      <c r="F175" s="842">
        <f t="shared" si="44"/>
        <v>237874.80999999994</v>
      </c>
      <c r="G175" s="394">
        <f t="shared" si="45"/>
        <v>1</v>
      </c>
      <c r="H175" s="395">
        <f t="shared" si="46"/>
        <v>0.50419999999999998</v>
      </c>
      <c r="I175" s="364">
        <f t="shared" si="48"/>
        <v>119936.47920199996</v>
      </c>
      <c r="K175" s="364">
        <f>'[4]Gross Plant'!C106</f>
        <v>374175.09076923074</v>
      </c>
      <c r="L175" s="394">
        <f t="shared" si="41"/>
        <v>1</v>
      </c>
      <c r="M175" s="395">
        <f t="shared" si="42"/>
        <v>0.50419999999999998</v>
      </c>
      <c r="N175" s="842">
        <f t="shared" si="43"/>
        <v>188659.08076584613</v>
      </c>
      <c r="R175" s="358"/>
    </row>
    <row r="176" spans="1:18">
      <c r="A176" s="112">
        <f t="shared" si="40"/>
        <v>162</v>
      </c>
      <c r="B176" s="846"/>
      <c r="C176" s="205"/>
      <c r="D176" s="499"/>
      <c r="E176" s="499"/>
      <c r="F176" s="499"/>
      <c r="I176" s="499"/>
      <c r="K176" s="499"/>
      <c r="N176" s="499"/>
    </row>
    <row r="177" spans="1:18">
      <c r="A177" s="112">
        <f t="shared" si="40"/>
        <v>163</v>
      </c>
      <c r="B177" s="846"/>
      <c r="C177" s="205" t="s">
        <v>4</v>
      </c>
      <c r="D177" s="304">
        <f>SUM(D155:D176)</f>
        <v>778298.74999999988</v>
      </c>
      <c r="E177" s="304">
        <f>SUM(E155:E176)</f>
        <v>0</v>
      </c>
      <c r="F177" s="304">
        <f>SUM(F155:F176)</f>
        <v>778298.74999999988</v>
      </c>
      <c r="I177" s="290">
        <f>SUM(I155:I176)</f>
        <v>392418.22974999988</v>
      </c>
      <c r="K177" s="290">
        <f>SUM(K155:K176)</f>
        <v>928548.33</v>
      </c>
      <c r="N177" s="290">
        <f>SUM(N155:N176)</f>
        <v>468174.06798599998</v>
      </c>
    </row>
    <row r="178" spans="1:18">
      <c r="A178" s="112">
        <f t="shared" si="40"/>
        <v>164</v>
      </c>
      <c r="B178" s="846"/>
      <c r="C178" s="205"/>
    </row>
    <row r="179" spans="1:18" ht="15.75" thickBot="1">
      <c r="A179" s="112">
        <f t="shared" si="40"/>
        <v>165</v>
      </c>
      <c r="B179" s="846"/>
      <c r="C179" s="205" t="s">
        <v>1271</v>
      </c>
      <c r="D179" s="1059">
        <f>D127+D152+D177</f>
        <v>2073159.6999999997</v>
      </c>
      <c r="E179" s="1059">
        <f>E127+E152+E177</f>
        <v>0</v>
      </c>
      <c r="F179" s="1059">
        <f>F127+F152+F177</f>
        <v>2073159.6999999997</v>
      </c>
      <c r="I179" s="1059">
        <f>I127+I152+I177</f>
        <v>1045287.1207399997</v>
      </c>
      <c r="K179" s="1059">
        <f>K127+K152+K177</f>
        <v>2223409.2799999998</v>
      </c>
      <c r="N179" s="1059">
        <f>N127+N152+N177</f>
        <v>1121042.9589759998</v>
      </c>
    </row>
    <row r="180" spans="1:18" ht="15.75" thickTop="1">
      <c r="A180" s="112">
        <f t="shared" si="40"/>
        <v>166</v>
      </c>
      <c r="B180" s="846"/>
      <c r="C180" s="205"/>
      <c r="D180" s="287"/>
      <c r="E180" s="287"/>
      <c r="F180" s="287"/>
      <c r="I180" s="287"/>
    </row>
    <row r="181" spans="1:18">
      <c r="A181" s="112">
        <f t="shared" si="40"/>
        <v>167</v>
      </c>
      <c r="B181" s="846"/>
      <c r="C181" s="172" t="s">
        <v>1635</v>
      </c>
      <c r="D181" s="290">
        <f>'[4]Gross Plant'!$Q$219</f>
        <v>-36798.729999999778</v>
      </c>
      <c r="E181" s="290">
        <f>-D181</f>
        <v>36798.729999999778</v>
      </c>
      <c r="F181" s="290">
        <f>D181+E181</f>
        <v>0</v>
      </c>
      <c r="G181" s="394">
        <f>$G$16</f>
        <v>1</v>
      </c>
      <c r="H181" s="395">
        <f>$H$124</f>
        <v>0.50419999999999998</v>
      </c>
      <c r="I181" s="290">
        <f>F181*G181*H181</f>
        <v>0</v>
      </c>
      <c r="K181" s="290">
        <f>'[4]Gross Plant'!$C$219*0</f>
        <v>0</v>
      </c>
      <c r="L181" s="394">
        <f>G181</f>
        <v>1</v>
      </c>
      <c r="M181" s="395">
        <f>H181</f>
        <v>0.50419999999999998</v>
      </c>
      <c r="N181" s="290">
        <f>K181*L181*M181</f>
        <v>0</v>
      </c>
    </row>
    <row r="182" spans="1:18">
      <c r="A182" s="112">
        <f t="shared" si="40"/>
        <v>168</v>
      </c>
      <c r="B182" s="846"/>
    </row>
    <row r="183" spans="1:18" ht="15.75">
      <c r="A183" s="112">
        <f t="shared" si="40"/>
        <v>169</v>
      </c>
      <c r="B183" s="843" t="s">
        <v>8</v>
      </c>
    </row>
    <row r="184" spans="1:18">
      <c r="A184" s="112">
        <f t="shared" si="40"/>
        <v>170</v>
      </c>
      <c r="B184" s="846"/>
      <c r="H184" s="288"/>
    </row>
    <row r="185" spans="1:18">
      <c r="A185" s="112">
        <f t="shared" si="40"/>
        <v>171</v>
      </c>
      <c r="B185" s="846"/>
      <c r="C185" s="500" t="s">
        <v>299</v>
      </c>
    </row>
    <row r="186" spans="1:18" ht="14.25" customHeight="1">
      <c r="A186" s="112">
        <f t="shared" si="40"/>
        <v>172</v>
      </c>
      <c r="B186" s="957">
        <v>39000</v>
      </c>
      <c r="C186" s="205" t="s">
        <v>848</v>
      </c>
      <c r="D186" s="290">
        <f>'[4]Gross Plant'!Q7</f>
        <v>7841340.0624209978</v>
      </c>
      <c r="E186" s="310">
        <v>0</v>
      </c>
      <c r="F186" s="304">
        <f>D186+E186</f>
        <v>7841340.0624209978</v>
      </c>
      <c r="G186" s="395">
        <f>Allocation!$G$14</f>
        <v>9.8599999999999993E-2</v>
      </c>
      <c r="H186" s="395">
        <f>Allocation!$H$14</f>
        <v>0.50419999999999998</v>
      </c>
      <c r="I186" s="304">
        <f>F186*G186*H186</f>
        <v>389825.32082400494</v>
      </c>
      <c r="K186" s="290">
        <f>'[4]Gross Plant'!C7</f>
        <v>6312288.2092535179</v>
      </c>
      <c r="L186" s="395">
        <f>G186</f>
        <v>9.8599999999999993E-2</v>
      </c>
      <c r="M186" s="395">
        <f>H186</f>
        <v>0.50419999999999998</v>
      </c>
      <c r="N186" s="304">
        <f>K186*L186*M186</f>
        <v>313809.85350941448</v>
      </c>
      <c r="R186" s="358"/>
    </row>
    <row r="187" spans="1:18">
      <c r="A187" s="112">
        <f t="shared" si="40"/>
        <v>173</v>
      </c>
      <c r="B187" s="957">
        <v>39005</v>
      </c>
      <c r="C187" s="205" t="s">
        <v>1176</v>
      </c>
      <c r="D187" s="364">
        <f>'[4]Gross Plant'!Q8</f>
        <v>9187141.9700000007</v>
      </c>
      <c r="E187" s="501">
        <v>0</v>
      </c>
      <c r="F187" s="364">
        <f>D187+E187</f>
        <v>9187141.9700000007</v>
      </c>
      <c r="G187" s="395">
        <v>1</v>
      </c>
      <c r="H187" s="395">
        <f>Allocation!$I$20</f>
        <v>1.559576E-2</v>
      </c>
      <c r="I187" s="364">
        <f>F187*G187*H187</f>
        <v>143280.4612500472</v>
      </c>
      <c r="K187" s="364">
        <f>'[4]Gross Plant'!C8</f>
        <v>9187141.9700000007</v>
      </c>
      <c r="L187" s="395">
        <f>G187</f>
        <v>1</v>
      </c>
      <c r="M187" s="395">
        <f t="shared" ref="M187:M221" si="52">H187</f>
        <v>1.559576E-2</v>
      </c>
      <c r="N187" s="364">
        <f t="shared" ref="N187:N223" si="53">K187*L187*M187</f>
        <v>143280.4612500472</v>
      </c>
      <c r="R187" s="358"/>
    </row>
    <row r="188" spans="1:18">
      <c r="A188" s="112">
        <f t="shared" si="40"/>
        <v>174</v>
      </c>
      <c r="B188" s="957">
        <v>39009</v>
      </c>
      <c r="C188" s="205" t="s">
        <v>1020</v>
      </c>
      <c r="D188" s="364">
        <f>'[4]Gross Plant'!Q9</f>
        <v>9873726.9299999997</v>
      </c>
      <c r="E188" s="501">
        <v>0</v>
      </c>
      <c r="F188" s="364">
        <f t="shared" ref="F188:F223" si="54">D188+E188</f>
        <v>9873726.9299999997</v>
      </c>
      <c r="G188" s="395">
        <f>G186</f>
        <v>9.8599999999999993E-2</v>
      </c>
      <c r="H188" s="395">
        <f>H186</f>
        <v>0.50419999999999998</v>
      </c>
      <c r="I188" s="364">
        <f t="shared" ref="I188:I223" si="55">F188*G188*H188</f>
        <v>490863.64544525155</v>
      </c>
      <c r="K188" s="364">
        <f>'[4]Gross Plant'!C9</f>
        <v>9868212.7130769268</v>
      </c>
      <c r="L188" s="395">
        <f t="shared" ref="L188:L218" si="56">G188</f>
        <v>9.8599999999999993E-2</v>
      </c>
      <c r="M188" s="395">
        <f t="shared" si="52"/>
        <v>0.50419999999999998</v>
      </c>
      <c r="N188" s="364">
        <f t="shared" si="53"/>
        <v>490589.51100343186</v>
      </c>
      <c r="R188" s="358"/>
    </row>
    <row r="189" spans="1:18">
      <c r="A189" s="112">
        <f t="shared" si="40"/>
        <v>175</v>
      </c>
      <c r="B189" s="957">
        <v>39020</v>
      </c>
      <c r="C189" s="205" t="s">
        <v>1440</v>
      </c>
      <c r="D189" s="364">
        <f>'[4]Gross Plant'!Q10</f>
        <v>2116.08</v>
      </c>
      <c r="E189" s="501">
        <v>0</v>
      </c>
      <c r="F189" s="364">
        <f t="shared" si="54"/>
        <v>2116.08</v>
      </c>
      <c r="G189" s="395">
        <f t="shared" ref="G189" si="57">G187</f>
        <v>1</v>
      </c>
      <c r="H189" s="395">
        <f>Allocation!E22</f>
        <v>6.106367E-2</v>
      </c>
      <c r="I189" s="364">
        <f t="shared" si="55"/>
        <v>129.21561081359999</v>
      </c>
      <c r="K189" s="364">
        <f>'[4]Gross Plant'!C10</f>
        <v>2116.0800000000008</v>
      </c>
      <c r="L189" s="395">
        <f t="shared" ref="L189:L190" si="58">G189</f>
        <v>1</v>
      </c>
      <c r="M189" s="395">
        <f t="shared" si="52"/>
        <v>6.106367E-2</v>
      </c>
      <c r="N189" s="364">
        <f t="shared" si="53"/>
        <v>129.21561081360005</v>
      </c>
      <c r="R189" s="358"/>
    </row>
    <row r="190" spans="1:18">
      <c r="A190" s="112">
        <f t="shared" si="40"/>
        <v>176</v>
      </c>
      <c r="B190" s="957">
        <v>39029</v>
      </c>
      <c r="C190" s="205" t="s">
        <v>1441</v>
      </c>
      <c r="D190" s="364">
        <f>'[4]Gross Plant'!Q11</f>
        <v>31824.47</v>
      </c>
      <c r="E190" s="501">
        <v>0</v>
      </c>
      <c r="F190" s="364">
        <f t="shared" si="54"/>
        <v>31824.47</v>
      </c>
      <c r="G190" s="395">
        <f t="shared" ref="G190" si="59">G188</f>
        <v>9.8599999999999993E-2</v>
      </c>
      <c r="H190" s="395">
        <f>H189</f>
        <v>6.106367E-2</v>
      </c>
      <c r="I190" s="364">
        <f t="shared" si="55"/>
        <v>191.61124689288314</v>
      </c>
      <c r="K190" s="364">
        <f>'[4]Gross Plant'!C11</f>
        <v>31824.46999999999</v>
      </c>
      <c r="L190" s="395">
        <f t="shared" si="58"/>
        <v>9.8599999999999993E-2</v>
      </c>
      <c r="M190" s="395">
        <f t="shared" si="52"/>
        <v>6.106367E-2</v>
      </c>
      <c r="N190" s="364">
        <f t="shared" si="53"/>
        <v>191.61124689288306</v>
      </c>
      <c r="R190" s="358"/>
    </row>
    <row r="191" spans="1:18">
      <c r="A191" s="112">
        <f t="shared" si="40"/>
        <v>177</v>
      </c>
      <c r="B191" s="957">
        <v>39100</v>
      </c>
      <c r="C191" s="205" t="s">
        <v>772</v>
      </c>
      <c r="D191" s="364">
        <f>'[4]Gross Plant'!Q12</f>
        <v>6477289.9806964314</v>
      </c>
      <c r="E191" s="501">
        <v>0</v>
      </c>
      <c r="F191" s="364">
        <f t="shared" si="54"/>
        <v>6477289.9806964314</v>
      </c>
      <c r="G191" s="395">
        <f>G188</f>
        <v>9.8599999999999993E-2</v>
      </c>
      <c r="H191" s="395">
        <f>H188</f>
        <v>0.50419999999999998</v>
      </c>
      <c r="I191" s="364">
        <f t="shared" si="55"/>
        <v>322012.77137514</v>
      </c>
      <c r="K191" s="364">
        <f>'[4]Gross Plant'!C12</f>
        <v>6115922.1316354116</v>
      </c>
      <c r="L191" s="395">
        <f t="shared" si="56"/>
        <v>9.8599999999999993E-2</v>
      </c>
      <c r="M191" s="395">
        <f t="shared" si="52"/>
        <v>0.50419999999999998</v>
      </c>
      <c r="N191" s="364">
        <f t="shared" si="53"/>
        <v>304047.68676277861</v>
      </c>
      <c r="R191" s="358"/>
    </row>
    <row r="192" spans="1:18">
      <c r="A192" s="112">
        <f t="shared" si="40"/>
        <v>178</v>
      </c>
      <c r="B192" s="957">
        <v>39102</v>
      </c>
      <c r="C192" s="205" t="s">
        <v>522</v>
      </c>
      <c r="D192" s="364">
        <f>'[4]Gross Plant'!Q13</f>
        <v>0</v>
      </c>
      <c r="E192" s="501">
        <v>0</v>
      </c>
      <c r="F192" s="364">
        <f t="shared" si="54"/>
        <v>0</v>
      </c>
      <c r="G192" s="395">
        <f t="shared" ref="G192:G208" si="60">G191</f>
        <v>9.8599999999999993E-2</v>
      </c>
      <c r="H192" s="395">
        <f t="shared" ref="H192:H193" si="61">H191</f>
        <v>0.50419999999999998</v>
      </c>
      <c r="I192" s="364">
        <f t="shared" si="55"/>
        <v>0</v>
      </c>
      <c r="K192" s="364">
        <f>'[4]Gross Plant'!C13</f>
        <v>0</v>
      </c>
      <c r="L192" s="395">
        <f t="shared" si="56"/>
        <v>9.8599999999999993E-2</v>
      </c>
      <c r="M192" s="395">
        <f t="shared" si="52"/>
        <v>0.50419999999999998</v>
      </c>
      <c r="N192" s="364">
        <f t="shared" si="53"/>
        <v>0</v>
      </c>
      <c r="R192" s="358"/>
    </row>
    <row r="193" spans="1:18">
      <c r="A193" s="112">
        <f t="shared" si="40"/>
        <v>179</v>
      </c>
      <c r="B193" s="957">
        <v>39103</v>
      </c>
      <c r="C193" s="205" t="s">
        <v>773</v>
      </c>
      <c r="D193" s="364">
        <f>'[4]Gross Plant'!Q14</f>
        <v>0</v>
      </c>
      <c r="E193" s="501">
        <v>0</v>
      </c>
      <c r="F193" s="364">
        <f t="shared" si="54"/>
        <v>0</v>
      </c>
      <c r="G193" s="395">
        <f t="shared" si="60"/>
        <v>9.8599999999999993E-2</v>
      </c>
      <c r="H193" s="395">
        <f t="shared" si="61"/>
        <v>0.50419999999999998</v>
      </c>
      <c r="I193" s="364">
        <f t="shared" si="55"/>
        <v>0</v>
      </c>
      <c r="K193" s="364">
        <f>'[4]Gross Plant'!C14</f>
        <v>0</v>
      </c>
      <c r="L193" s="395">
        <f t="shared" si="56"/>
        <v>9.8599999999999993E-2</v>
      </c>
      <c r="M193" s="395">
        <f t="shared" si="52"/>
        <v>0.50419999999999998</v>
      </c>
      <c r="N193" s="364">
        <f t="shared" si="53"/>
        <v>0</v>
      </c>
      <c r="R193" s="358"/>
    </row>
    <row r="194" spans="1:18">
      <c r="A194" s="112">
        <f t="shared" si="40"/>
        <v>180</v>
      </c>
      <c r="B194" s="957">
        <v>39104</v>
      </c>
      <c r="C194" s="205" t="s">
        <v>1177</v>
      </c>
      <c r="D194" s="364">
        <f>'[4]Gross Plant'!Q15</f>
        <v>71036.47</v>
      </c>
      <c r="E194" s="501">
        <v>0</v>
      </c>
      <c r="F194" s="364">
        <f t="shared" si="54"/>
        <v>71036.47</v>
      </c>
      <c r="G194" s="395">
        <v>1</v>
      </c>
      <c r="H194" s="395">
        <f>$H$187</f>
        <v>1.559576E-2</v>
      </c>
      <c r="I194" s="364">
        <f t="shared" si="55"/>
        <v>1107.8677373672001</v>
      </c>
      <c r="K194" s="364">
        <f>'[4]Gross Plant'!C15</f>
        <v>71036.469999999987</v>
      </c>
      <c r="L194" s="395">
        <f t="shared" ref="L194" si="62">G194</f>
        <v>1</v>
      </c>
      <c r="M194" s="395">
        <f t="shared" si="52"/>
        <v>1.559576E-2</v>
      </c>
      <c r="N194" s="364">
        <f t="shared" si="53"/>
        <v>1107.8677373671999</v>
      </c>
      <c r="R194" s="358"/>
    </row>
    <row r="195" spans="1:18">
      <c r="A195" s="112">
        <f t="shared" si="40"/>
        <v>181</v>
      </c>
      <c r="B195" s="957">
        <v>39120</v>
      </c>
      <c r="C195" s="205" t="s">
        <v>1442</v>
      </c>
      <c r="D195" s="364">
        <f>'[4]Gross Plant'!Q16</f>
        <v>263337.89</v>
      </c>
      <c r="E195" s="501">
        <v>0</v>
      </c>
      <c r="F195" s="364">
        <f t="shared" si="54"/>
        <v>263337.89</v>
      </c>
      <c r="G195" s="395">
        <v>1</v>
      </c>
      <c r="H195" s="395">
        <f>Allocation!E22</f>
        <v>6.106367E-2</v>
      </c>
      <c r="I195" s="364">
        <f t="shared" si="55"/>
        <v>16080.3780134563</v>
      </c>
      <c r="K195" s="364">
        <f>'[4]Gross Plant'!C16</f>
        <v>263337.89000000007</v>
      </c>
      <c r="L195" s="288">
        <v>1</v>
      </c>
      <c r="M195" s="395">
        <f t="shared" si="52"/>
        <v>6.106367E-2</v>
      </c>
      <c r="N195" s="364">
        <f t="shared" si="53"/>
        <v>16080.378013456304</v>
      </c>
      <c r="R195" s="358"/>
    </row>
    <row r="196" spans="1:18">
      <c r="A196" s="112">
        <f t="shared" si="40"/>
        <v>182</v>
      </c>
      <c r="B196" s="957">
        <v>39200</v>
      </c>
      <c r="C196" s="205" t="s">
        <v>1060</v>
      </c>
      <c r="D196" s="364">
        <f>'[4]Gross Plant'!Q17</f>
        <v>319639.12136500108</v>
      </c>
      <c r="E196" s="501">
        <v>0</v>
      </c>
      <c r="F196" s="364">
        <f t="shared" si="54"/>
        <v>319639.12136500108</v>
      </c>
      <c r="G196" s="395">
        <f>G193</f>
        <v>9.8599999999999993E-2</v>
      </c>
      <c r="H196" s="395">
        <f>H193</f>
        <v>0.50419999999999998</v>
      </c>
      <c r="I196" s="364">
        <f t="shared" si="55"/>
        <v>15890.577636234226</v>
      </c>
      <c r="K196" s="364">
        <f>'[4]Gross Plant'!C17</f>
        <v>315693.22134086373</v>
      </c>
      <c r="L196" s="395">
        <f t="shared" si="56"/>
        <v>9.8599999999999993E-2</v>
      </c>
      <c r="M196" s="395">
        <f t="shared" si="52"/>
        <v>0.50419999999999998</v>
      </c>
      <c r="N196" s="364">
        <f t="shared" si="53"/>
        <v>15694.410688926258</v>
      </c>
      <c r="R196" s="358"/>
    </row>
    <row r="197" spans="1:18">
      <c r="A197" s="112">
        <f t="shared" si="40"/>
        <v>183</v>
      </c>
      <c r="B197" s="957">
        <v>39300</v>
      </c>
      <c r="C197" s="205" t="s">
        <v>644</v>
      </c>
      <c r="D197" s="364">
        <f>'[4]Gross Plant'!Q18</f>
        <v>0</v>
      </c>
      <c r="E197" s="501">
        <v>0</v>
      </c>
      <c r="F197" s="364">
        <f t="shared" si="54"/>
        <v>0</v>
      </c>
      <c r="G197" s="395">
        <f t="shared" si="60"/>
        <v>9.8599999999999993E-2</v>
      </c>
      <c r="H197" s="395">
        <f t="shared" ref="H197:H213" si="63">H196</f>
        <v>0.50419999999999998</v>
      </c>
      <c r="I197" s="364">
        <f t="shared" si="55"/>
        <v>0</v>
      </c>
      <c r="K197" s="364">
        <f>'[4]Gross Plant'!C18</f>
        <v>0</v>
      </c>
      <c r="L197" s="395">
        <f t="shared" si="56"/>
        <v>9.8599999999999993E-2</v>
      </c>
      <c r="M197" s="395">
        <f t="shared" si="52"/>
        <v>0.50419999999999998</v>
      </c>
      <c r="N197" s="364">
        <f t="shared" si="53"/>
        <v>0</v>
      </c>
      <c r="R197" s="358"/>
    </row>
    <row r="198" spans="1:18">
      <c r="A198" s="112">
        <f t="shared" si="40"/>
        <v>184</v>
      </c>
      <c r="B198" s="957">
        <v>39400</v>
      </c>
      <c r="C198" s="205" t="s">
        <v>1019</v>
      </c>
      <c r="D198" s="364">
        <f>'[4]Gross Plant'!Q19</f>
        <v>76071.34</v>
      </c>
      <c r="E198" s="501">
        <v>0</v>
      </c>
      <c r="F198" s="364">
        <f t="shared" si="54"/>
        <v>76071.34</v>
      </c>
      <c r="G198" s="395">
        <f t="shared" si="60"/>
        <v>9.8599999999999993E-2</v>
      </c>
      <c r="H198" s="395">
        <f t="shared" si="63"/>
        <v>0.50419999999999998</v>
      </c>
      <c r="I198" s="364">
        <f t="shared" si="55"/>
        <v>3781.8197253207995</v>
      </c>
      <c r="K198" s="364">
        <f>'[4]Gross Plant'!C19</f>
        <v>76071.339999999982</v>
      </c>
      <c r="L198" s="395">
        <f t="shared" si="56"/>
        <v>9.8599999999999993E-2</v>
      </c>
      <c r="M198" s="395">
        <f t="shared" si="52"/>
        <v>0.50419999999999998</v>
      </c>
      <c r="N198" s="364">
        <f t="shared" si="53"/>
        <v>3781.8197253207986</v>
      </c>
      <c r="R198" s="358"/>
    </row>
    <row r="199" spans="1:18">
      <c r="A199" s="112">
        <f t="shared" si="40"/>
        <v>185</v>
      </c>
      <c r="B199" s="957">
        <v>39420</v>
      </c>
      <c r="C199" s="205" t="s">
        <v>1443</v>
      </c>
      <c r="D199" s="364">
        <f>'[4]Gross Plant'!Q20</f>
        <v>0</v>
      </c>
      <c r="E199" s="501">
        <v>0</v>
      </c>
      <c r="F199" s="364">
        <f t="shared" si="54"/>
        <v>0</v>
      </c>
      <c r="G199" s="288">
        <v>1</v>
      </c>
      <c r="H199" s="395">
        <f>H195</f>
        <v>6.106367E-2</v>
      </c>
      <c r="I199" s="364">
        <f t="shared" si="55"/>
        <v>0</v>
      </c>
      <c r="K199" s="364">
        <f>'[4]Gross Plant'!C20</f>
        <v>0</v>
      </c>
      <c r="L199" s="288">
        <v>1</v>
      </c>
      <c r="M199" s="395">
        <f t="shared" si="52"/>
        <v>6.106367E-2</v>
      </c>
      <c r="N199" s="364">
        <f t="shared" si="53"/>
        <v>0</v>
      </c>
      <c r="R199" s="358"/>
    </row>
    <row r="200" spans="1:18">
      <c r="A200" s="112">
        <f t="shared" si="40"/>
        <v>186</v>
      </c>
      <c r="B200" s="957">
        <v>39500</v>
      </c>
      <c r="C200" s="205" t="s">
        <v>1178</v>
      </c>
      <c r="D200" s="364">
        <f>'[4]Gross Plant'!Q21</f>
        <v>0</v>
      </c>
      <c r="E200" s="501">
        <v>0</v>
      </c>
      <c r="F200" s="364">
        <f t="shared" si="54"/>
        <v>0</v>
      </c>
      <c r="G200" s="395">
        <f>G198</f>
        <v>9.8599999999999993E-2</v>
      </c>
      <c r="H200" s="395">
        <f>H198</f>
        <v>0.50419999999999998</v>
      </c>
      <c r="I200" s="364">
        <f t="shared" si="55"/>
        <v>0</v>
      </c>
      <c r="K200" s="364">
        <f>'[4]Gross Plant'!C21</f>
        <v>0</v>
      </c>
      <c r="L200" s="395">
        <f t="shared" si="56"/>
        <v>9.8599999999999993E-2</v>
      </c>
      <c r="M200" s="395">
        <f t="shared" si="52"/>
        <v>0.50419999999999998</v>
      </c>
      <c r="N200" s="364">
        <f t="shared" si="53"/>
        <v>0</v>
      </c>
      <c r="R200" s="358"/>
    </row>
    <row r="201" spans="1:18">
      <c r="A201" s="112">
        <f t="shared" si="40"/>
        <v>187</v>
      </c>
      <c r="B201" s="957">
        <v>39700</v>
      </c>
      <c r="C201" s="205" t="s">
        <v>436</v>
      </c>
      <c r="D201" s="364">
        <f>'[4]Gross Plant'!Q22</f>
        <v>391906.18642114871</v>
      </c>
      <c r="E201" s="501">
        <v>0</v>
      </c>
      <c r="F201" s="364">
        <f t="shared" si="54"/>
        <v>391906.18642114871</v>
      </c>
      <c r="G201" s="395">
        <f t="shared" si="60"/>
        <v>9.8599999999999993E-2</v>
      </c>
      <c r="H201" s="395">
        <f t="shared" si="63"/>
        <v>0.50419999999999998</v>
      </c>
      <c r="I201" s="364">
        <f t="shared" si="55"/>
        <v>19483.271180483356</v>
      </c>
      <c r="K201" s="364">
        <f>'[4]Gross Plant'!C22</f>
        <v>386230.97944670415</v>
      </c>
      <c r="L201" s="395">
        <f t="shared" si="56"/>
        <v>9.8599999999999993E-2</v>
      </c>
      <c r="M201" s="395">
        <f t="shared" si="52"/>
        <v>0.50419999999999998</v>
      </c>
      <c r="N201" s="364">
        <f t="shared" si="53"/>
        <v>19201.133259930983</v>
      </c>
      <c r="R201" s="358"/>
    </row>
    <row r="202" spans="1:18">
      <c r="A202" s="112">
        <f t="shared" si="40"/>
        <v>188</v>
      </c>
      <c r="B202" s="957">
        <v>39720</v>
      </c>
      <c r="C202" s="205" t="s">
        <v>1444</v>
      </c>
      <c r="D202" s="364">
        <f>'[4]Gross Plant'!Q23</f>
        <v>8824.34</v>
      </c>
      <c r="E202" s="501">
        <v>0</v>
      </c>
      <c r="F202" s="364">
        <f t="shared" si="54"/>
        <v>8824.34</v>
      </c>
      <c r="G202" s="288">
        <v>1</v>
      </c>
      <c r="H202" s="395">
        <f>H195</f>
        <v>6.106367E-2</v>
      </c>
      <c r="I202" s="364">
        <f t="shared" si="55"/>
        <v>538.84658572780006</v>
      </c>
      <c r="K202" s="364">
        <f>'[4]Gross Plant'!C23</f>
        <v>8824.3399999999983</v>
      </c>
      <c r="L202" s="288">
        <v>1</v>
      </c>
      <c r="M202" s="395">
        <f t="shared" si="52"/>
        <v>6.106367E-2</v>
      </c>
      <c r="N202" s="364">
        <f t="shared" si="53"/>
        <v>538.84658572779995</v>
      </c>
      <c r="R202" s="358"/>
    </row>
    <row r="203" spans="1:18">
      <c r="A203" s="112">
        <f t="shared" si="40"/>
        <v>189</v>
      </c>
      <c r="B203" s="957">
        <v>39800</v>
      </c>
      <c r="C203" s="205" t="s">
        <v>645</v>
      </c>
      <c r="D203" s="364">
        <f>'[4]Gross Plant'!Q24</f>
        <v>136509.51999999999</v>
      </c>
      <c r="E203" s="501">
        <v>0</v>
      </c>
      <c r="F203" s="364">
        <f t="shared" si="54"/>
        <v>136509.51999999999</v>
      </c>
      <c r="G203" s="395">
        <f>G201</f>
        <v>9.8599999999999993E-2</v>
      </c>
      <c r="H203" s="395">
        <f>H201</f>
        <v>0.50419999999999998</v>
      </c>
      <c r="I203" s="364">
        <f t="shared" si="55"/>
        <v>6786.4506584223991</v>
      </c>
      <c r="K203" s="364">
        <f>'[4]Gross Plant'!C24</f>
        <v>136509.51999999999</v>
      </c>
      <c r="L203" s="395">
        <f t="shared" si="56"/>
        <v>9.8599999999999993E-2</v>
      </c>
      <c r="M203" s="395">
        <f t="shared" si="52"/>
        <v>0.50419999999999998</v>
      </c>
      <c r="N203" s="364">
        <f t="shared" si="53"/>
        <v>6786.4506584223991</v>
      </c>
      <c r="R203" s="358"/>
    </row>
    <row r="204" spans="1:18">
      <c r="A204" s="112">
        <f t="shared" si="40"/>
        <v>190</v>
      </c>
      <c r="B204" s="957">
        <v>39820</v>
      </c>
      <c r="C204" s="205" t="s">
        <v>1445</v>
      </c>
      <c r="D204" s="364">
        <f>'[4]Gross Plant'!Q25</f>
        <v>7388.39</v>
      </c>
      <c r="E204" s="501">
        <v>0</v>
      </c>
      <c r="F204" s="364">
        <f t="shared" si="54"/>
        <v>7388.39</v>
      </c>
      <c r="G204" s="288">
        <v>1</v>
      </c>
      <c r="H204" s="395">
        <f>H195</f>
        <v>6.106367E-2</v>
      </c>
      <c r="I204" s="364">
        <f t="shared" si="55"/>
        <v>451.16220879130003</v>
      </c>
      <c r="K204" s="364">
        <f>'[4]Gross Plant'!C25</f>
        <v>7388.39</v>
      </c>
      <c r="L204" s="288">
        <v>1</v>
      </c>
      <c r="M204" s="395">
        <f t="shared" si="52"/>
        <v>6.106367E-2</v>
      </c>
      <c r="N204" s="364">
        <f t="shared" si="53"/>
        <v>451.16220879130003</v>
      </c>
      <c r="R204" s="358"/>
    </row>
    <row r="205" spans="1:18">
      <c r="A205" s="112">
        <f t="shared" si="40"/>
        <v>191</v>
      </c>
      <c r="B205" s="957">
        <v>39900</v>
      </c>
      <c r="C205" s="205" t="s">
        <v>1133</v>
      </c>
      <c r="D205" s="364">
        <f>'[4]Gross Plant'!Q26</f>
        <v>0</v>
      </c>
      <c r="E205" s="501">
        <v>0</v>
      </c>
      <c r="F205" s="364">
        <f t="shared" si="54"/>
        <v>0</v>
      </c>
      <c r="G205" s="395">
        <f>G203</f>
        <v>9.8599999999999993E-2</v>
      </c>
      <c r="H205" s="395">
        <f>H203</f>
        <v>0.50419999999999998</v>
      </c>
      <c r="I205" s="364">
        <f t="shared" si="55"/>
        <v>0</v>
      </c>
      <c r="K205" s="364">
        <f>'[4]Gross Plant'!C26</f>
        <v>0</v>
      </c>
      <c r="L205" s="395">
        <f t="shared" si="56"/>
        <v>9.8599999999999993E-2</v>
      </c>
      <c r="M205" s="395">
        <f t="shared" si="52"/>
        <v>0.50419999999999998</v>
      </c>
      <c r="N205" s="364">
        <f t="shared" si="53"/>
        <v>0</v>
      </c>
      <c r="R205" s="358"/>
    </row>
    <row r="206" spans="1:18">
      <c r="A206" s="112">
        <f t="shared" si="40"/>
        <v>192</v>
      </c>
      <c r="B206" s="957">
        <v>39901</v>
      </c>
      <c r="C206" s="205" t="s">
        <v>470</v>
      </c>
      <c r="D206" s="364">
        <f>'[4]Gross Plant'!Q27</f>
        <v>34545850.866917543</v>
      </c>
      <c r="E206" s="501">
        <v>0</v>
      </c>
      <c r="F206" s="364">
        <f t="shared" si="54"/>
        <v>34545850.866917543</v>
      </c>
      <c r="G206" s="395">
        <f t="shared" si="60"/>
        <v>9.8599999999999993E-2</v>
      </c>
      <c r="H206" s="395">
        <f t="shared" si="63"/>
        <v>0.50419999999999998</v>
      </c>
      <c r="I206" s="364">
        <f t="shared" si="55"/>
        <v>1717416.5755000424</v>
      </c>
      <c r="K206" s="364">
        <f>'[4]Gross Plant'!C27</f>
        <v>27914291.802981719</v>
      </c>
      <c r="L206" s="395">
        <f t="shared" si="56"/>
        <v>9.8599999999999993E-2</v>
      </c>
      <c r="M206" s="395">
        <f t="shared" si="52"/>
        <v>0.50419999999999998</v>
      </c>
      <c r="N206" s="364">
        <f t="shared" si="53"/>
        <v>1387734.4524084493</v>
      </c>
      <c r="R206" s="358"/>
    </row>
    <row r="207" spans="1:18">
      <c r="A207" s="112">
        <f t="shared" si="40"/>
        <v>193</v>
      </c>
      <c r="B207" s="957">
        <v>39902</v>
      </c>
      <c r="C207" s="205" t="s">
        <v>947</v>
      </c>
      <c r="D207" s="364">
        <f>'[4]Gross Plant'!Q28</f>
        <v>7837679.81226971</v>
      </c>
      <c r="E207" s="501">
        <v>0</v>
      </c>
      <c r="F207" s="364">
        <f t="shared" si="54"/>
        <v>7837679.81226971</v>
      </c>
      <c r="G207" s="395">
        <f t="shared" si="60"/>
        <v>9.8599999999999993E-2</v>
      </c>
      <c r="H207" s="395">
        <f t="shared" si="63"/>
        <v>0.50419999999999998</v>
      </c>
      <c r="I207" s="364">
        <f t="shared" si="55"/>
        <v>389643.35470875376</v>
      </c>
      <c r="K207" s="364">
        <f>'[4]Gross Plant'!C28</f>
        <v>7739524.6613385035</v>
      </c>
      <c r="L207" s="395">
        <f t="shared" si="56"/>
        <v>9.8599999999999993E-2</v>
      </c>
      <c r="M207" s="395">
        <f t="shared" si="52"/>
        <v>0.50419999999999998</v>
      </c>
      <c r="N207" s="364">
        <f t="shared" si="53"/>
        <v>384763.65775674168</v>
      </c>
      <c r="R207" s="358"/>
    </row>
    <row r="208" spans="1:18">
      <c r="A208" s="112">
        <f t="shared" si="40"/>
        <v>194</v>
      </c>
      <c r="B208" s="957">
        <v>39903</v>
      </c>
      <c r="C208" s="205" t="s">
        <v>990</v>
      </c>
      <c r="D208" s="364">
        <f>'[4]Gross Plant'!Q29</f>
        <v>3834802.7176738707</v>
      </c>
      <c r="E208" s="501">
        <v>0</v>
      </c>
      <c r="F208" s="364">
        <f t="shared" si="54"/>
        <v>3834802.7176738707</v>
      </c>
      <c r="G208" s="395">
        <f t="shared" si="60"/>
        <v>9.8599999999999993E-2</v>
      </c>
      <c r="H208" s="395">
        <f t="shared" si="63"/>
        <v>0.50419999999999998</v>
      </c>
      <c r="I208" s="364">
        <f t="shared" si="55"/>
        <v>190643.84248276491</v>
      </c>
      <c r="K208" s="364">
        <f>'[4]Gross Plant'!C29</f>
        <v>3812947.0656002737</v>
      </c>
      <c r="L208" s="395">
        <f t="shared" si="56"/>
        <v>9.8599999999999993E-2</v>
      </c>
      <c r="M208" s="395">
        <f t="shared" si="52"/>
        <v>0.50419999999999998</v>
      </c>
      <c r="N208" s="364">
        <f t="shared" si="53"/>
        <v>189557.30797289984</v>
      </c>
      <c r="R208" s="358"/>
    </row>
    <row r="209" spans="1:18">
      <c r="A209" s="112">
        <f t="shared" si="40"/>
        <v>195</v>
      </c>
      <c r="B209" s="957">
        <v>39904</v>
      </c>
      <c r="C209" s="205" t="s">
        <v>1158</v>
      </c>
      <c r="D209" s="364">
        <f>'[4]Gross Plant'!Q30</f>
        <v>0</v>
      </c>
      <c r="E209" s="501">
        <v>0</v>
      </c>
      <c r="F209" s="364">
        <f t="shared" si="54"/>
        <v>0</v>
      </c>
      <c r="G209" s="395">
        <f t="shared" ref="G209:G213" si="64">G208</f>
        <v>9.8599999999999993E-2</v>
      </c>
      <c r="H209" s="395">
        <f t="shared" si="63"/>
        <v>0.50419999999999998</v>
      </c>
      <c r="I209" s="364">
        <f t="shared" si="55"/>
        <v>0</v>
      </c>
      <c r="K209" s="364">
        <f>'[4]Gross Plant'!C30</f>
        <v>0</v>
      </c>
      <c r="L209" s="395">
        <f t="shared" si="56"/>
        <v>9.8599999999999993E-2</v>
      </c>
      <c r="M209" s="395">
        <f t="shared" si="52"/>
        <v>0.50419999999999998</v>
      </c>
      <c r="N209" s="364">
        <f t="shared" si="53"/>
        <v>0</v>
      </c>
      <c r="R209" s="358"/>
    </row>
    <row r="210" spans="1:18">
      <c r="A210" s="112">
        <f t="shared" si="40"/>
        <v>196</v>
      </c>
      <c r="B210" s="957">
        <v>39905</v>
      </c>
      <c r="C210" s="205" t="s">
        <v>493</v>
      </c>
      <c r="D210" s="364">
        <f>'[4]Gross Plant'!Q31</f>
        <v>0</v>
      </c>
      <c r="E210" s="501">
        <v>0</v>
      </c>
      <c r="F210" s="364">
        <f t="shared" si="54"/>
        <v>0</v>
      </c>
      <c r="G210" s="395">
        <f t="shared" si="64"/>
        <v>9.8599999999999993E-2</v>
      </c>
      <c r="H210" s="395">
        <f t="shared" si="63"/>
        <v>0.50419999999999998</v>
      </c>
      <c r="I210" s="364">
        <f t="shared" si="55"/>
        <v>0</v>
      </c>
      <c r="K210" s="364">
        <f>'[4]Gross Plant'!C31</f>
        <v>0</v>
      </c>
      <c r="L210" s="395">
        <f t="shared" si="56"/>
        <v>9.8599999999999993E-2</v>
      </c>
      <c r="M210" s="395">
        <f t="shared" si="52"/>
        <v>0.50419999999999998</v>
      </c>
      <c r="N210" s="364">
        <f t="shared" si="53"/>
        <v>0</v>
      </c>
      <c r="R210" s="358"/>
    </row>
    <row r="211" spans="1:18">
      <c r="A211" s="112">
        <f t="shared" si="40"/>
        <v>197</v>
      </c>
      <c r="B211" s="957">
        <v>39906</v>
      </c>
      <c r="C211" s="205" t="s">
        <v>447</v>
      </c>
      <c r="D211" s="364">
        <f>'[4]Gross Plant'!Q32</f>
        <v>3814702.3171132891</v>
      </c>
      <c r="E211" s="501">
        <v>0</v>
      </c>
      <c r="F211" s="364">
        <f t="shared" si="54"/>
        <v>3814702.3171132891</v>
      </c>
      <c r="G211" s="395">
        <f t="shared" si="64"/>
        <v>9.8599999999999993E-2</v>
      </c>
      <c r="H211" s="395">
        <f t="shared" si="63"/>
        <v>0.50419999999999998</v>
      </c>
      <c r="I211" s="364">
        <f t="shared" si="55"/>
        <v>189644.56875724811</v>
      </c>
      <c r="K211" s="364">
        <f>'[4]Gross Plant'!C32</f>
        <v>3039546.8994305944</v>
      </c>
      <c r="L211" s="395">
        <f t="shared" si="56"/>
        <v>9.8599999999999993E-2</v>
      </c>
      <c r="M211" s="395">
        <f t="shared" si="52"/>
        <v>0.50419999999999998</v>
      </c>
      <c r="N211" s="364">
        <f t="shared" si="53"/>
        <v>151108.39930392051</v>
      </c>
      <c r="R211" s="358"/>
    </row>
    <row r="212" spans="1:18">
      <c r="A212" s="112">
        <f t="shared" ref="A212:A268" si="65">A211+1</f>
        <v>198</v>
      </c>
      <c r="B212" s="957">
        <v>39907</v>
      </c>
      <c r="C212" s="205" t="s">
        <v>501</v>
      </c>
      <c r="D212" s="364">
        <f>'[4]Gross Plant'!Q33</f>
        <v>1182201.3799999999</v>
      </c>
      <c r="E212" s="501">
        <v>0</v>
      </c>
      <c r="F212" s="364">
        <f t="shared" si="54"/>
        <v>1182201.3799999999</v>
      </c>
      <c r="G212" s="395">
        <f t="shared" si="64"/>
        <v>9.8599999999999993E-2</v>
      </c>
      <c r="H212" s="395">
        <f t="shared" si="63"/>
        <v>0.50419999999999998</v>
      </c>
      <c r="I212" s="364">
        <f t="shared" si="55"/>
        <v>58772.101269485589</v>
      </c>
      <c r="K212" s="364">
        <f>'[4]Gross Plant'!C33</f>
        <v>1182201.3799999994</v>
      </c>
      <c r="L212" s="395">
        <f t="shared" si="56"/>
        <v>9.8599999999999993E-2</v>
      </c>
      <c r="M212" s="395">
        <f t="shared" si="52"/>
        <v>0.50419999999999998</v>
      </c>
      <c r="N212" s="364">
        <f t="shared" si="53"/>
        <v>58772.101269485567</v>
      </c>
      <c r="R212" s="358"/>
    </row>
    <row r="213" spans="1:18">
      <c r="A213" s="112">
        <f t="shared" si="65"/>
        <v>199</v>
      </c>
      <c r="B213" s="957">
        <v>39908</v>
      </c>
      <c r="C213" s="205" t="s">
        <v>178</v>
      </c>
      <c r="D213" s="364">
        <f>'[4]Gross Plant'!Q34</f>
        <v>91725060.514534011</v>
      </c>
      <c r="E213" s="501">
        <v>0</v>
      </c>
      <c r="F213" s="364">
        <f t="shared" si="54"/>
        <v>91725060.514534011</v>
      </c>
      <c r="G213" s="395">
        <f t="shared" si="64"/>
        <v>9.8599999999999993E-2</v>
      </c>
      <c r="H213" s="395">
        <f t="shared" si="63"/>
        <v>0.50419999999999998</v>
      </c>
      <c r="I213" s="364">
        <f t="shared" si="55"/>
        <v>4560030.6654268056</v>
      </c>
      <c r="K213" s="364">
        <f>'[4]Gross Plant'!C34</f>
        <v>85673034.759044513</v>
      </c>
      <c r="L213" s="395">
        <f t="shared" si="56"/>
        <v>9.8599999999999993E-2</v>
      </c>
      <c r="M213" s="395">
        <f t="shared" si="52"/>
        <v>0.50419999999999998</v>
      </c>
      <c r="N213" s="364">
        <f t="shared" si="53"/>
        <v>4259159.5307753095</v>
      </c>
      <c r="R213" s="358"/>
    </row>
    <row r="214" spans="1:18">
      <c r="A214" s="112">
        <f t="shared" si="65"/>
        <v>200</v>
      </c>
      <c r="B214" s="957">
        <v>39909</v>
      </c>
      <c r="C214" s="205" t="s">
        <v>340</v>
      </c>
      <c r="D214" s="364">
        <f>'[4]Gross Plant'!Q35</f>
        <v>0</v>
      </c>
      <c r="E214" s="501">
        <v>0</v>
      </c>
      <c r="F214" s="364">
        <f t="shared" si="54"/>
        <v>0</v>
      </c>
      <c r="G214" s="395">
        <f>G212</f>
        <v>9.8599999999999993E-2</v>
      </c>
      <c r="H214" s="395">
        <f>H212</f>
        <v>0.50419999999999998</v>
      </c>
      <c r="I214" s="364">
        <f t="shared" si="55"/>
        <v>0</v>
      </c>
      <c r="K214" s="364">
        <f>'[4]Gross Plant'!C35</f>
        <v>5514.2169230769223</v>
      </c>
      <c r="L214" s="395">
        <f t="shared" ref="L214" si="66">G214</f>
        <v>9.8599999999999993E-2</v>
      </c>
      <c r="M214" s="395">
        <f>H214</f>
        <v>0.50419999999999998</v>
      </c>
      <c r="N214" s="364">
        <f t="shared" si="53"/>
        <v>274.13444181987688</v>
      </c>
      <c r="R214" s="358"/>
    </row>
    <row r="215" spans="1:18">
      <c r="A215" s="112">
        <f t="shared" si="65"/>
        <v>201</v>
      </c>
      <c r="B215" s="957">
        <v>39921</v>
      </c>
      <c r="C215" s="205" t="s">
        <v>1446</v>
      </c>
      <c r="D215" s="364">
        <f>'[4]Gross Plant'!Q36</f>
        <v>1633844.2676205935</v>
      </c>
      <c r="E215" s="501">
        <v>0</v>
      </c>
      <c r="F215" s="364">
        <f t="shared" si="54"/>
        <v>1633844.2676205935</v>
      </c>
      <c r="G215" s="288">
        <v>1</v>
      </c>
      <c r="H215" s="395">
        <f>$H$195</f>
        <v>6.106367E-2</v>
      </c>
      <c r="I215" s="364">
        <f t="shared" si="55"/>
        <v>99768.527189375614</v>
      </c>
      <c r="K215" s="364">
        <f>'[4]Gross Plant'!C36</f>
        <v>1370171.6381158042</v>
      </c>
      <c r="L215" s="288">
        <v>1</v>
      </c>
      <c r="M215" s="395">
        <f t="shared" si="52"/>
        <v>6.106367E-2</v>
      </c>
      <c r="N215" s="364">
        <f t="shared" si="53"/>
        <v>83667.708753262894</v>
      </c>
      <c r="R215" s="358"/>
    </row>
    <row r="216" spans="1:18">
      <c r="A216" s="112">
        <f t="shared" si="65"/>
        <v>202</v>
      </c>
      <c r="B216" s="957">
        <v>39922</v>
      </c>
      <c r="C216" s="205" t="s">
        <v>1447</v>
      </c>
      <c r="D216" s="364">
        <f>'[4]Gross Plant'!Q37</f>
        <v>7280786.1590518532</v>
      </c>
      <c r="E216" s="501">
        <v>0</v>
      </c>
      <c r="F216" s="364">
        <f t="shared" si="54"/>
        <v>7280786.1590518532</v>
      </c>
      <c r="G216" s="288">
        <v>1</v>
      </c>
      <c r="H216" s="395">
        <f t="shared" ref="H216:H217" si="67">$H$195</f>
        <v>6.106367E-2</v>
      </c>
      <c r="I216" s="364">
        <f t="shared" si="55"/>
        <v>444591.52335690986</v>
      </c>
      <c r="K216" s="364">
        <f>'[4]Gross Plant'!C37</f>
        <v>5698666.9478630405</v>
      </c>
      <c r="L216" s="288">
        <v>1</v>
      </c>
      <c r="M216" s="395">
        <f t="shared" si="52"/>
        <v>6.106367E-2</v>
      </c>
      <c r="N216" s="364">
        <f t="shared" si="53"/>
        <v>347981.51794421591</v>
      </c>
      <c r="R216" s="358"/>
    </row>
    <row r="217" spans="1:18">
      <c r="A217" s="112">
        <f t="shared" si="65"/>
        <v>203</v>
      </c>
      <c r="B217" s="957">
        <v>39923</v>
      </c>
      <c r="C217" s="205" t="s">
        <v>1448</v>
      </c>
      <c r="D217" s="364">
        <f>'[4]Gross Plant'!Q38</f>
        <v>376000.76504480396</v>
      </c>
      <c r="E217" s="501">
        <v>0</v>
      </c>
      <c r="F217" s="364">
        <f t="shared" si="54"/>
        <v>376000.76504480396</v>
      </c>
      <c r="G217" s="288">
        <v>1</v>
      </c>
      <c r="H217" s="395">
        <f t="shared" si="67"/>
        <v>6.106367E-2</v>
      </c>
      <c r="I217" s="364">
        <f t="shared" si="55"/>
        <v>22959.986636443446</v>
      </c>
      <c r="K217" s="364">
        <f>'[4]Gross Plant'!C38</f>
        <v>199987.15019597823</v>
      </c>
      <c r="L217" s="288">
        <v>1</v>
      </c>
      <c r="M217" s="395">
        <f t="shared" si="52"/>
        <v>6.106367E-2</v>
      </c>
      <c r="N217" s="364">
        <f t="shared" si="53"/>
        <v>12211.94934380765</v>
      </c>
      <c r="R217" s="358"/>
    </row>
    <row r="218" spans="1:18">
      <c r="A218" s="112">
        <f t="shared" si="65"/>
        <v>204</v>
      </c>
      <c r="B218" s="957">
        <v>39924</v>
      </c>
      <c r="C218" s="205" t="s">
        <v>1340</v>
      </c>
      <c r="D218" s="364">
        <f>'[4]Gross Plant'!Q39</f>
        <v>0</v>
      </c>
      <c r="E218" s="501">
        <v>0</v>
      </c>
      <c r="F218" s="364">
        <f t="shared" si="54"/>
        <v>0</v>
      </c>
      <c r="G218" s="395">
        <f>G213</f>
        <v>9.8599999999999993E-2</v>
      </c>
      <c r="H218" s="395">
        <f>H213</f>
        <v>0.50419999999999998</v>
      </c>
      <c r="I218" s="364">
        <f t="shared" si="55"/>
        <v>0</v>
      </c>
      <c r="K218" s="364">
        <f>'[4]Gross Plant'!C39</f>
        <v>0</v>
      </c>
      <c r="L218" s="395">
        <f t="shared" si="56"/>
        <v>9.8599999999999993E-2</v>
      </c>
      <c r="M218" s="395">
        <f t="shared" si="52"/>
        <v>0.50419999999999998</v>
      </c>
      <c r="N218" s="364">
        <f t="shared" si="53"/>
        <v>0</v>
      </c>
      <c r="R218" s="358"/>
    </row>
    <row r="219" spans="1:18">
      <c r="A219" s="112">
        <f t="shared" si="65"/>
        <v>205</v>
      </c>
      <c r="B219" s="957">
        <v>39926</v>
      </c>
      <c r="C219" s="205" t="s">
        <v>1457</v>
      </c>
      <c r="D219" s="364">
        <f>'[4]Gross Plant'!Q40</f>
        <v>333278.76</v>
      </c>
      <c r="E219" s="501">
        <v>0</v>
      </c>
      <c r="F219" s="364">
        <f t="shared" si="54"/>
        <v>333278.76</v>
      </c>
      <c r="G219" s="288">
        <v>1</v>
      </c>
      <c r="H219" s="395">
        <f>$H$217</f>
        <v>6.106367E-2</v>
      </c>
      <c r="I219" s="364">
        <f t="shared" si="55"/>
        <v>20351.2242186492</v>
      </c>
      <c r="K219" s="364">
        <f>'[4]Gross Plant'!C40</f>
        <v>331824.96461538452</v>
      </c>
      <c r="L219" s="288">
        <v>1</v>
      </c>
      <c r="M219" s="395">
        <f t="shared" si="52"/>
        <v>6.106367E-2</v>
      </c>
      <c r="N219" s="364">
        <f t="shared" si="53"/>
        <v>20262.450137035517</v>
      </c>
      <c r="R219" s="358"/>
    </row>
    <row r="220" spans="1:18">
      <c r="A220" s="112">
        <f t="shared" si="65"/>
        <v>206</v>
      </c>
      <c r="B220" s="957">
        <v>39928</v>
      </c>
      <c r="C220" s="205" t="s">
        <v>1458</v>
      </c>
      <c r="D220" s="364">
        <f>'[4]Gross Plant'!Q41</f>
        <v>27590578.657617185</v>
      </c>
      <c r="E220" s="501">
        <v>0</v>
      </c>
      <c r="F220" s="364">
        <f t="shared" si="54"/>
        <v>27590578.657617185</v>
      </c>
      <c r="G220" s="288">
        <v>1</v>
      </c>
      <c r="H220" s="395">
        <f t="shared" ref="H220" si="68">$H$217</f>
        <v>6.106367E-2</v>
      </c>
      <c r="I220" s="364">
        <f t="shared" si="55"/>
        <v>1684781.9902577789</v>
      </c>
      <c r="K220" s="364">
        <f>'[4]Gross Plant'!C41</f>
        <v>25221034.38041592</v>
      </c>
      <c r="L220" s="288">
        <v>1</v>
      </c>
      <c r="M220" s="395">
        <f t="shared" si="52"/>
        <v>6.106367E-2</v>
      </c>
      <c r="N220" s="364">
        <f t="shared" si="53"/>
        <v>1540088.9204643723</v>
      </c>
      <c r="R220" s="358"/>
    </row>
    <row r="221" spans="1:18">
      <c r="A221" s="112">
        <f t="shared" si="65"/>
        <v>207</v>
      </c>
      <c r="B221" s="957">
        <v>39931</v>
      </c>
      <c r="C221" s="205" t="s">
        <v>1459</v>
      </c>
      <c r="D221" s="364">
        <f>'[4]Gross Plant'!Q42</f>
        <v>297266.61</v>
      </c>
      <c r="E221" s="501">
        <v>0</v>
      </c>
      <c r="F221" s="364">
        <f t="shared" si="54"/>
        <v>297266.61</v>
      </c>
      <c r="G221" s="288">
        <v>1</v>
      </c>
      <c r="H221" s="395">
        <f>Allocation!$E$23</f>
        <v>4.6370689999999999E-2</v>
      </c>
      <c r="I221" s="364">
        <f t="shared" si="55"/>
        <v>13784.4578196609</v>
      </c>
      <c r="K221" s="364">
        <f>'[4]Gross Plant'!C42</f>
        <v>297266.60999999993</v>
      </c>
      <c r="L221" s="288">
        <v>1</v>
      </c>
      <c r="M221" s="395">
        <f t="shared" si="52"/>
        <v>4.6370689999999999E-2</v>
      </c>
      <c r="N221" s="364">
        <f t="shared" si="53"/>
        <v>13784.457819660896</v>
      </c>
      <c r="R221" s="358"/>
    </row>
    <row r="222" spans="1:18">
      <c r="A222" s="112">
        <f t="shared" si="65"/>
        <v>208</v>
      </c>
      <c r="B222" s="957">
        <v>39932</v>
      </c>
      <c r="C222" s="205" t="s">
        <v>1460</v>
      </c>
      <c r="D222" s="364">
        <f>'[4]Gross Plant'!Q43</f>
        <v>783916.61</v>
      </c>
      <c r="E222" s="501">
        <v>0</v>
      </c>
      <c r="F222" s="364">
        <f t="shared" si="54"/>
        <v>783916.61</v>
      </c>
      <c r="G222" s="288">
        <v>1</v>
      </c>
      <c r="H222" s="395">
        <f>Allocation!$E$23</f>
        <v>4.6370689999999999E-2</v>
      </c>
      <c r="I222" s="364">
        <f t="shared" si="55"/>
        <v>36350.754108160902</v>
      </c>
      <c r="K222" s="364">
        <f>'[4]Gross Plant'!C43</f>
        <v>783916.61</v>
      </c>
      <c r="L222" s="288">
        <v>1</v>
      </c>
      <c r="M222" s="395">
        <f t="shared" ref="M222:M223" si="69">H222</f>
        <v>4.6370689999999999E-2</v>
      </c>
      <c r="N222" s="364">
        <f t="shared" si="53"/>
        <v>36350.754108160902</v>
      </c>
      <c r="R222" s="358"/>
    </row>
    <row r="223" spans="1:18">
      <c r="A223" s="112">
        <f t="shared" si="65"/>
        <v>209</v>
      </c>
      <c r="B223" s="957">
        <v>39938</v>
      </c>
      <c r="C223" s="205" t="s">
        <v>1461</v>
      </c>
      <c r="D223" s="364">
        <f>'[4]Gross Plant'!Q44</f>
        <v>20720277.031978484</v>
      </c>
      <c r="E223" s="501">
        <v>0</v>
      </c>
      <c r="F223" s="364">
        <f t="shared" si="54"/>
        <v>20720277.031978484</v>
      </c>
      <c r="G223" s="288">
        <v>1</v>
      </c>
      <c r="H223" s="395">
        <f>Allocation!$E$23</f>
        <v>4.6370689999999999E-2</v>
      </c>
      <c r="I223" s="364">
        <f t="shared" si="55"/>
        <v>960813.54296399432</v>
      </c>
      <c r="K223" s="364">
        <f>'[4]Gross Plant'!C44</f>
        <v>20268360.731602356</v>
      </c>
      <c r="L223" s="288">
        <v>1</v>
      </c>
      <c r="M223" s="395">
        <f t="shared" si="69"/>
        <v>4.6370689999999999E-2</v>
      </c>
      <c r="N223" s="364">
        <f t="shared" si="53"/>
        <v>939857.87229330605</v>
      </c>
      <c r="R223" s="358"/>
    </row>
    <row r="224" spans="1:18">
      <c r="A224" s="112">
        <f t="shared" si="65"/>
        <v>210</v>
      </c>
      <c r="B224" s="846"/>
      <c r="C224" s="205"/>
      <c r="D224" s="499"/>
      <c r="E224" s="499"/>
      <c r="F224" s="499"/>
      <c r="H224" s="288"/>
      <c r="K224" s="499"/>
      <c r="N224" s="499"/>
    </row>
    <row r="225" spans="1:18" ht="15.75" thickBot="1">
      <c r="A225" s="112">
        <f t="shared" si="65"/>
        <v>211</v>
      </c>
      <c r="B225" s="846"/>
      <c r="C225" s="205" t="s">
        <v>1273</v>
      </c>
      <c r="D225" s="1060">
        <f>SUM(D186:D223)</f>
        <v>236644399.22072497</v>
      </c>
      <c r="E225" s="1060">
        <f>SUM(E186:E223)</f>
        <v>0</v>
      </c>
      <c r="F225" s="1060">
        <f>SUM(F186:F223)</f>
        <v>236644399.22072497</v>
      </c>
      <c r="G225" s="825"/>
      <c r="H225" s="825"/>
      <c r="I225" s="1060">
        <f>SUM(I186:I223)</f>
        <v>11799976.514194028</v>
      </c>
      <c r="J225" s="650"/>
      <c r="K225" s="1060">
        <f>SUM(K186:K223)</f>
        <v>216320887.54288059</v>
      </c>
      <c r="L225" s="825"/>
      <c r="M225" s="825"/>
      <c r="N225" s="1060">
        <f>SUM(N186:N223)</f>
        <v>10741265.623053771</v>
      </c>
    </row>
    <row r="226" spans="1:18" ht="15.75" thickTop="1">
      <c r="A226" s="112">
        <f t="shared" si="65"/>
        <v>212</v>
      </c>
      <c r="B226" s="846"/>
      <c r="C226" s="205"/>
      <c r="D226" s="287"/>
      <c r="E226" s="287"/>
      <c r="F226" s="287"/>
      <c r="I226" s="287"/>
    </row>
    <row r="227" spans="1:18">
      <c r="A227" s="112">
        <f t="shared" si="65"/>
        <v>213</v>
      </c>
      <c r="B227" s="846"/>
      <c r="C227" s="172" t="s">
        <v>1635</v>
      </c>
      <c r="D227" s="290">
        <f>'[4]Gross Plant'!$Q$211</f>
        <v>9646514.3700000048</v>
      </c>
      <c r="E227" s="290">
        <f>-D227</f>
        <v>-9646514.3700000048</v>
      </c>
      <c r="F227" s="290">
        <f>D227+E227</f>
        <v>0</v>
      </c>
      <c r="G227" s="395">
        <f>G218</f>
        <v>9.8599999999999993E-2</v>
      </c>
      <c r="H227" s="395">
        <f>H218</f>
        <v>0.50419999999999998</v>
      </c>
      <c r="I227" s="290">
        <f>F227*G227*H227</f>
        <v>0</v>
      </c>
      <c r="K227" s="290">
        <f>'[4]Gross Plant'!$C$211*0</f>
        <v>0</v>
      </c>
      <c r="L227" s="395">
        <f>G227</f>
        <v>9.8599999999999993E-2</v>
      </c>
      <c r="M227" s="395">
        <f>H227</f>
        <v>0.50419999999999998</v>
      </c>
      <c r="N227" s="290">
        <f>K227*L227*M227</f>
        <v>0</v>
      </c>
    </row>
    <row r="228" spans="1:18">
      <c r="A228" s="112">
        <f t="shared" si="65"/>
        <v>214</v>
      </c>
      <c r="B228" s="846"/>
    </row>
    <row r="229" spans="1:18" ht="15.75">
      <c r="A229" s="112">
        <f t="shared" si="65"/>
        <v>215</v>
      </c>
      <c r="B229" s="843" t="s">
        <v>9</v>
      </c>
    </row>
    <row r="230" spans="1:18">
      <c r="A230" s="112">
        <f t="shared" si="65"/>
        <v>216</v>
      </c>
      <c r="B230" s="846"/>
    </row>
    <row r="231" spans="1:18">
      <c r="A231" s="112">
        <f t="shared" si="65"/>
        <v>217</v>
      </c>
      <c r="B231" s="846"/>
      <c r="C231" s="500" t="s">
        <v>299</v>
      </c>
    </row>
    <row r="232" spans="1:18">
      <c r="A232" s="112">
        <f t="shared" si="65"/>
        <v>218</v>
      </c>
      <c r="B232" s="957">
        <v>38900</v>
      </c>
      <c r="C232" s="205" t="s">
        <v>290</v>
      </c>
      <c r="D232" s="290">
        <f>'[4]Gross Plant'!Q50</f>
        <v>2874239.86</v>
      </c>
      <c r="E232" s="310">
        <v>0</v>
      </c>
      <c r="F232" s="304">
        <f>D232+E232</f>
        <v>2874239.86</v>
      </c>
      <c r="G232" s="395">
        <f>Allocation!$G$15</f>
        <v>0.11020000000000001</v>
      </c>
      <c r="H232" s="395">
        <f>Allocation!$H$15</f>
        <v>0.50429999999999997</v>
      </c>
      <c r="I232" s="304">
        <f>F232*G232*H232</f>
        <v>159732.60358605959</v>
      </c>
      <c r="K232" s="290">
        <f>'[4]Gross Plant'!C50</f>
        <v>2874239.86</v>
      </c>
      <c r="L232" s="395">
        <f>G232</f>
        <v>0.11020000000000001</v>
      </c>
      <c r="M232" s="395">
        <f>H232</f>
        <v>0.50429999999999997</v>
      </c>
      <c r="N232" s="304">
        <f>K232*L232*M232</f>
        <v>159732.60358605959</v>
      </c>
      <c r="P232" s="845"/>
      <c r="R232" s="358"/>
    </row>
    <row r="233" spans="1:18">
      <c r="A233" s="112">
        <f t="shared" si="65"/>
        <v>219</v>
      </c>
      <c r="B233" s="957">
        <v>38910</v>
      </c>
      <c r="C233" s="205" t="s">
        <v>1179</v>
      </c>
      <c r="D233" s="364">
        <f>'[4]Gross Plant'!Q51</f>
        <v>1886442.92</v>
      </c>
      <c r="E233" s="498">
        <v>0</v>
      </c>
      <c r="F233" s="503">
        <f>D233+E233</f>
        <v>1886442.92</v>
      </c>
      <c r="G233" s="395">
        <v>1</v>
      </c>
      <c r="H233" s="395">
        <f>Allocation!$I$21</f>
        <v>2.4788790000000002E-2</v>
      </c>
      <c r="I233" s="364">
        <f>F233*G233*H233</f>
        <v>46762.637390866803</v>
      </c>
      <c r="K233" s="364">
        <f>'[4]Gross Plant'!C51</f>
        <v>1886442.9200000006</v>
      </c>
      <c r="L233" s="395">
        <f>G233</f>
        <v>1</v>
      </c>
      <c r="M233" s="395">
        <f>H233</f>
        <v>2.4788790000000002E-2</v>
      </c>
      <c r="N233" s="364">
        <f>K233*L233*M233</f>
        <v>46762.637390866817</v>
      </c>
      <c r="P233" s="845"/>
      <c r="R233" s="358"/>
    </row>
    <row r="234" spans="1:18">
      <c r="A234" s="112">
        <f t="shared" si="65"/>
        <v>220</v>
      </c>
      <c r="B234" s="957">
        <v>39000</v>
      </c>
      <c r="C234" s="205" t="s">
        <v>848</v>
      </c>
      <c r="D234" s="364">
        <f>'[4]Gross Plant'!Q52</f>
        <v>13238061.850676714</v>
      </c>
      <c r="E234" s="498">
        <v>0</v>
      </c>
      <c r="F234" s="503">
        <f t="shared" ref="F234:F255" si="70">D234+E234</f>
        <v>13238061.850676714</v>
      </c>
      <c r="G234" s="395">
        <f>$G$232</f>
        <v>0.11020000000000001</v>
      </c>
      <c r="H234" s="395">
        <f>$H$232</f>
        <v>0.50429999999999997</v>
      </c>
      <c r="I234" s="364">
        <f t="shared" ref="I234:I260" si="71">F234*G234*H234</f>
        <v>735690.19596084859</v>
      </c>
      <c r="K234" s="364">
        <f>'[4]Gross Plant'!C52</f>
        <v>13223022.926730799</v>
      </c>
      <c r="L234" s="395">
        <f t="shared" ref="L234:L255" si="72">G234</f>
        <v>0.11020000000000001</v>
      </c>
      <c r="M234" s="395">
        <f t="shared" ref="M234:M255" si="73">H234</f>
        <v>0.50429999999999997</v>
      </c>
      <c r="N234" s="364">
        <f t="shared" ref="N234:N260" si="74">K234*L234*M234</f>
        <v>734854.42490692763</v>
      </c>
      <c r="P234" s="845"/>
      <c r="R234" s="358"/>
    </row>
    <row r="235" spans="1:18">
      <c r="A235" s="112">
        <f t="shared" si="65"/>
        <v>221</v>
      </c>
      <c r="B235" s="957">
        <v>39009</v>
      </c>
      <c r="C235" s="205" t="s">
        <v>1020</v>
      </c>
      <c r="D235" s="364">
        <f>'[4]Gross Plant'!Q53</f>
        <v>2820613.55</v>
      </c>
      <c r="E235" s="498">
        <v>0</v>
      </c>
      <c r="F235" s="503">
        <f t="shared" si="70"/>
        <v>2820613.55</v>
      </c>
      <c r="G235" s="395">
        <f>$G$232</f>
        <v>0.11020000000000001</v>
      </c>
      <c r="H235" s="395">
        <f>$H$232</f>
        <v>0.50429999999999997</v>
      </c>
      <c r="I235" s="364">
        <f t="shared" si="71"/>
        <v>156752.38254180297</v>
      </c>
      <c r="K235" s="364">
        <f>'[4]Gross Plant'!C53</f>
        <v>2820613.55</v>
      </c>
      <c r="L235" s="395">
        <f t="shared" si="72"/>
        <v>0.11020000000000001</v>
      </c>
      <c r="M235" s="395">
        <f t="shared" si="73"/>
        <v>0.50429999999999997</v>
      </c>
      <c r="N235" s="364">
        <f t="shared" si="74"/>
        <v>156752.38254180297</v>
      </c>
      <c r="P235" s="845"/>
      <c r="R235" s="358"/>
    </row>
    <row r="236" spans="1:18">
      <c r="A236" s="112">
        <f t="shared" si="65"/>
        <v>222</v>
      </c>
      <c r="B236" s="957">
        <v>39010</v>
      </c>
      <c r="C236" s="205" t="s">
        <v>1180</v>
      </c>
      <c r="D236" s="364">
        <f>'[4]Gross Plant'!Q54</f>
        <v>12562619.01</v>
      </c>
      <c r="E236" s="498">
        <v>0</v>
      </c>
      <c r="F236" s="503">
        <f t="shared" ref="F236" si="75">D236+E236</f>
        <v>12562619.01</v>
      </c>
      <c r="G236" s="395">
        <v>1</v>
      </c>
      <c r="H236" s="395">
        <f>$H$233</f>
        <v>2.4788790000000002E-2</v>
      </c>
      <c r="I236" s="364">
        <f t="shared" si="71"/>
        <v>311412.12448889791</v>
      </c>
      <c r="K236" s="364">
        <f>'[4]Gross Plant'!C54</f>
        <v>12562619.01</v>
      </c>
      <c r="L236" s="395">
        <f t="shared" ref="L236" si="76">G236</f>
        <v>1</v>
      </c>
      <c r="M236" s="395">
        <f t="shared" ref="M236" si="77">H236</f>
        <v>2.4788790000000002E-2</v>
      </c>
      <c r="N236" s="364">
        <f t="shared" si="74"/>
        <v>311412.12448889791</v>
      </c>
      <c r="P236" s="845"/>
      <c r="R236" s="358"/>
    </row>
    <row r="237" spans="1:18">
      <c r="A237" s="112">
        <f t="shared" si="65"/>
        <v>223</v>
      </c>
      <c r="B237" s="957">
        <v>39100</v>
      </c>
      <c r="C237" s="205" t="s">
        <v>772</v>
      </c>
      <c r="D237" s="364">
        <f>'[4]Gross Plant'!Q55</f>
        <v>2640949.96</v>
      </c>
      <c r="E237" s="498">
        <v>0</v>
      </c>
      <c r="F237" s="503">
        <f t="shared" si="70"/>
        <v>2640949.96</v>
      </c>
      <c r="G237" s="395">
        <f>$G$232</f>
        <v>0.11020000000000001</v>
      </c>
      <c r="H237" s="395">
        <f>$H$232</f>
        <v>0.50429999999999997</v>
      </c>
      <c r="I237" s="364">
        <f t="shared" si="71"/>
        <v>146767.7833440456</v>
      </c>
      <c r="K237" s="364">
        <f>'[4]Gross Plant'!C55</f>
        <v>2640949.9600000004</v>
      </c>
      <c r="L237" s="395">
        <f t="shared" si="72"/>
        <v>0.11020000000000001</v>
      </c>
      <c r="M237" s="395">
        <f t="shared" si="73"/>
        <v>0.50429999999999997</v>
      </c>
      <c r="N237" s="364">
        <f t="shared" si="74"/>
        <v>146767.78334404563</v>
      </c>
      <c r="P237" s="845"/>
      <c r="R237" s="358"/>
    </row>
    <row r="238" spans="1:18">
      <c r="A238" s="112">
        <f t="shared" si="65"/>
        <v>224</v>
      </c>
      <c r="B238" s="957">
        <v>39101</v>
      </c>
      <c r="C238" s="205" t="s">
        <v>1439</v>
      </c>
      <c r="D238" s="364">
        <f>'[4]Gross Plant'!Q56</f>
        <v>0</v>
      </c>
      <c r="E238" s="498">
        <v>0</v>
      </c>
      <c r="F238" s="503">
        <f t="shared" si="70"/>
        <v>0</v>
      </c>
      <c r="G238" s="395">
        <f t="shared" ref="G238:G239" si="78">$G$232</f>
        <v>0.11020000000000001</v>
      </c>
      <c r="H238" s="395">
        <f t="shared" ref="H238:H239" si="79">$H$232</f>
        <v>0.50429999999999997</v>
      </c>
      <c r="I238" s="364">
        <f t="shared" si="71"/>
        <v>0</v>
      </c>
      <c r="K238" s="364">
        <f>'[4]Gross Plant'!C56</f>
        <v>0</v>
      </c>
      <c r="L238" s="395">
        <f t="shared" ref="L238:L239" si="80">G238</f>
        <v>0.11020000000000001</v>
      </c>
      <c r="M238" s="395">
        <f t="shared" ref="M238:M239" si="81">H238</f>
        <v>0.50429999999999997</v>
      </c>
      <c r="N238" s="364">
        <f t="shared" si="74"/>
        <v>0</v>
      </c>
      <c r="P238" s="845"/>
      <c r="R238" s="358"/>
    </row>
    <row r="239" spans="1:18">
      <c r="A239" s="112">
        <f t="shared" si="65"/>
        <v>225</v>
      </c>
      <c r="B239" s="957">
        <v>39102</v>
      </c>
      <c r="C239" s="205" t="s">
        <v>1449</v>
      </c>
      <c r="D239" s="364">
        <f>'[4]Gross Plant'!Q57</f>
        <v>0</v>
      </c>
      <c r="E239" s="498">
        <v>0</v>
      </c>
      <c r="F239" s="503">
        <f t="shared" si="70"/>
        <v>0</v>
      </c>
      <c r="G239" s="395">
        <f t="shared" si="78"/>
        <v>0.11020000000000001</v>
      </c>
      <c r="H239" s="395">
        <f t="shared" si="79"/>
        <v>0.50429999999999997</v>
      </c>
      <c r="I239" s="364">
        <f t="shared" si="71"/>
        <v>0</v>
      </c>
      <c r="K239" s="364">
        <f>'[4]Gross Plant'!C57</f>
        <v>0</v>
      </c>
      <c r="L239" s="395">
        <f t="shared" si="80"/>
        <v>0.11020000000000001</v>
      </c>
      <c r="M239" s="395">
        <f t="shared" si="81"/>
        <v>0.50429999999999997</v>
      </c>
      <c r="N239" s="364">
        <f t="shared" si="74"/>
        <v>0</v>
      </c>
      <c r="P239" s="845"/>
      <c r="R239" s="358"/>
    </row>
    <row r="240" spans="1:18">
      <c r="A240" s="112">
        <f t="shared" si="65"/>
        <v>226</v>
      </c>
      <c r="B240" s="957">
        <v>39103</v>
      </c>
      <c r="C240" s="205" t="s">
        <v>1275</v>
      </c>
      <c r="D240" s="364">
        <f>'[4]Gross Plant'!Q58</f>
        <v>0</v>
      </c>
      <c r="E240" s="498">
        <v>0</v>
      </c>
      <c r="F240" s="503">
        <f t="shared" ref="F240:F244" si="82">D240+E240</f>
        <v>0</v>
      </c>
      <c r="G240" s="395">
        <f>$G$232</f>
        <v>0.11020000000000001</v>
      </c>
      <c r="H240" s="395">
        <f>$H$232</f>
        <v>0.50429999999999997</v>
      </c>
      <c r="I240" s="364">
        <f t="shared" si="71"/>
        <v>0</v>
      </c>
      <c r="K240" s="364">
        <f>'[4]Gross Plant'!C58</f>
        <v>0</v>
      </c>
      <c r="L240" s="395">
        <f t="shared" ref="L240:L241" si="83">G240</f>
        <v>0.11020000000000001</v>
      </c>
      <c r="M240" s="395">
        <f t="shared" ref="M240:M241" si="84">H240</f>
        <v>0.50429999999999997</v>
      </c>
      <c r="N240" s="364">
        <f t="shared" si="74"/>
        <v>0</v>
      </c>
      <c r="P240" s="845"/>
      <c r="R240" s="358"/>
    </row>
    <row r="241" spans="1:18">
      <c r="A241" s="112">
        <f t="shared" si="65"/>
        <v>227</v>
      </c>
      <c r="B241" s="957">
        <v>39110</v>
      </c>
      <c r="C241" s="205" t="s">
        <v>1450</v>
      </c>
      <c r="D241" s="364">
        <f>'[4]Gross Plant'!Q59</f>
        <v>534049.43000000005</v>
      </c>
      <c r="E241" s="498">
        <v>0</v>
      </c>
      <c r="F241" s="503">
        <f t="shared" si="82"/>
        <v>534049.43000000005</v>
      </c>
      <c r="G241" s="395">
        <v>1</v>
      </c>
      <c r="H241" s="395">
        <f>$H$233</f>
        <v>2.4788790000000002E-2</v>
      </c>
      <c r="I241" s="364">
        <f t="shared" si="71"/>
        <v>13238.439169889702</v>
      </c>
      <c r="K241" s="364">
        <f>'[4]Gross Plant'!C59</f>
        <v>534049.42999999993</v>
      </c>
      <c r="L241" s="395">
        <f t="shared" si="83"/>
        <v>1</v>
      </c>
      <c r="M241" s="395">
        <f t="shared" si="84"/>
        <v>2.4788790000000002E-2</v>
      </c>
      <c r="N241" s="364">
        <f t="shared" si="74"/>
        <v>13238.4391698897</v>
      </c>
      <c r="P241" s="845"/>
      <c r="R241" s="358"/>
    </row>
    <row r="242" spans="1:18">
      <c r="A242" s="112">
        <f t="shared" si="65"/>
        <v>228</v>
      </c>
      <c r="B242" s="957">
        <v>39210</v>
      </c>
      <c r="C242" s="205" t="s">
        <v>1451</v>
      </c>
      <c r="D242" s="364">
        <f>'[4]Gross Plant'!Q60</f>
        <v>96290.22</v>
      </c>
      <c r="E242" s="498">
        <v>0</v>
      </c>
      <c r="F242" s="503">
        <f t="shared" si="82"/>
        <v>96290.22</v>
      </c>
      <c r="G242" s="395">
        <v>1</v>
      </c>
      <c r="H242" s="395">
        <f t="shared" ref="H242:H244" si="85">$H$233</f>
        <v>2.4788790000000002E-2</v>
      </c>
      <c r="I242" s="364">
        <f t="shared" si="71"/>
        <v>2386.9180426338003</v>
      </c>
      <c r="K242" s="364">
        <f>'[4]Gross Plant'!C60</f>
        <v>96290.219999999987</v>
      </c>
      <c r="L242" s="395">
        <f t="shared" ref="L242:L244" si="86">G242</f>
        <v>1</v>
      </c>
      <c r="M242" s="395">
        <f t="shared" ref="M242:M244" si="87">H242</f>
        <v>2.4788790000000002E-2</v>
      </c>
      <c r="N242" s="364">
        <f t="shared" si="74"/>
        <v>2386.9180426337998</v>
      </c>
      <c r="P242" s="845"/>
      <c r="R242" s="358"/>
    </row>
    <row r="243" spans="1:18">
      <c r="A243" s="112">
        <f t="shared" si="65"/>
        <v>229</v>
      </c>
      <c r="B243" s="957">
        <v>39410</v>
      </c>
      <c r="C243" s="205" t="s">
        <v>1452</v>
      </c>
      <c r="D243" s="364">
        <f>'[4]Gross Plant'!Q61</f>
        <v>595549.02</v>
      </c>
      <c r="E243" s="498">
        <v>0</v>
      </c>
      <c r="F243" s="503">
        <f t="shared" si="82"/>
        <v>595549.02</v>
      </c>
      <c r="G243" s="395">
        <v>1</v>
      </c>
      <c r="H243" s="395">
        <f t="shared" si="85"/>
        <v>2.4788790000000002E-2</v>
      </c>
      <c r="I243" s="364">
        <f t="shared" si="71"/>
        <v>14762.939591485801</v>
      </c>
      <c r="K243" s="364">
        <f>'[4]Gross Plant'!C61</f>
        <v>595549.01999999979</v>
      </c>
      <c r="L243" s="395">
        <f t="shared" si="86"/>
        <v>1</v>
      </c>
      <c r="M243" s="395">
        <f t="shared" si="87"/>
        <v>2.4788790000000002E-2</v>
      </c>
      <c r="N243" s="364">
        <f t="shared" si="74"/>
        <v>14762.939591485796</v>
      </c>
      <c r="P243" s="845"/>
      <c r="R243" s="358"/>
    </row>
    <row r="244" spans="1:18">
      <c r="A244" s="112">
        <f t="shared" si="65"/>
        <v>230</v>
      </c>
      <c r="B244" s="957">
        <v>39510</v>
      </c>
      <c r="C244" s="205" t="s">
        <v>1453</v>
      </c>
      <c r="D244" s="364">
        <f>'[4]Gross Plant'!Q62</f>
        <v>23632.07</v>
      </c>
      <c r="E244" s="498">
        <v>0</v>
      </c>
      <c r="F244" s="503">
        <f t="shared" si="82"/>
        <v>23632.07</v>
      </c>
      <c r="G244" s="395">
        <v>1</v>
      </c>
      <c r="H244" s="395">
        <f t="shared" si="85"/>
        <v>2.4788790000000002E-2</v>
      </c>
      <c r="I244" s="364">
        <f t="shared" si="71"/>
        <v>585.81042049530004</v>
      </c>
      <c r="K244" s="364">
        <f>'[4]Gross Plant'!C62</f>
        <v>23632.070000000003</v>
      </c>
      <c r="L244" s="395">
        <f t="shared" si="86"/>
        <v>1</v>
      </c>
      <c r="M244" s="395">
        <f t="shared" si="87"/>
        <v>2.4788790000000002E-2</v>
      </c>
      <c r="N244" s="364">
        <f t="shared" si="74"/>
        <v>585.81042049530015</v>
      </c>
      <c r="P244" s="845"/>
      <c r="R244" s="358"/>
    </row>
    <row r="245" spans="1:18">
      <c r="A245" s="112">
        <f t="shared" si="65"/>
        <v>231</v>
      </c>
      <c r="B245" s="957">
        <v>39700</v>
      </c>
      <c r="C245" s="205" t="s">
        <v>436</v>
      </c>
      <c r="D245" s="364">
        <f>'[4]Gross Plant'!Q63</f>
        <v>1913117.11</v>
      </c>
      <c r="E245" s="498">
        <v>0</v>
      </c>
      <c r="F245" s="503">
        <f t="shared" si="70"/>
        <v>1913117.11</v>
      </c>
      <c r="G245" s="395">
        <f>$G$232</f>
        <v>0.11020000000000001</v>
      </c>
      <c r="H245" s="395">
        <f>$H$232</f>
        <v>0.50429999999999997</v>
      </c>
      <c r="I245" s="364">
        <f t="shared" si="71"/>
        <v>106319.3024347446</v>
      </c>
      <c r="K245" s="364">
        <f>'[4]Gross Plant'!C63</f>
        <v>1913117.1099999996</v>
      </c>
      <c r="L245" s="395">
        <f t="shared" si="72"/>
        <v>0.11020000000000001</v>
      </c>
      <c r="M245" s="395">
        <f t="shared" si="73"/>
        <v>0.50429999999999997</v>
      </c>
      <c r="N245" s="364">
        <f t="shared" si="74"/>
        <v>106319.30243474458</v>
      </c>
      <c r="P245" s="845"/>
      <c r="R245" s="358"/>
    </row>
    <row r="246" spans="1:18">
      <c r="A246" s="112">
        <f t="shared" si="65"/>
        <v>232</v>
      </c>
      <c r="B246" s="957">
        <v>39710</v>
      </c>
      <c r="C246" s="205" t="s">
        <v>1181</v>
      </c>
      <c r="D246" s="364">
        <f>'[4]Gross Plant'!Q64</f>
        <v>327905.48</v>
      </c>
      <c r="E246" s="498">
        <v>0</v>
      </c>
      <c r="F246" s="503">
        <f>D246+E246</f>
        <v>327905.48</v>
      </c>
      <c r="G246" s="395">
        <v>1</v>
      </c>
      <c r="H246" s="395">
        <f>$H$233</f>
        <v>2.4788790000000002E-2</v>
      </c>
      <c r="I246" s="364">
        <f t="shared" si="71"/>
        <v>8128.3800835692</v>
      </c>
      <c r="K246" s="364">
        <f>'[4]Gross Plant'!C64</f>
        <v>327905.48000000004</v>
      </c>
      <c r="L246" s="395">
        <f>G246</f>
        <v>1</v>
      </c>
      <c r="M246" s="395">
        <f>H246</f>
        <v>2.4788790000000002E-2</v>
      </c>
      <c r="N246" s="364">
        <f t="shared" si="74"/>
        <v>8128.3800835692018</v>
      </c>
      <c r="P246" s="845"/>
      <c r="R246" s="358"/>
    </row>
    <row r="247" spans="1:18">
      <c r="A247" s="112">
        <f t="shared" si="65"/>
        <v>233</v>
      </c>
      <c r="B247" s="957">
        <v>39800</v>
      </c>
      <c r="C247" s="205" t="s">
        <v>645</v>
      </c>
      <c r="D247" s="364">
        <f>'[4]Gross Plant'!Q65</f>
        <v>71376.73</v>
      </c>
      <c r="E247" s="498">
        <v>0</v>
      </c>
      <c r="F247" s="503">
        <f t="shared" si="70"/>
        <v>71376.73</v>
      </c>
      <c r="G247" s="395">
        <f t="shared" ref="G247:G255" si="88">$G$232</f>
        <v>0.11020000000000001</v>
      </c>
      <c r="H247" s="395">
        <f t="shared" ref="H247:H255" si="89">$H$232</f>
        <v>0.50429999999999997</v>
      </c>
      <c r="I247" s="364">
        <f t="shared" si="71"/>
        <v>3966.6804002777994</v>
      </c>
      <c r="K247" s="364">
        <f>'[4]Gross Plant'!C65</f>
        <v>71376.73</v>
      </c>
      <c r="L247" s="395">
        <f t="shared" si="72"/>
        <v>0.11020000000000001</v>
      </c>
      <c r="M247" s="395">
        <f t="shared" si="73"/>
        <v>0.50429999999999997</v>
      </c>
      <c r="N247" s="364">
        <f t="shared" si="74"/>
        <v>3966.6804002777994</v>
      </c>
      <c r="P247" s="845"/>
      <c r="R247" s="358"/>
    </row>
    <row r="248" spans="1:18">
      <c r="A248" s="112">
        <f t="shared" si="65"/>
        <v>234</v>
      </c>
      <c r="B248" s="957">
        <v>39810</v>
      </c>
      <c r="C248" s="205" t="s">
        <v>1454</v>
      </c>
      <c r="D248" s="364">
        <f>'[4]Gross Plant'!Q66</f>
        <v>545395.62</v>
      </c>
      <c r="E248" s="498">
        <v>0</v>
      </c>
      <c r="F248" s="503">
        <f t="shared" si="70"/>
        <v>545395.62</v>
      </c>
      <c r="G248" s="288">
        <v>1</v>
      </c>
      <c r="H248" s="395">
        <f t="shared" ref="H248" si="90">$H$233</f>
        <v>2.4788790000000002E-2</v>
      </c>
      <c r="I248" s="364">
        <f t="shared" si="71"/>
        <v>13519.697491099801</v>
      </c>
      <c r="K248" s="364">
        <f>'[4]Gross Plant'!C66</f>
        <v>545395.62</v>
      </c>
      <c r="L248" s="395">
        <f t="shared" si="72"/>
        <v>1</v>
      </c>
      <c r="M248" s="395">
        <f t="shared" si="73"/>
        <v>2.4788790000000002E-2</v>
      </c>
      <c r="N248" s="364">
        <f t="shared" si="74"/>
        <v>13519.697491099801</v>
      </c>
      <c r="P248" s="845"/>
      <c r="R248" s="358"/>
    </row>
    <row r="249" spans="1:18">
      <c r="A249" s="112">
        <f t="shared" si="65"/>
        <v>235</v>
      </c>
      <c r="B249" s="957">
        <v>39900</v>
      </c>
      <c r="C249" s="205" t="s">
        <v>1133</v>
      </c>
      <c r="D249" s="364">
        <f>'[4]Gross Plant'!Q67</f>
        <v>0</v>
      </c>
      <c r="E249" s="498">
        <v>0</v>
      </c>
      <c r="F249" s="503">
        <f t="shared" si="70"/>
        <v>0</v>
      </c>
      <c r="G249" s="395">
        <f t="shared" si="88"/>
        <v>0.11020000000000001</v>
      </c>
      <c r="H249" s="395">
        <f t="shared" si="89"/>
        <v>0.50429999999999997</v>
      </c>
      <c r="I249" s="364">
        <f t="shared" si="71"/>
        <v>0</v>
      </c>
      <c r="K249" s="364">
        <f>'[4]Gross Plant'!C67</f>
        <v>0</v>
      </c>
      <c r="L249" s="395">
        <f t="shared" si="72"/>
        <v>0.11020000000000001</v>
      </c>
      <c r="M249" s="395">
        <f t="shared" si="73"/>
        <v>0.50429999999999997</v>
      </c>
      <c r="N249" s="364">
        <f t="shared" si="74"/>
        <v>0</v>
      </c>
      <c r="P249" s="845"/>
      <c r="R249" s="358"/>
    </row>
    <row r="250" spans="1:18">
      <c r="A250" s="112">
        <f t="shared" si="65"/>
        <v>236</v>
      </c>
      <c r="B250" s="957">
        <v>39901</v>
      </c>
      <c r="C250" s="205" t="s">
        <v>470</v>
      </c>
      <c r="D250" s="364">
        <f>'[4]Gross Plant'!Q68</f>
        <v>10026915.400844557</v>
      </c>
      <c r="E250" s="498">
        <v>0</v>
      </c>
      <c r="F250" s="503">
        <f t="shared" si="70"/>
        <v>10026915.400844557</v>
      </c>
      <c r="G250" s="395">
        <f t="shared" si="88"/>
        <v>0.11020000000000001</v>
      </c>
      <c r="H250" s="395">
        <f t="shared" si="89"/>
        <v>0.50429999999999997</v>
      </c>
      <c r="I250" s="364">
        <f t="shared" si="71"/>
        <v>557234.39271837927</v>
      </c>
      <c r="K250" s="364">
        <f>'[4]Gross Plant'!C68</f>
        <v>9947992.6486887503</v>
      </c>
      <c r="L250" s="395">
        <f t="shared" si="72"/>
        <v>0.11020000000000001</v>
      </c>
      <c r="M250" s="395">
        <f t="shared" si="73"/>
        <v>0.50429999999999997</v>
      </c>
      <c r="N250" s="364">
        <f t="shared" si="74"/>
        <v>552848.35073925788</v>
      </c>
      <c r="P250" s="845"/>
      <c r="R250" s="358"/>
    </row>
    <row r="251" spans="1:18">
      <c r="A251" s="112">
        <f t="shared" si="65"/>
        <v>237</v>
      </c>
      <c r="B251" s="957">
        <v>39902</v>
      </c>
      <c r="C251" s="205" t="s">
        <v>947</v>
      </c>
      <c r="D251" s="364">
        <f>'[4]Gross Plant'!Q69</f>
        <v>2208691.44</v>
      </c>
      <c r="E251" s="498">
        <v>0</v>
      </c>
      <c r="F251" s="503">
        <f t="shared" si="70"/>
        <v>2208691.44</v>
      </c>
      <c r="G251" s="395">
        <f t="shared" si="88"/>
        <v>0.11020000000000001</v>
      </c>
      <c r="H251" s="395">
        <f t="shared" si="89"/>
        <v>0.50429999999999997</v>
      </c>
      <c r="I251" s="364">
        <f t="shared" si="71"/>
        <v>122745.5088697584</v>
      </c>
      <c r="K251" s="364">
        <f>'[4]Gross Plant'!C69</f>
        <v>2208691.4400000004</v>
      </c>
      <c r="L251" s="395">
        <f t="shared" si="72"/>
        <v>0.11020000000000001</v>
      </c>
      <c r="M251" s="395">
        <f t="shared" si="73"/>
        <v>0.50429999999999997</v>
      </c>
      <c r="N251" s="364">
        <f t="shared" si="74"/>
        <v>122745.50886975843</v>
      </c>
      <c r="P251" s="845"/>
      <c r="R251" s="358"/>
    </row>
    <row r="252" spans="1:18">
      <c r="A252" s="112">
        <f t="shared" si="65"/>
        <v>238</v>
      </c>
      <c r="B252" s="957">
        <v>39903</v>
      </c>
      <c r="C252" s="205" t="s">
        <v>990</v>
      </c>
      <c r="D252" s="364">
        <f>'[4]Gross Plant'!Q70</f>
        <v>338087.79</v>
      </c>
      <c r="E252" s="498">
        <v>0</v>
      </c>
      <c r="F252" s="503">
        <f t="shared" si="70"/>
        <v>338087.79</v>
      </c>
      <c r="G252" s="395">
        <f t="shared" si="88"/>
        <v>0.11020000000000001</v>
      </c>
      <c r="H252" s="395">
        <f t="shared" si="89"/>
        <v>0.50429999999999997</v>
      </c>
      <c r="I252" s="364">
        <f>F252*G252*H252</f>
        <v>18788.843509169397</v>
      </c>
      <c r="K252" s="364">
        <f>'[4]Gross Plant'!C70</f>
        <v>338087.79</v>
      </c>
      <c r="L252" s="395">
        <f t="shared" si="72"/>
        <v>0.11020000000000001</v>
      </c>
      <c r="M252" s="395">
        <f t="shared" si="73"/>
        <v>0.50429999999999997</v>
      </c>
      <c r="N252" s="364">
        <f t="shared" si="74"/>
        <v>18788.843509169397</v>
      </c>
      <c r="P252" s="845"/>
      <c r="R252" s="358"/>
    </row>
    <row r="253" spans="1:18">
      <c r="A253" s="112">
        <f t="shared" si="65"/>
        <v>239</v>
      </c>
      <c r="B253" s="957">
        <v>39906</v>
      </c>
      <c r="C253" s="205" t="s">
        <v>447</v>
      </c>
      <c r="D253" s="364">
        <f>'[4]Gross Plant'!Q71</f>
        <v>922187.19206502289</v>
      </c>
      <c r="E253" s="498">
        <v>0</v>
      </c>
      <c r="F253" s="503">
        <f t="shared" si="70"/>
        <v>922187.19206502289</v>
      </c>
      <c r="G253" s="395">
        <f t="shared" si="88"/>
        <v>0.11020000000000001</v>
      </c>
      <c r="H253" s="395">
        <f t="shared" si="89"/>
        <v>0.50429999999999997</v>
      </c>
      <c r="I253" s="364">
        <f t="shared" si="71"/>
        <v>51249.501905614692</v>
      </c>
      <c r="K253" s="364">
        <f>'[4]Gross Plant'!C71</f>
        <v>742504.32397239492</v>
      </c>
      <c r="L253" s="395">
        <f t="shared" si="72"/>
        <v>0.11020000000000001</v>
      </c>
      <c r="M253" s="395">
        <f t="shared" si="73"/>
        <v>0.50429999999999997</v>
      </c>
      <c r="N253" s="364">
        <f t="shared" si="74"/>
        <v>41263.831349836517</v>
      </c>
      <c r="P253" s="845"/>
      <c r="R253" s="358"/>
    </row>
    <row r="254" spans="1:18">
      <c r="A254" s="112">
        <f t="shared" si="65"/>
        <v>240</v>
      </c>
      <c r="B254" s="957">
        <v>39907</v>
      </c>
      <c r="C254" s="205" t="s">
        <v>501</v>
      </c>
      <c r="D254" s="364">
        <f>'[4]Gross Plant'!Q72</f>
        <v>0</v>
      </c>
      <c r="E254" s="498">
        <v>0</v>
      </c>
      <c r="F254" s="503">
        <f t="shared" si="70"/>
        <v>0</v>
      </c>
      <c r="G254" s="395">
        <f t="shared" si="88"/>
        <v>0.11020000000000001</v>
      </c>
      <c r="H254" s="395">
        <f t="shared" si="89"/>
        <v>0.50429999999999997</v>
      </c>
      <c r="I254" s="364">
        <f t="shared" si="71"/>
        <v>0</v>
      </c>
      <c r="K254" s="364">
        <f>'[4]Gross Plant'!C72</f>
        <v>0</v>
      </c>
      <c r="L254" s="395">
        <f t="shared" si="72"/>
        <v>0.11020000000000001</v>
      </c>
      <c r="M254" s="395">
        <f t="shared" si="73"/>
        <v>0.50429999999999997</v>
      </c>
      <c r="N254" s="364">
        <f t="shared" si="74"/>
        <v>0</v>
      </c>
      <c r="P254" s="845"/>
      <c r="R254" s="358"/>
    </row>
    <row r="255" spans="1:18">
      <c r="A255" s="112">
        <f t="shared" si="65"/>
        <v>241</v>
      </c>
      <c r="B255" s="957">
        <v>39908</v>
      </c>
      <c r="C255" s="205" t="s">
        <v>178</v>
      </c>
      <c r="D255" s="364">
        <f>'[4]Gross Plant'!Q73</f>
        <v>98380551.41641371</v>
      </c>
      <c r="E255" s="498">
        <v>0</v>
      </c>
      <c r="F255" s="503">
        <f t="shared" si="70"/>
        <v>98380551.41641371</v>
      </c>
      <c r="G255" s="395">
        <f t="shared" si="88"/>
        <v>0.11020000000000001</v>
      </c>
      <c r="H255" s="395">
        <f t="shared" si="89"/>
        <v>0.50429999999999997</v>
      </c>
      <c r="I255" s="364">
        <f t="shared" si="71"/>
        <v>5467386.9911385775</v>
      </c>
      <c r="K255" s="364">
        <f>'[4]Gross Plant'!C73</f>
        <v>97901400.279069602</v>
      </c>
      <c r="L255" s="395">
        <f t="shared" si="72"/>
        <v>0.11020000000000001</v>
      </c>
      <c r="M255" s="395">
        <f t="shared" si="73"/>
        <v>0.50429999999999997</v>
      </c>
      <c r="N255" s="364">
        <f t="shared" si="74"/>
        <v>5440758.7129129749</v>
      </c>
      <c r="P255" s="845"/>
      <c r="R255" s="358"/>
    </row>
    <row r="256" spans="1:18">
      <c r="A256" s="112">
        <f t="shared" si="65"/>
        <v>242</v>
      </c>
      <c r="B256" s="957">
        <v>39910</v>
      </c>
      <c r="C256" s="205" t="s">
        <v>1182</v>
      </c>
      <c r="D256" s="364">
        <f>'[4]Gross Plant'!Q74</f>
        <v>301110.64</v>
      </c>
      <c r="E256" s="498">
        <v>0</v>
      </c>
      <c r="F256" s="503">
        <f>D256+E256</f>
        <v>301110.64</v>
      </c>
      <c r="G256" s="395">
        <v>1</v>
      </c>
      <c r="H256" s="395">
        <f>$H$233</f>
        <v>2.4788790000000002E-2</v>
      </c>
      <c r="I256" s="364">
        <f t="shared" si="71"/>
        <v>7464.1684217256006</v>
      </c>
      <c r="K256" s="364">
        <f>'[4]Gross Plant'!C74</f>
        <v>301110.64000000007</v>
      </c>
      <c r="L256" s="395">
        <f>G256</f>
        <v>1</v>
      </c>
      <c r="M256" s="395">
        <f>H256</f>
        <v>2.4788790000000002E-2</v>
      </c>
      <c r="N256" s="364">
        <f t="shared" si="74"/>
        <v>7464.1684217256025</v>
      </c>
      <c r="P256" s="845"/>
      <c r="R256" s="358"/>
    </row>
    <row r="257" spans="1:18">
      <c r="A257" s="112">
        <f t="shared" si="65"/>
        <v>243</v>
      </c>
      <c r="B257" s="957">
        <v>39916</v>
      </c>
      <c r="C257" s="72" t="s">
        <v>1183</v>
      </c>
      <c r="D257" s="364">
        <f>'[4]Gross Plant'!Q75</f>
        <v>72356.72</v>
      </c>
      <c r="E257" s="498">
        <v>0</v>
      </c>
      <c r="F257" s="503">
        <f t="shared" ref="F257:F260" si="91">D257+E257</f>
        <v>72356.72</v>
      </c>
      <c r="G257" s="395">
        <v>1</v>
      </c>
      <c r="H257" s="395">
        <f>$H$233</f>
        <v>2.4788790000000002E-2</v>
      </c>
      <c r="I257" s="364">
        <f t="shared" si="71"/>
        <v>1793.6355371688001</v>
      </c>
      <c r="K257" s="364">
        <f>'[4]Gross Plant'!C75</f>
        <v>72356.719999999987</v>
      </c>
      <c r="L257" s="395">
        <f t="shared" ref="L257:L258" si="92">G257</f>
        <v>1</v>
      </c>
      <c r="M257" s="395">
        <f t="shared" ref="M257:M258" si="93">H257</f>
        <v>2.4788790000000002E-2</v>
      </c>
      <c r="N257" s="364">
        <f t="shared" si="74"/>
        <v>1793.6355371687998</v>
      </c>
      <c r="P257" s="845"/>
      <c r="R257" s="358"/>
    </row>
    <row r="258" spans="1:18">
      <c r="A258" s="112">
        <f t="shared" si="65"/>
        <v>244</v>
      </c>
      <c r="B258" s="957">
        <v>39917</v>
      </c>
      <c r="C258" s="72" t="s">
        <v>1184</v>
      </c>
      <c r="D258" s="364">
        <f>'[4]Gross Plant'!Q76</f>
        <v>3299.04</v>
      </c>
      <c r="E258" s="498">
        <v>0</v>
      </c>
      <c r="F258" s="503">
        <f t="shared" si="91"/>
        <v>3299.04</v>
      </c>
      <c r="G258" s="395">
        <v>1</v>
      </c>
      <c r="H258" s="395">
        <f>$H$233</f>
        <v>2.4788790000000002E-2</v>
      </c>
      <c r="I258" s="364">
        <f t="shared" si="71"/>
        <v>81.779209761600001</v>
      </c>
      <c r="K258" s="364">
        <f>'[4]Gross Plant'!C76</f>
        <v>3299.0400000000004</v>
      </c>
      <c r="L258" s="395">
        <f t="shared" si="92"/>
        <v>1</v>
      </c>
      <c r="M258" s="395">
        <f t="shared" si="93"/>
        <v>2.4788790000000002E-2</v>
      </c>
      <c r="N258" s="364">
        <f t="shared" si="74"/>
        <v>81.779209761600015</v>
      </c>
      <c r="P258" s="845"/>
      <c r="R258" s="358"/>
    </row>
    <row r="259" spans="1:18">
      <c r="A259" s="112">
        <f t="shared" si="65"/>
        <v>245</v>
      </c>
      <c r="B259" s="957">
        <v>39918</v>
      </c>
      <c r="C259" s="72" t="s">
        <v>1455</v>
      </c>
      <c r="D259" s="364">
        <f>'[4]Gross Plant'!Q77</f>
        <v>0</v>
      </c>
      <c r="E259" s="498">
        <v>0</v>
      </c>
      <c r="F259" s="503">
        <f t="shared" si="91"/>
        <v>0</v>
      </c>
      <c r="G259" s="395">
        <v>1</v>
      </c>
      <c r="H259" s="395">
        <f>$H$233</f>
        <v>2.4788790000000002E-2</v>
      </c>
      <c r="I259" s="364">
        <f t="shared" si="71"/>
        <v>0</v>
      </c>
      <c r="K259" s="364">
        <f>'[4]Gross Plant'!C77</f>
        <v>0</v>
      </c>
      <c r="L259" s="395">
        <f t="shared" ref="L259:L260" si="94">G259</f>
        <v>1</v>
      </c>
      <c r="M259" s="395">
        <f t="shared" ref="M259:M260" si="95">H259</f>
        <v>2.4788790000000002E-2</v>
      </c>
      <c r="N259" s="364">
        <f t="shared" si="74"/>
        <v>0</v>
      </c>
      <c r="P259" s="845"/>
      <c r="R259" s="358"/>
    </row>
    <row r="260" spans="1:18">
      <c r="A260" s="112">
        <f t="shared" si="65"/>
        <v>246</v>
      </c>
      <c r="B260" s="957">
        <v>39924</v>
      </c>
      <c r="C260" s="72" t="s">
        <v>1456</v>
      </c>
      <c r="D260" s="364">
        <f>'[4]Gross Plant'!Q78</f>
        <v>0</v>
      </c>
      <c r="E260" s="498">
        <v>0</v>
      </c>
      <c r="F260" s="503">
        <f t="shared" si="91"/>
        <v>0</v>
      </c>
      <c r="G260" s="395">
        <f t="shared" ref="G260" si="96">$G$232</f>
        <v>0.11020000000000001</v>
      </c>
      <c r="H260" s="395">
        <f t="shared" ref="H260" si="97">$H$232</f>
        <v>0.50429999999999997</v>
      </c>
      <c r="I260" s="364">
        <f t="shared" si="71"/>
        <v>0</v>
      </c>
      <c r="K260" s="364">
        <f>'[4]Gross Plant'!C78</f>
        <v>0</v>
      </c>
      <c r="L260" s="395">
        <f t="shared" si="94"/>
        <v>0.11020000000000001</v>
      </c>
      <c r="M260" s="395">
        <f t="shared" si="95"/>
        <v>0.50429999999999997</v>
      </c>
      <c r="N260" s="364">
        <f t="shared" si="74"/>
        <v>0</v>
      </c>
      <c r="P260" s="845"/>
      <c r="R260" s="358"/>
    </row>
    <row r="261" spans="1:18">
      <c r="A261" s="112">
        <f t="shared" si="65"/>
        <v>247</v>
      </c>
      <c r="B261" s="172"/>
      <c r="C261" s="205"/>
      <c r="D261" s="499"/>
      <c r="E261" s="499"/>
      <c r="F261" s="499"/>
      <c r="I261" s="499"/>
      <c r="K261" s="499"/>
      <c r="N261" s="499"/>
    </row>
    <row r="262" spans="1:18" ht="15.75" thickBot="1">
      <c r="A262" s="112">
        <f t="shared" si="65"/>
        <v>248</v>
      </c>
      <c r="B262" s="172"/>
      <c r="C262" s="205" t="s">
        <v>1274</v>
      </c>
      <c r="D262" s="1060">
        <f>SUM(D232:D260)</f>
        <v>152383442.46999997</v>
      </c>
      <c r="E262" s="1060">
        <f>SUM(E232:E260)</f>
        <v>0</v>
      </c>
      <c r="F262" s="1060">
        <f>SUM(F232:F260)</f>
        <v>152383442.46999997</v>
      </c>
      <c r="G262" s="825"/>
      <c r="H262" s="825"/>
      <c r="I262" s="1060">
        <f>SUM(I232:I260)</f>
        <v>7946770.7162568728</v>
      </c>
      <c r="J262" s="650"/>
      <c r="K262" s="1060">
        <f>SUM(K232:K260)</f>
        <v>151630646.78846151</v>
      </c>
      <c r="L262" s="825"/>
      <c r="M262" s="825"/>
      <c r="N262" s="1060">
        <f>SUM(N232:N260)</f>
        <v>7904934.9544424498</v>
      </c>
      <c r="P262" s="498"/>
      <c r="Q262" s="498"/>
    </row>
    <row r="263" spans="1:18" ht="15.75" thickTop="1">
      <c r="A263" s="112">
        <f t="shared" si="65"/>
        <v>249</v>
      </c>
      <c r="B263" s="172"/>
      <c r="C263" s="205"/>
      <c r="D263" s="287"/>
      <c r="E263" s="287"/>
      <c r="F263" s="287"/>
      <c r="I263" s="287"/>
      <c r="K263" s="287"/>
      <c r="N263" s="287"/>
    </row>
    <row r="264" spans="1:18">
      <c r="A264" s="112">
        <f t="shared" si="65"/>
        <v>250</v>
      </c>
      <c r="B264" s="172"/>
      <c r="C264" s="172" t="s">
        <v>1635</v>
      </c>
      <c r="D264" s="290">
        <f>'[4]Gross Plant'!$Q$215</f>
        <v>463343.83999999997</v>
      </c>
      <c r="E264" s="290">
        <f>-D264</f>
        <v>-463343.83999999997</v>
      </c>
      <c r="F264" s="290">
        <f>D264+E264</f>
        <v>0</v>
      </c>
      <c r="G264" s="395">
        <f>$G$232</f>
        <v>0.11020000000000001</v>
      </c>
      <c r="H264" s="395">
        <f>$H$232</f>
        <v>0.50429999999999997</v>
      </c>
      <c r="I264" s="290">
        <f>F264*G264*H264</f>
        <v>0</v>
      </c>
      <c r="K264" s="290">
        <f>'[4]Gross Plant'!$C$215*0</f>
        <v>0</v>
      </c>
      <c r="L264" s="395">
        <f>G264</f>
        <v>0.11020000000000001</v>
      </c>
      <c r="M264" s="395">
        <f>H264</f>
        <v>0.50429999999999997</v>
      </c>
      <c r="N264" s="290">
        <f>K264*L264*M264</f>
        <v>0</v>
      </c>
    </row>
    <row r="265" spans="1:18">
      <c r="A265" s="112">
        <f t="shared" si="65"/>
        <v>251</v>
      </c>
    </row>
    <row r="266" spans="1:18" ht="15.75" thickBot="1">
      <c r="A266" s="112">
        <f t="shared" si="65"/>
        <v>252</v>
      </c>
      <c r="C266" s="205" t="s">
        <v>742</v>
      </c>
      <c r="D266" s="1060">
        <f>D262+D225+D179+D117</f>
        <v>1203465668.8709192</v>
      </c>
      <c r="E266" s="1060">
        <f>E262+E225+E179+E117</f>
        <v>0</v>
      </c>
      <c r="F266" s="1060">
        <f>F262+F225+F179+F117</f>
        <v>1203465668.8709192</v>
      </c>
      <c r="I266" s="1060">
        <f>I262+I225+I179+I117</f>
        <v>833156701.83138514</v>
      </c>
      <c r="K266" s="1060">
        <f>K262+K225+K179+K117</f>
        <v>1162156485.3929138</v>
      </c>
      <c r="N266" s="1060">
        <f>N262+N225+N179+N117</f>
        <v>811748785.31804383</v>
      </c>
    </row>
    <row r="267" spans="1:18" ht="15.75" thickTop="1">
      <c r="A267" s="112">
        <f t="shared" si="65"/>
        <v>253</v>
      </c>
    </row>
    <row r="268" spans="1:18" ht="30.75" thickBot="1">
      <c r="A268" s="112">
        <f t="shared" si="65"/>
        <v>254</v>
      </c>
      <c r="C268" s="495" t="s">
        <v>5</v>
      </c>
      <c r="D268" s="1060">
        <f>D264+D227+D181+D119</f>
        <v>18200242.140000004</v>
      </c>
      <c r="E268" s="1060">
        <f>E264+E227+E181+E119</f>
        <v>-18200242.140000004</v>
      </c>
      <c r="F268" s="1060">
        <f>F264+F227+F181+F119</f>
        <v>0</v>
      </c>
      <c r="I268" s="1060">
        <f>I264+I227+I181+I119</f>
        <v>0</v>
      </c>
      <c r="K268" s="1060">
        <f>K264+K227+K181+K119</f>
        <v>0</v>
      </c>
      <c r="N268" s="1060">
        <f>N264+N227+N181+N119</f>
        <v>0</v>
      </c>
    </row>
    <row r="269" spans="1:18" ht="15.75" thickTop="1"/>
    <row r="272" spans="1:18">
      <c r="C272" s="72" t="s">
        <v>514</v>
      </c>
    </row>
    <row r="273" spans="3:3">
      <c r="C273" s="72" t="s">
        <v>1577</v>
      </c>
    </row>
    <row r="275" spans="3:3">
      <c r="C275" s="1010" t="s">
        <v>1636</v>
      </c>
    </row>
  </sheetData>
  <mergeCells count="4">
    <mergeCell ref="A1:N1"/>
    <mergeCell ref="A2:N2"/>
    <mergeCell ref="A3:N3"/>
    <mergeCell ref="A4:N4"/>
  </mergeCells>
  <phoneticPr fontId="21" type="noConversion"/>
  <pageMargins left="0.72" right="0.57999999999999996" top="1" bottom="1" header="0.5" footer="0.5"/>
  <pageSetup scale="52" orientation="landscape" r:id="rId1"/>
  <headerFooter alignWithMargins="0">
    <oddFooter>&amp;RSchedule &amp;A
Page &amp;P of &amp;N</oddFooter>
  </headerFooter>
  <rowBreaks count="6" manualBreakCount="6">
    <brk id="47" max="13" man="1"/>
    <brk id="86" max="13" man="1"/>
    <brk id="119" max="13" man="1"/>
    <brk id="152" max="13" man="1"/>
    <brk id="181" max="13" man="1"/>
    <brk id="228" max="13" man="1"/>
  </rowBreak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61">
    <pageSetUpPr fitToPage="1"/>
  </sheetPr>
  <dimension ref="A1:S17"/>
  <sheetViews>
    <sheetView view="pageBreakPreview" zoomScale="80" zoomScaleNormal="100" zoomScaleSheetLayoutView="80" workbookViewId="0">
      <selection sqref="A1:C1"/>
    </sheetView>
  </sheetViews>
  <sheetFormatPr defaultColWidth="10.109375" defaultRowHeight="15"/>
  <cols>
    <col min="1" max="1" width="5.77734375" style="1" customWidth="1"/>
    <col min="2" max="2" width="3.33203125" style="1" customWidth="1"/>
    <col min="3" max="3" width="14.44140625" style="1" customWidth="1"/>
    <col min="4" max="4" width="3.33203125" style="1" customWidth="1"/>
    <col min="5" max="5" width="6.6640625" style="1" customWidth="1"/>
    <col min="6" max="6" width="3.33203125" style="1" customWidth="1"/>
    <col min="7" max="7" width="11.88671875" style="1" customWidth="1"/>
    <col min="8" max="8" width="3.33203125" style="1" customWidth="1"/>
    <col min="9" max="9" width="13.5546875" style="1" customWidth="1"/>
    <col min="10" max="10" width="1.5546875" style="1" customWidth="1"/>
    <col min="11" max="11" width="8" style="1" customWidth="1"/>
    <col min="12" max="12" width="3.33203125" style="1" customWidth="1"/>
    <col min="13" max="13" width="11" style="1" customWidth="1"/>
    <col min="14" max="14" width="3.33203125" style="1" customWidth="1"/>
    <col min="15" max="15" width="11" style="1" customWidth="1"/>
    <col min="16" max="16" width="3.33203125" style="1" customWidth="1"/>
    <col min="17" max="17" width="12.6640625" style="1" customWidth="1"/>
    <col min="18" max="18" width="2.33203125" style="1" customWidth="1"/>
    <col min="19" max="19" width="12.6640625" style="1" customWidth="1"/>
    <col min="20" max="26" width="10.109375" style="1"/>
    <col min="27" max="27" width="12.6640625" style="1" customWidth="1"/>
    <col min="28" max="16384" width="10.109375" style="1"/>
  </cols>
  <sheetData>
    <row r="1" spans="1:19">
      <c r="A1" s="73"/>
      <c r="J1" s="92" t="str">
        <f>'Table of Contents'!A1</f>
        <v>Atmos Energy Corporation, Kentucky/Mid-States Division</v>
      </c>
    </row>
    <row r="2" spans="1:19">
      <c r="J2" s="92" t="str">
        <f>'Table of Contents'!A2</f>
        <v>Kentucky Jurisdiction Case No. 2021-00214</v>
      </c>
    </row>
    <row r="3" spans="1:19">
      <c r="A3" s="14"/>
      <c r="J3" s="2" t="s">
        <v>1</v>
      </c>
    </row>
    <row r="4" spans="1:19">
      <c r="A4" s="14"/>
      <c r="J4" s="568"/>
    </row>
    <row r="5" spans="1:19">
      <c r="Q5" s="322"/>
      <c r="S5" s="322" t="s">
        <v>1357</v>
      </c>
    </row>
    <row r="6" spans="1:19">
      <c r="A6" s="4" t="s">
        <v>560</v>
      </c>
      <c r="Q6" s="4"/>
      <c r="S6" s="413" t="s">
        <v>46</v>
      </c>
    </row>
    <row r="7" spans="1:19">
      <c r="A7" s="4" t="s">
        <v>1103</v>
      </c>
      <c r="Q7" s="4"/>
      <c r="S7" s="413" t="s">
        <v>845</v>
      </c>
    </row>
    <row r="8" spans="1:19">
      <c r="A8" s="5" t="s">
        <v>363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5"/>
      <c r="R8" s="6"/>
      <c r="S8" s="1058" t="str">
        <f>'J-1 Base'!$M$9</f>
        <v>Witness: Christian</v>
      </c>
    </row>
    <row r="10" spans="1:19">
      <c r="I10" s="2" t="s">
        <v>352</v>
      </c>
      <c r="M10" s="2" t="s">
        <v>355</v>
      </c>
    </row>
    <row r="11" spans="1:19">
      <c r="A11" s="2" t="s">
        <v>92</v>
      </c>
      <c r="C11" s="2" t="s">
        <v>392</v>
      </c>
      <c r="E11" s="2" t="s">
        <v>34</v>
      </c>
      <c r="G11" s="2" t="s">
        <v>103</v>
      </c>
      <c r="I11" s="2" t="s">
        <v>353</v>
      </c>
      <c r="K11" s="2" t="s">
        <v>350</v>
      </c>
      <c r="M11" s="2" t="s">
        <v>356</v>
      </c>
      <c r="O11" s="2" t="s">
        <v>358</v>
      </c>
      <c r="Q11" s="2" t="s">
        <v>1138</v>
      </c>
      <c r="S11" s="2" t="s">
        <v>361</v>
      </c>
    </row>
    <row r="12" spans="1:19">
      <c r="A12" s="2" t="s">
        <v>98</v>
      </c>
      <c r="C12" s="2" t="s">
        <v>494</v>
      </c>
      <c r="E12" s="2" t="s">
        <v>351</v>
      </c>
      <c r="G12" s="2" t="s">
        <v>347</v>
      </c>
      <c r="I12" s="2" t="s">
        <v>354</v>
      </c>
      <c r="K12" s="2" t="s">
        <v>268</v>
      </c>
      <c r="L12" s="15"/>
      <c r="M12" s="2" t="s">
        <v>357</v>
      </c>
      <c r="O12" s="2" t="s">
        <v>359</v>
      </c>
      <c r="Q12" s="2" t="s">
        <v>360</v>
      </c>
      <c r="S12" s="2" t="s">
        <v>362</v>
      </c>
    </row>
    <row r="13" spans="1:19">
      <c r="A13" s="6"/>
      <c r="B13" s="6"/>
      <c r="C13" s="6"/>
      <c r="D13" s="6"/>
      <c r="E13" s="9" t="s">
        <v>1065</v>
      </c>
      <c r="F13" s="6"/>
      <c r="G13" s="9" t="s">
        <v>1066</v>
      </c>
      <c r="H13" s="6"/>
      <c r="I13" s="9" t="s">
        <v>1067</v>
      </c>
      <c r="J13" s="6"/>
      <c r="K13" s="9" t="s">
        <v>15</v>
      </c>
      <c r="L13" s="6"/>
      <c r="M13" s="9" t="s">
        <v>37</v>
      </c>
      <c r="N13" s="6"/>
      <c r="O13" s="9" t="s">
        <v>519</v>
      </c>
      <c r="P13" s="6"/>
      <c r="Q13" s="9" t="s">
        <v>38</v>
      </c>
      <c r="R13" s="6"/>
      <c r="S13" s="9" t="s">
        <v>608</v>
      </c>
    </row>
    <row r="15" spans="1:19">
      <c r="F15" s="10"/>
      <c r="G15" s="10"/>
      <c r="H15" s="11"/>
      <c r="I15" s="3"/>
      <c r="J15" s="3"/>
      <c r="K15" s="19" t="s">
        <v>388</v>
      </c>
      <c r="L15" s="10"/>
      <c r="M15" s="10"/>
      <c r="N15" s="10"/>
      <c r="O15" s="10"/>
      <c r="P15" s="10"/>
      <c r="Q15" s="10"/>
    </row>
    <row r="16" spans="1:19">
      <c r="F16" s="10"/>
      <c r="G16" s="10"/>
      <c r="H16" s="10"/>
      <c r="I16" s="3"/>
      <c r="J16" s="10"/>
      <c r="K16" s="10"/>
      <c r="L16" s="10"/>
      <c r="M16" s="10"/>
      <c r="N16" s="10"/>
      <c r="O16" s="10"/>
      <c r="P16" s="10"/>
      <c r="Q16" s="10"/>
    </row>
    <row r="17" spans="6:17">
      <c r="F17" s="10"/>
      <c r="G17" s="10"/>
      <c r="H17" s="11"/>
      <c r="I17" s="3"/>
      <c r="J17" s="3"/>
      <c r="K17" s="10"/>
      <c r="L17" s="10"/>
      <c r="M17" s="10"/>
      <c r="N17" s="10"/>
      <c r="O17" s="10"/>
      <c r="P17" s="10"/>
      <c r="Q17" s="10"/>
    </row>
  </sheetData>
  <phoneticPr fontId="21" type="noConversion"/>
  <printOptions horizontalCentered="1"/>
  <pageMargins left="0.66" right="0.71" top="0.91" bottom="1" header="0.5" footer="0.5"/>
  <pageSetup scale="76" orientation="landscape" verticalDpi="300" r:id="rId1"/>
  <headerFooter alignWithMargins="0">
    <oddFooter>&amp;RSchedule &amp;A
Page &amp;P of &amp;N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Sheet96">
    <pageSetUpPr fitToPage="1"/>
  </sheetPr>
  <dimension ref="A1:W29"/>
  <sheetViews>
    <sheetView view="pageBreakPreview" topLeftCell="B1" zoomScale="80" zoomScaleNormal="100" zoomScaleSheetLayoutView="80" workbookViewId="0">
      <selection sqref="A1:M1"/>
    </sheetView>
  </sheetViews>
  <sheetFormatPr defaultColWidth="10.109375" defaultRowHeight="15"/>
  <cols>
    <col min="1" max="1" width="5" style="1" customWidth="1"/>
    <col min="2" max="2" width="4.77734375" style="1" customWidth="1"/>
    <col min="3" max="3" width="16.109375" style="1" customWidth="1"/>
    <col min="4" max="4" width="5" style="1" customWidth="1"/>
    <col min="5" max="5" width="11" style="1" customWidth="1"/>
    <col min="6" max="6" width="5" style="1" customWidth="1"/>
    <col min="7" max="7" width="16.21875" style="1" customWidth="1"/>
    <col min="8" max="8" width="5" style="1" customWidth="1"/>
    <col min="9" max="9" width="10.109375" style="1"/>
    <col min="10" max="10" width="5" style="1" customWidth="1"/>
    <col min="11" max="11" width="10.109375" style="1"/>
    <col min="12" max="12" width="5" style="1" customWidth="1"/>
    <col min="13" max="13" width="10.6640625" style="1" customWidth="1"/>
    <col min="14" max="14" width="6.6640625" style="1" customWidth="1"/>
    <col min="15" max="15" width="12.5546875" style="1" customWidth="1"/>
    <col min="16" max="16" width="2.44140625" style="1" customWidth="1"/>
    <col min="17" max="17" width="10.109375" style="1"/>
    <col min="18" max="18" width="2.44140625" style="1" customWidth="1"/>
    <col min="19" max="19" width="10.109375" style="1"/>
    <col min="20" max="20" width="2.44140625" style="1" customWidth="1"/>
    <col min="21" max="21" width="10.109375" style="1"/>
    <col min="22" max="22" width="6.6640625" style="1" customWidth="1"/>
    <col min="23" max="16384" width="10.109375" style="1"/>
  </cols>
  <sheetData>
    <row r="1" spans="1:23">
      <c r="A1" s="1270" t="str">
        <f>'Table of Contents'!A1:C1</f>
        <v>Atmos Energy Corporation, Kentucky/Mid-States Division</v>
      </c>
      <c r="B1" s="1270"/>
      <c r="C1" s="1270"/>
      <c r="D1" s="1270"/>
      <c r="E1" s="1270"/>
      <c r="F1" s="1270"/>
      <c r="G1" s="1270"/>
      <c r="H1" s="1270"/>
      <c r="I1" s="1270"/>
      <c r="J1" s="1270"/>
      <c r="K1" s="1270"/>
      <c r="L1" s="1270"/>
      <c r="M1" s="1270"/>
      <c r="O1" s="10"/>
    </row>
    <row r="2" spans="1:23">
      <c r="A2" s="1270" t="str">
        <f>'Table of Contents'!A2:C2</f>
        <v>Kentucky Jurisdiction Case No. 2021-00214</v>
      </c>
      <c r="B2" s="1270"/>
      <c r="C2" s="1270"/>
      <c r="D2" s="1270"/>
      <c r="E2" s="1270"/>
      <c r="F2" s="1270"/>
      <c r="G2" s="1270"/>
      <c r="H2" s="1270"/>
      <c r="I2" s="1270"/>
      <c r="J2" s="1270"/>
      <c r="K2" s="1270"/>
      <c r="L2" s="1270"/>
      <c r="M2" s="1270"/>
    </row>
    <row r="3" spans="1:23">
      <c r="A3" s="1271" t="s">
        <v>2</v>
      </c>
      <c r="B3" s="1271"/>
      <c r="C3" s="1271"/>
      <c r="D3" s="1271"/>
      <c r="E3" s="1271"/>
      <c r="F3" s="1271"/>
      <c r="G3" s="1271"/>
      <c r="H3" s="1271"/>
      <c r="I3" s="1271"/>
      <c r="J3" s="1271"/>
      <c r="K3" s="1271"/>
      <c r="L3" s="1271"/>
      <c r="M3" s="1271"/>
    </row>
    <row r="4" spans="1:23">
      <c r="A4" s="1271" t="s">
        <v>1560</v>
      </c>
      <c r="B4" s="1271"/>
      <c r="C4" s="1271"/>
      <c r="D4" s="1271"/>
      <c r="E4" s="1271"/>
      <c r="F4" s="1271"/>
      <c r="G4" s="1271"/>
      <c r="H4" s="1271"/>
      <c r="I4" s="1271"/>
      <c r="J4" s="1271"/>
      <c r="K4" s="1271"/>
      <c r="L4" s="1271"/>
      <c r="M4" s="1271"/>
    </row>
    <row r="7" spans="1:23">
      <c r="A7" s="4" t="s">
        <v>1127</v>
      </c>
      <c r="M7" s="322" t="s">
        <v>1357</v>
      </c>
    </row>
    <row r="8" spans="1:23">
      <c r="A8" s="60" t="s">
        <v>610</v>
      </c>
      <c r="K8" s="4"/>
      <c r="M8" s="413" t="s">
        <v>769</v>
      </c>
    </row>
    <row r="9" spans="1:23">
      <c r="A9" s="5" t="s">
        <v>363</v>
      </c>
      <c r="B9" s="6"/>
      <c r="C9" s="6"/>
      <c r="D9" s="6"/>
      <c r="E9" s="6"/>
      <c r="F9" s="6"/>
      <c r="G9" s="6"/>
      <c r="H9" s="6"/>
      <c r="I9" s="6"/>
      <c r="J9" s="6"/>
      <c r="K9" s="5"/>
      <c r="L9" s="6"/>
      <c r="M9" s="1058" t="str">
        <f>'J-1 Base'!$M$9</f>
        <v>Witness: Christian</v>
      </c>
    </row>
    <row r="10" spans="1:23">
      <c r="L10" s="15"/>
      <c r="M10" s="15"/>
      <c r="N10" s="15"/>
    </row>
    <row r="11" spans="1:23">
      <c r="A11" s="2" t="s">
        <v>92</v>
      </c>
      <c r="E11" s="2" t="s">
        <v>94</v>
      </c>
      <c r="I11" s="2" t="s">
        <v>102</v>
      </c>
      <c r="M11" s="2" t="s">
        <v>346</v>
      </c>
    </row>
    <row r="12" spans="1:23">
      <c r="A12" s="9" t="s">
        <v>98</v>
      </c>
      <c r="B12" s="6"/>
      <c r="C12" s="5" t="s">
        <v>345</v>
      </c>
      <c r="D12" s="6"/>
      <c r="E12" s="9" t="s">
        <v>100</v>
      </c>
      <c r="F12" s="6"/>
      <c r="G12" s="9" t="s">
        <v>103</v>
      </c>
      <c r="H12" s="6"/>
      <c r="I12" s="9" t="s">
        <v>40</v>
      </c>
      <c r="J12" s="6"/>
      <c r="K12" s="9" t="s">
        <v>1138</v>
      </c>
      <c r="L12" s="6"/>
      <c r="M12" s="9" t="s">
        <v>0</v>
      </c>
      <c r="O12" s="644"/>
      <c r="P12" s="10"/>
      <c r="Q12" s="10"/>
      <c r="R12" s="10"/>
      <c r="S12" s="10"/>
      <c r="T12" s="10"/>
    </row>
    <row r="13" spans="1:23">
      <c r="E13" s="2" t="s">
        <v>1065</v>
      </c>
      <c r="G13" s="2" t="s">
        <v>1066</v>
      </c>
      <c r="I13" s="2" t="s">
        <v>1067</v>
      </c>
      <c r="K13" s="2" t="s">
        <v>15</v>
      </c>
      <c r="M13" s="2" t="s">
        <v>37</v>
      </c>
      <c r="O13" s="536"/>
      <c r="P13" s="10"/>
      <c r="Q13" s="10"/>
      <c r="R13" s="10"/>
      <c r="S13" s="10"/>
      <c r="T13" s="10"/>
    </row>
    <row r="14" spans="1:23">
      <c r="G14" s="2" t="s">
        <v>618</v>
      </c>
      <c r="K14" s="2" t="s">
        <v>148</v>
      </c>
      <c r="M14" s="2" t="s">
        <v>148</v>
      </c>
      <c r="O14" s="65"/>
      <c r="P14" s="65"/>
      <c r="Q14" s="73"/>
      <c r="R14" s="65"/>
      <c r="S14" s="65"/>
      <c r="T14" s="65"/>
      <c r="U14" s="73"/>
      <c r="V14" s="73"/>
      <c r="W14" s="73"/>
    </row>
    <row r="15" spans="1:23">
      <c r="O15" s="65"/>
      <c r="P15" s="65"/>
      <c r="Q15" s="73"/>
      <c r="R15" s="65"/>
      <c r="S15" s="65"/>
      <c r="T15" s="65"/>
      <c r="U15" s="73"/>
      <c r="V15" s="73"/>
      <c r="W15" s="73"/>
    </row>
    <row r="16" spans="1:23">
      <c r="E16" s="10"/>
      <c r="F16" s="10"/>
      <c r="G16" s="10"/>
      <c r="H16" s="10"/>
      <c r="I16" s="11"/>
      <c r="J16" s="10"/>
      <c r="K16" s="3"/>
      <c r="L16" s="10"/>
      <c r="M16" s="3"/>
      <c r="N16" s="10"/>
      <c r="O16"/>
    </row>
    <row r="17" spans="1:20">
      <c r="E17" s="10"/>
      <c r="F17" s="10"/>
      <c r="G17" s="10"/>
      <c r="H17" s="10"/>
      <c r="I17" s="39"/>
      <c r="J17" s="10"/>
      <c r="K17" s="10"/>
      <c r="L17" s="10"/>
      <c r="M17" s="10"/>
      <c r="N17" s="10"/>
      <c r="O17"/>
    </row>
    <row r="18" spans="1:20" ht="15.75">
      <c r="C18" s="173" t="s">
        <v>1420</v>
      </c>
      <c r="E18" s="10"/>
      <c r="F18" s="10"/>
      <c r="G18" s="162"/>
      <c r="H18" s="10"/>
      <c r="I18" s="11"/>
      <c r="J18" s="10"/>
      <c r="K18" s="3"/>
      <c r="L18" s="10"/>
      <c r="M18" s="3"/>
      <c r="N18" s="10"/>
      <c r="O18"/>
    </row>
    <row r="19" spans="1:20">
      <c r="A19" s="4"/>
      <c r="C19" s="4"/>
      <c r="E19" s="10"/>
      <c r="F19" s="10"/>
      <c r="G19" s="10"/>
      <c r="H19" s="10"/>
      <c r="I19" s="10"/>
      <c r="J19" s="10"/>
      <c r="K19" s="3"/>
      <c r="L19" s="10"/>
      <c r="M19" s="10"/>
      <c r="N19" s="10"/>
      <c r="O19"/>
    </row>
    <row r="20" spans="1:20">
      <c r="A20" s="632">
        <v>6</v>
      </c>
      <c r="C20" s="4" t="s">
        <v>270</v>
      </c>
      <c r="E20" s="19"/>
      <c r="F20" s="10"/>
      <c r="G20" s="1067">
        <f>J.1!P17</f>
        <v>21556.707437275982</v>
      </c>
      <c r="H20" s="10"/>
      <c r="I20" s="466">
        <f>G20/$G$28</f>
        <v>1.8009634120039429E-3</v>
      </c>
      <c r="J20" s="10"/>
      <c r="K20" s="103">
        <f>ROUND(+'J-2 F'!L20,4)</f>
        <v>0.25169999999999998</v>
      </c>
      <c r="L20" s="10"/>
      <c r="M20" s="40">
        <f>ROUND(I20*K20,4)</f>
        <v>5.0000000000000001E-4</v>
      </c>
      <c r="N20" s="10"/>
      <c r="O20"/>
      <c r="P20" s="10"/>
      <c r="Q20" s="10"/>
      <c r="R20" s="10"/>
      <c r="S20" s="10"/>
      <c r="T20" s="10"/>
    </row>
    <row r="21" spans="1:20">
      <c r="E21" s="10"/>
      <c r="F21" s="10"/>
      <c r="G21" s="55"/>
      <c r="H21" s="10"/>
      <c r="I21" s="104"/>
      <c r="J21" s="10"/>
      <c r="K21" s="103"/>
      <c r="L21" s="10"/>
      <c r="M21" s="40"/>
      <c r="N21" s="10"/>
      <c r="O21"/>
      <c r="P21" s="10"/>
      <c r="Q21" s="10"/>
      <c r="R21" s="10"/>
      <c r="S21" s="10"/>
      <c r="T21" s="10"/>
    </row>
    <row r="22" spans="1:20">
      <c r="A22" s="632">
        <v>7</v>
      </c>
      <c r="C22" s="4" t="s">
        <v>271</v>
      </c>
      <c r="E22" s="19" t="s">
        <v>274</v>
      </c>
      <c r="F22" s="10"/>
      <c r="G22" s="57">
        <f>+J.1!P19</f>
        <v>5119937.5239615394</v>
      </c>
      <c r="H22" s="10"/>
      <c r="I22" s="466">
        <f>G22/$G$28</f>
        <v>0.42774714919849488</v>
      </c>
      <c r="J22" s="10"/>
      <c r="K22" s="103">
        <f>ROUND('J-3 F'!K37,4)</f>
        <v>0.04</v>
      </c>
      <c r="L22" s="10"/>
      <c r="M22" s="40">
        <f>ROUND(I22*K22,4)</f>
        <v>1.7100000000000001E-2</v>
      </c>
      <c r="N22" s="10"/>
      <c r="O22"/>
    </row>
    <row r="23" spans="1:20">
      <c r="E23" s="10"/>
      <c r="F23" s="10"/>
      <c r="G23" s="57"/>
      <c r="H23" s="10"/>
      <c r="I23" s="104"/>
      <c r="J23" s="10"/>
      <c r="K23" s="40"/>
      <c r="L23" s="10"/>
      <c r="M23" s="40"/>
      <c r="N23" s="10"/>
      <c r="O23"/>
    </row>
    <row r="24" spans="1:20">
      <c r="A24" s="632">
        <v>8</v>
      </c>
      <c r="C24" s="4" t="s">
        <v>272</v>
      </c>
      <c r="E24" s="19" t="s">
        <v>275</v>
      </c>
      <c r="F24" s="10"/>
      <c r="G24" s="57">
        <f>+J.1!P23</f>
        <v>0</v>
      </c>
      <c r="H24" s="10"/>
      <c r="I24" s="466">
        <f>G24/$G$28</f>
        <v>0</v>
      </c>
      <c r="J24" s="10"/>
      <c r="K24" s="40">
        <v>0</v>
      </c>
      <c r="L24" s="10"/>
      <c r="M24" s="40">
        <f>ROUND(I24*K24,4)</f>
        <v>0</v>
      </c>
      <c r="N24" s="10"/>
      <c r="O24"/>
    </row>
    <row r="25" spans="1:20">
      <c r="E25" s="10"/>
      <c r="F25" s="10"/>
      <c r="G25" s="57"/>
      <c r="H25" s="10"/>
      <c r="I25" s="104"/>
      <c r="J25" s="10"/>
      <c r="K25" s="40"/>
      <c r="L25" s="10"/>
      <c r="M25" s="40"/>
      <c r="N25" s="10"/>
      <c r="O25"/>
    </row>
    <row r="26" spans="1:20">
      <c r="A26" s="632">
        <v>9</v>
      </c>
      <c r="C26" s="4" t="s">
        <v>273</v>
      </c>
      <c r="E26" s="10"/>
      <c r="F26" s="10"/>
      <c r="G26" s="1216">
        <f>+J.1!P25</f>
        <v>6828047.9001038456</v>
      </c>
      <c r="H26" s="10"/>
      <c r="I26" s="1204">
        <f>G26/$G$28</f>
        <v>0.57045188738950114</v>
      </c>
      <c r="J26" s="10"/>
      <c r="K26" s="40">
        <f>Allocation!E27</f>
        <v>0.10349999999999999</v>
      </c>
      <c r="L26" s="10"/>
      <c r="M26" s="1200">
        <f>ROUND(I26*K26,4)</f>
        <v>5.8999999999999997E-2</v>
      </c>
      <c r="N26" s="10"/>
      <c r="O26"/>
    </row>
    <row r="27" spans="1:20">
      <c r="G27" s="10"/>
      <c r="I27" s="865"/>
      <c r="K27" s="3"/>
      <c r="M27" s="41"/>
      <c r="O27"/>
    </row>
    <row r="28" spans="1:20" ht="15.75" thickBot="1">
      <c r="A28" s="2">
        <v>10</v>
      </c>
      <c r="C28" s="4" t="s">
        <v>397</v>
      </c>
      <c r="G28" s="1082">
        <f>SUM(G20:G26)</f>
        <v>11969542.131502662</v>
      </c>
      <c r="I28" s="1201">
        <f>SUM(I20:I26)</f>
        <v>1</v>
      </c>
      <c r="K28" s="11"/>
      <c r="M28" s="1202">
        <f>(+M20+M22+M24+M26)</f>
        <v>7.6600000000000001E-2</v>
      </c>
      <c r="O28"/>
    </row>
    <row r="29" spans="1:20" ht="15.75" thickTop="1"/>
  </sheetData>
  <mergeCells count="4">
    <mergeCell ref="A1:M1"/>
    <mergeCell ref="A2:M2"/>
    <mergeCell ref="A3:M3"/>
    <mergeCell ref="A4:M4"/>
  </mergeCells>
  <phoneticPr fontId="21" type="noConversion"/>
  <printOptions horizontalCentered="1"/>
  <pageMargins left="0.75" right="0.75" top="0.75" bottom="1.28" header="0.5" footer="0.43"/>
  <pageSetup scale="93" orientation="landscape" verticalDpi="300" r:id="rId1"/>
  <headerFooter alignWithMargins="0">
    <oddFooter>&amp;RSchedule &amp;A
Page &amp;P of &amp;N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Sheet98">
    <pageSetUpPr fitToPage="1"/>
  </sheetPr>
  <dimension ref="A1:N50"/>
  <sheetViews>
    <sheetView view="pageBreakPreview" zoomScale="80" zoomScaleNormal="100" zoomScaleSheetLayoutView="80" workbookViewId="0">
      <selection sqref="A1:K1"/>
    </sheetView>
  </sheetViews>
  <sheetFormatPr defaultColWidth="8.5546875" defaultRowHeight="15"/>
  <cols>
    <col min="1" max="1" width="3.88671875" style="95" customWidth="1"/>
    <col min="2" max="2" width="1" style="95" customWidth="1"/>
    <col min="3" max="3" width="53.5546875" style="95" bestFit="1" customWidth="1"/>
    <col min="4" max="4" width="4.109375" style="95" customWidth="1"/>
    <col min="5" max="5" width="14.88671875" style="95" customWidth="1"/>
    <col min="6" max="6" width="1.6640625" style="95" customWidth="1"/>
    <col min="7" max="7" width="6.44140625" style="95" customWidth="1"/>
    <col min="8" max="8" width="2" style="95" customWidth="1"/>
    <col min="9" max="9" width="13.33203125" style="95" customWidth="1"/>
    <col min="10" max="10" width="2.109375" style="95" customWidth="1"/>
    <col min="11" max="11" width="8.5546875" style="95" customWidth="1"/>
    <col min="12" max="12" width="8.5546875" style="95"/>
    <col min="13" max="13" width="12.6640625" style="95" customWidth="1"/>
    <col min="14" max="16384" width="8.5546875" style="95"/>
  </cols>
  <sheetData>
    <row r="1" spans="1:12">
      <c r="A1" s="1270" t="str">
        <f>'Table of Contents'!A1:C1</f>
        <v>Atmos Energy Corporation, Kentucky/Mid-States Division</v>
      </c>
      <c r="B1" s="1270"/>
      <c r="C1" s="1270"/>
      <c r="D1" s="1270"/>
      <c r="E1" s="1270"/>
      <c r="F1" s="1270"/>
      <c r="G1" s="1270"/>
      <c r="H1" s="1270"/>
      <c r="I1" s="1270"/>
      <c r="J1" s="1270"/>
      <c r="K1" s="1270"/>
    </row>
    <row r="2" spans="1:12">
      <c r="A2" s="1270" t="str">
        <f>'Table of Contents'!A2:C2</f>
        <v>Kentucky Jurisdiction Case No. 2021-00214</v>
      </c>
      <c r="B2" s="1270"/>
      <c r="C2" s="1270"/>
      <c r="D2" s="1270"/>
      <c r="E2" s="1270"/>
      <c r="F2" s="1270"/>
      <c r="G2" s="1270"/>
      <c r="H2" s="1270"/>
      <c r="I2" s="1270"/>
      <c r="J2" s="1270"/>
      <c r="K2" s="1270"/>
    </row>
    <row r="3" spans="1:12">
      <c r="A3" s="1270" t="s">
        <v>1068</v>
      </c>
      <c r="B3" s="1270"/>
      <c r="C3" s="1270"/>
      <c r="D3" s="1270"/>
      <c r="E3" s="1270"/>
      <c r="F3" s="1270"/>
      <c r="G3" s="1270"/>
      <c r="H3" s="1270"/>
      <c r="I3" s="1270"/>
      <c r="J3" s="1270"/>
      <c r="K3" s="1270"/>
    </row>
    <row r="4" spans="1:12">
      <c r="A4" s="1270" t="str">
        <f>'Table of Contents'!A4:C4</f>
        <v>Forecasted Test Period: Twelve Months Ended December 31, 2022</v>
      </c>
      <c r="B4" s="1270"/>
      <c r="C4" s="1270"/>
      <c r="D4" s="1270"/>
      <c r="E4" s="1270"/>
      <c r="F4" s="1270"/>
      <c r="G4" s="1270"/>
      <c r="H4" s="1270"/>
      <c r="I4" s="1270"/>
      <c r="J4" s="1270"/>
      <c r="K4" s="1270"/>
    </row>
    <row r="5" spans="1:12">
      <c r="A5" s="619"/>
      <c r="B5" s="619"/>
      <c r="C5" s="619"/>
      <c r="D5" s="619"/>
      <c r="E5" s="619"/>
      <c r="F5" s="619"/>
      <c r="G5" s="619"/>
      <c r="H5" s="619"/>
      <c r="I5" s="619"/>
      <c r="J5" s="619"/>
      <c r="K5" s="619"/>
    </row>
    <row r="6" spans="1:12">
      <c r="K6" s="772" t="s">
        <v>1357</v>
      </c>
    </row>
    <row r="7" spans="1:12">
      <c r="A7" s="472" t="s">
        <v>1127</v>
      </c>
      <c r="K7" s="745" t="s">
        <v>47</v>
      </c>
    </row>
    <row r="8" spans="1:12">
      <c r="A8" s="561" t="s">
        <v>610</v>
      </c>
      <c r="K8" s="745" t="s">
        <v>845</v>
      </c>
    </row>
    <row r="9" spans="1:12">
      <c r="A9" s="773" t="s">
        <v>363</v>
      </c>
      <c r="B9" s="752"/>
      <c r="C9" s="752"/>
      <c r="D9" s="752"/>
      <c r="E9" s="752"/>
      <c r="F9" s="752"/>
      <c r="G9" s="752"/>
      <c r="H9" s="752"/>
      <c r="I9" s="752"/>
      <c r="J9" s="779"/>
      <c r="K9" s="979" t="str">
        <f>'J-1 Base'!$M$9</f>
        <v>Witness: Christian</v>
      </c>
    </row>
    <row r="10" spans="1:12">
      <c r="E10" s="619" t="s">
        <v>1033</v>
      </c>
      <c r="I10" s="112" t="s">
        <v>348</v>
      </c>
      <c r="K10" s="112" t="s">
        <v>1125</v>
      </c>
    </row>
    <row r="11" spans="1:12">
      <c r="A11" s="112" t="s">
        <v>92</v>
      </c>
      <c r="E11" s="112" t="s">
        <v>103</v>
      </c>
      <c r="G11" s="112" t="s">
        <v>267</v>
      </c>
      <c r="I11" s="112" t="s">
        <v>349</v>
      </c>
      <c r="K11" s="112" t="s">
        <v>267</v>
      </c>
    </row>
    <row r="12" spans="1:12">
      <c r="A12" s="527" t="s">
        <v>98</v>
      </c>
      <c r="B12" s="752"/>
      <c r="C12" s="527" t="s">
        <v>350</v>
      </c>
      <c r="D12" s="752"/>
      <c r="E12" s="527" t="s">
        <v>347</v>
      </c>
      <c r="F12" s="752"/>
      <c r="G12" s="527" t="s">
        <v>565</v>
      </c>
      <c r="H12" s="752"/>
      <c r="I12" s="527" t="s">
        <v>0</v>
      </c>
      <c r="J12" s="752"/>
      <c r="K12" s="527" t="s">
        <v>565</v>
      </c>
    </row>
    <row r="13" spans="1:12">
      <c r="C13" s="112" t="s">
        <v>1065</v>
      </c>
      <c r="E13" s="112" t="s">
        <v>1066</v>
      </c>
      <c r="G13" s="112" t="s">
        <v>1067</v>
      </c>
      <c r="I13" s="112" t="s">
        <v>15</v>
      </c>
      <c r="K13" s="112" t="s">
        <v>167</v>
      </c>
    </row>
    <row r="14" spans="1:12">
      <c r="E14" s="112"/>
      <c r="I14" s="112"/>
    </row>
    <row r="16" spans="1:12">
      <c r="A16" s="112">
        <v>1</v>
      </c>
      <c r="C16" s="472" t="str">
        <f>'J-3 B'!C16</f>
        <v>6.75% Debentures Unsecured due July 2028</v>
      </c>
      <c r="E16" s="299">
        <f>'J-3 B'!E16</f>
        <v>150000000</v>
      </c>
      <c r="F16" s="100"/>
      <c r="G16" s="801">
        <f>'J-3 B'!G16</f>
        <v>6.7500000000000004E-2</v>
      </c>
      <c r="H16" s="125"/>
      <c r="I16" s="275">
        <f t="shared" ref="I16" si="0">(E16*G16)</f>
        <v>10125000</v>
      </c>
      <c r="J16" s="100"/>
      <c r="K16" s="814"/>
      <c r="L16" s="100"/>
    </row>
    <row r="17" spans="1:14">
      <c r="A17" s="112">
        <f>A16+1</f>
        <v>2</v>
      </c>
      <c r="C17" s="472" t="str">
        <f>'J-3 B'!C17</f>
        <v>6.67% MTN A1 due Dec 2025</v>
      </c>
      <c r="E17" s="78">
        <f>'J-3 B'!E17</f>
        <v>10000000</v>
      </c>
      <c r="F17" s="100"/>
      <c r="G17" s="801">
        <f>'J-3 B'!G17</f>
        <v>6.6699999999999995E-2</v>
      </c>
      <c r="H17" s="125"/>
      <c r="I17" s="307">
        <f t="shared" ref="I17:I28" si="1">(E17*G17)</f>
        <v>667000</v>
      </c>
    </row>
    <row r="18" spans="1:14">
      <c r="A18" s="112">
        <f t="shared" ref="A18:A37" si="2">A17+1</f>
        <v>3</v>
      </c>
      <c r="C18" s="472" t="str">
        <f>'J-3 B'!C18</f>
        <v>5.95% Sr Note due 10/15/2034</v>
      </c>
      <c r="E18" s="78">
        <f>'J-3 B'!E18</f>
        <v>200000000</v>
      </c>
      <c r="G18" s="801">
        <f>'J-3 B'!G18</f>
        <v>5.9499999999999997E-2</v>
      </c>
      <c r="H18" s="100"/>
      <c r="I18" s="307">
        <f t="shared" si="1"/>
        <v>11900000</v>
      </c>
      <c r="J18" s="100"/>
      <c r="K18" s="814"/>
      <c r="L18" s="100"/>
    </row>
    <row r="19" spans="1:14">
      <c r="A19" s="112">
        <f t="shared" si="2"/>
        <v>4</v>
      </c>
      <c r="C19" s="472" t="str">
        <f>'J-3 B'!C19</f>
        <v>4.3% Sr Note due 10/1/2048</v>
      </c>
      <c r="E19" s="78">
        <f>'J-3 B'!E19</f>
        <v>600000000</v>
      </c>
      <c r="G19" s="801">
        <f>'J-3 B'!G19</f>
        <v>4.2999999999999997E-2</v>
      </c>
      <c r="H19" s="125"/>
      <c r="I19" s="307">
        <f t="shared" si="1"/>
        <v>25799999.999999996</v>
      </c>
      <c r="J19" s="100"/>
      <c r="K19" s="814"/>
      <c r="L19" s="100"/>
    </row>
    <row r="20" spans="1:14">
      <c r="A20" s="112">
        <f t="shared" si="2"/>
        <v>5</v>
      </c>
      <c r="C20" s="472" t="str">
        <f>'J-3 B'!C20</f>
        <v>Sr Note 5.50% Due 06/15/2041</v>
      </c>
      <c r="E20" s="78">
        <f>'J-3 B'!E20</f>
        <v>400000000</v>
      </c>
      <c r="G20" s="801">
        <f>'J-3 B'!G20</f>
        <v>5.5E-2</v>
      </c>
      <c r="H20" s="125"/>
      <c r="I20" s="307">
        <f t="shared" si="1"/>
        <v>22000000</v>
      </c>
      <c r="J20" s="100"/>
      <c r="K20" s="814"/>
      <c r="L20" s="100"/>
    </row>
    <row r="21" spans="1:14">
      <c r="A21" s="112">
        <f t="shared" si="2"/>
        <v>6</v>
      </c>
      <c r="C21" s="472" t="str">
        <f>'J-3 B'!C21</f>
        <v>4.15% Sr Note due 1/15/2043</v>
      </c>
      <c r="E21" s="78">
        <f>'J-3 B'!E21</f>
        <v>500000000</v>
      </c>
      <c r="G21" s="801">
        <f>'J-3 B'!G21</f>
        <v>4.1500000000000002E-2</v>
      </c>
      <c r="H21" s="125"/>
      <c r="I21" s="307">
        <f t="shared" si="1"/>
        <v>20750000</v>
      </c>
      <c r="J21" s="100"/>
      <c r="K21" s="814"/>
      <c r="L21" s="100"/>
    </row>
    <row r="22" spans="1:14">
      <c r="A22" s="112">
        <f t="shared" si="2"/>
        <v>7</v>
      </c>
      <c r="C22" s="472" t="str">
        <f>'J-3 B'!C22</f>
        <v>4.125% Sr Note due 10/15/2044 (500MM(2014) &amp; 250MM(2017)</v>
      </c>
      <c r="E22" s="78">
        <f>'J-3 B'!E22</f>
        <v>750000000</v>
      </c>
      <c r="G22" s="801">
        <f>'J-3 B'!G22</f>
        <v>4.1250000000000002E-2</v>
      </c>
      <c r="H22" s="125"/>
      <c r="I22" s="307">
        <f t="shared" si="1"/>
        <v>30937500</v>
      </c>
      <c r="J22" s="100"/>
      <c r="K22" s="814"/>
      <c r="L22" s="100"/>
    </row>
    <row r="23" spans="1:14">
      <c r="A23" s="112">
        <f t="shared" si="2"/>
        <v>8</v>
      </c>
      <c r="C23" s="472" t="str">
        <f>'J-3 B'!C23</f>
        <v>3.00% Sr Note due 6/15/2027</v>
      </c>
      <c r="E23" s="78">
        <f>'J-3 B'!E23</f>
        <v>500000000</v>
      </c>
      <c r="G23" s="801">
        <f>'J-3 B'!G23</f>
        <v>0.03</v>
      </c>
      <c r="H23" s="125"/>
      <c r="I23" s="307">
        <f t="shared" si="1"/>
        <v>15000000</v>
      </c>
      <c r="J23" s="100"/>
      <c r="K23" s="814"/>
      <c r="L23" s="100"/>
    </row>
    <row r="24" spans="1:14">
      <c r="A24" s="112">
        <f t="shared" si="2"/>
        <v>9</v>
      </c>
      <c r="C24" s="472" t="str">
        <f>'J-3 B'!C24</f>
        <v>4.125% Sr Note due 3/15/49</v>
      </c>
      <c r="E24" s="78">
        <f>'J-3 B'!E24</f>
        <v>450000000</v>
      </c>
      <c r="G24" s="801">
        <f>'J-3 B'!G24</f>
        <v>4.1250000000000002E-2</v>
      </c>
      <c r="H24" s="125"/>
      <c r="I24" s="307">
        <f t="shared" si="1"/>
        <v>18562500</v>
      </c>
      <c r="J24" s="100"/>
      <c r="K24" s="814"/>
      <c r="L24" s="100"/>
    </row>
    <row r="25" spans="1:14">
      <c r="A25" s="112">
        <f t="shared" si="2"/>
        <v>10</v>
      </c>
      <c r="C25" s="472" t="str">
        <f>'J-3 B'!C25</f>
        <v xml:space="preserve">2.625% Sr Notes Due 2029 </v>
      </c>
      <c r="E25" s="78">
        <f>'J-3 B'!E25</f>
        <v>300000000</v>
      </c>
      <c r="G25" s="801">
        <f>'J-3 B'!G25</f>
        <v>2.6249999999999999E-2</v>
      </c>
      <c r="H25" s="125"/>
      <c r="I25" s="307">
        <f t="shared" si="1"/>
        <v>7875000</v>
      </c>
      <c r="J25" s="100"/>
      <c r="K25" s="814"/>
    </row>
    <row r="26" spans="1:14">
      <c r="A26" s="112">
        <f t="shared" si="2"/>
        <v>11</v>
      </c>
      <c r="C26" s="472" t="str">
        <f>'J-3 B'!C26</f>
        <v xml:space="preserve">3.375% Sr Notes Due 2049 </v>
      </c>
      <c r="E26" s="78">
        <f>'J-3 B'!E26</f>
        <v>500000000</v>
      </c>
      <c r="G26" s="801">
        <f>'J-3 B'!G26</f>
        <v>3.3750000000000002E-2</v>
      </c>
      <c r="H26" s="125"/>
      <c r="I26" s="307">
        <f t="shared" si="1"/>
        <v>16875000</v>
      </c>
      <c r="K26" s="358"/>
    </row>
    <row r="27" spans="1:14">
      <c r="A27" s="112">
        <f t="shared" si="2"/>
        <v>12</v>
      </c>
      <c r="C27" s="472" t="str">
        <f>'J-3 B'!C27</f>
        <v>$200MM 3YR. Term Loan (Established 4/09/20)</v>
      </c>
      <c r="E27" s="78">
        <f>'[37]LTD rate'!$P$29</f>
        <v>200000000</v>
      </c>
      <c r="G27" s="801">
        <f>'[37]LTD rate'!$Q$29</f>
        <v>2.4250000000000001E-2</v>
      </c>
      <c r="H27" s="125"/>
      <c r="I27" s="307">
        <f t="shared" si="1"/>
        <v>4850000</v>
      </c>
      <c r="K27" s="358"/>
      <c r="L27" s="1234" t="s">
        <v>1575</v>
      </c>
    </row>
    <row r="28" spans="1:14">
      <c r="A28" s="112">
        <f t="shared" si="2"/>
        <v>13</v>
      </c>
      <c r="C28" s="472" t="str">
        <f>'J-3 B'!C28</f>
        <v xml:space="preserve">1.500% Sr Notes Due 2031 </v>
      </c>
      <c r="E28" s="78">
        <f>'[37]LTD rate'!$P$30</f>
        <v>600000000</v>
      </c>
      <c r="F28" s="100"/>
      <c r="G28" s="801">
        <f>'J-3 B'!G28</f>
        <v>1.4999999999999999E-2</v>
      </c>
      <c r="H28" s="125"/>
      <c r="I28" s="361">
        <f t="shared" si="1"/>
        <v>9000000</v>
      </c>
      <c r="K28" s="358"/>
      <c r="L28" s="1234" t="s">
        <v>1576</v>
      </c>
    </row>
    <row r="29" spans="1:14">
      <c r="A29" s="112">
        <f t="shared" si="2"/>
        <v>14</v>
      </c>
      <c r="C29" s="472" t="s">
        <v>95</v>
      </c>
      <c r="E29" s="1118">
        <f>SUM(E16:E28)</f>
        <v>5160000000</v>
      </c>
      <c r="F29" s="100"/>
      <c r="G29" s="816"/>
      <c r="I29" s="1124">
        <f>SUM(I16:I28)</f>
        <v>194342000</v>
      </c>
    </row>
    <row r="30" spans="1:14">
      <c r="A30" s="112">
        <f t="shared" si="2"/>
        <v>15</v>
      </c>
      <c r="C30" s="472"/>
      <c r="E30" s="78"/>
      <c r="G30" s="816"/>
      <c r="I30" s="100"/>
    </row>
    <row r="31" spans="1:14" ht="15.75">
      <c r="A31" s="112">
        <f t="shared" si="2"/>
        <v>16</v>
      </c>
      <c r="C31" s="472" t="s">
        <v>1269</v>
      </c>
      <c r="E31" s="88"/>
      <c r="G31" s="816"/>
      <c r="I31" s="305">
        <f>'J-3 B'!I31</f>
        <v>10293599.423859153</v>
      </c>
      <c r="L31" s="701"/>
    </row>
    <row r="32" spans="1:14" ht="15.75">
      <c r="A32" s="112">
        <f t="shared" si="2"/>
        <v>17</v>
      </c>
      <c r="C32" s="472" t="s">
        <v>1270</v>
      </c>
      <c r="E32" s="347">
        <f>'J-3 B'!E32</f>
        <v>-1754949.4361538463</v>
      </c>
      <c r="F32" s="100"/>
      <c r="G32" s="816"/>
      <c r="H32" s="125"/>
      <c r="I32" s="100"/>
      <c r="L32" s="701"/>
      <c r="N32" s="561"/>
    </row>
    <row r="33" spans="1:12" ht="15.75">
      <c r="A33" s="112">
        <f t="shared" si="2"/>
        <v>18</v>
      </c>
      <c r="C33" s="472" t="s">
        <v>1508</v>
      </c>
      <c r="E33" s="347">
        <f>'J-3 B'!E33</f>
        <v>-38307526.602307692</v>
      </c>
      <c r="G33" s="817"/>
      <c r="L33" s="701"/>
    </row>
    <row r="34" spans="1:12">
      <c r="A34" s="112">
        <f t="shared" si="2"/>
        <v>19</v>
      </c>
    </row>
    <row r="35" spans="1:12">
      <c r="A35" s="112">
        <f t="shared" si="2"/>
        <v>20</v>
      </c>
      <c r="E35" s="100"/>
      <c r="G35" s="817"/>
    </row>
    <row r="36" spans="1:12">
      <c r="A36" s="112">
        <f t="shared" si="2"/>
        <v>21</v>
      </c>
    </row>
    <row r="37" spans="1:12" ht="15.75" thickBot="1">
      <c r="A37" s="112">
        <f t="shared" si="2"/>
        <v>22</v>
      </c>
      <c r="C37" s="472" t="s">
        <v>1160</v>
      </c>
      <c r="E37" s="1059">
        <f>+E29+E32+E33</f>
        <v>5119937523.9615393</v>
      </c>
      <c r="G37" s="817"/>
      <c r="I37" s="1059">
        <f>+I29+I31</f>
        <v>204635599.42385915</v>
      </c>
      <c r="K37" s="1217">
        <f>+I37/E37</f>
        <v>3.9968378220662903E-2</v>
      </c>
    </row>
    <row r="38" spans="1:12" ht="15.75" thickTop="1"/>
    <row r="39" spans="1:12">
      <c r="A39" s="472"/>
      <c r="C39" s="472"/>
    </row>
    <row r="40" spans="1:12">
      <c r="C40" s="472"/>
    </row>
    <row r="41" spans="1:12">
      <c r="C41" s="472"/>
    </row>
    <row r="43" spans="1:12">
      <c r="G43" s="801"/>
    </row>
    <row r="44" spans="1:12">
      <c r="G44" s="801"/>
    </row>
    <row r="45" spans="1:12">
      <c r="G45" s="801"/>
    </row>
    <row r="46" spans="1:12">
      <c r="G46" s="801"/>
    </row>
    <row r="47" spans="1:12">
      <c r="G47" s="801"/>
    </row>
    <row r="48" spans="1:12">
      <c r="G48" s="801"/>
    </row>
    <row r="49" spans="7:7">
      <c r="G49" s="801"/>
    </row>
    <row r="50" spans="7:7">
      <c r="G50" s="801"/>
    </row>
  </sheetData>
  <mergeCells count="4">
    <mergeCell ref="A1:K1"/>
    <mergeCell ref="A2:K2"/>
    <mergeCell ref="A3:K3"/>
    <mergeCell ref="A4:K4"/>
  </mergeCells>
  <phoneticPr fontId="21" type="noConversion"/>
  <printOptions horizontalCentered="1"/>
  <pageMargins left="0.81" right="0.46" top="1.24" bottom="0.75" header="0.5" footer="0.5"/>
  <pageSetup scale="69" orientation="portrait" verticalDpi="300" r:id="rId1"/>
  <headerFooter alignWithMargins="0">
    <oddFooter>&amp;RSchedule &amp;A
Page &amp;P of &amp;N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97">
    <pageSetUpPr fitToPage="1"/>
  </sheetPr>
  <dimension ref="A1:Q43"/>
  <sheetViews>
    <sheetView view="pageBreakPreview" zoomScale="80" zoomScaleNormal="100" zoomScaleSheetLayoutView="80" workbookViewId="0">
      <selection sqref="A1:L1"/>
    </sheetView>
  </sheetViews>
  <sheetFormatPr defaultColWidth="10.109375" defaultRowHeight="15"/>
  <cols>
    <col min="1" max="1" width="5.88671875" style="95" customWidth="1"/>
    <col min="2" max="2" width="2.109375" style="95" customWidth="1"/>
    <col min="3" max="3" width="16.109375" style="95" customWidth="1"/>
    <col min="4" max="4" width="11" style="95" customWidth="1"/>
    <col min="5" max="5" width="5.109375" style="95" customWidth="1"/>
    <col min="6" max="6" width="11.6640625" style="95" customWidth="1"/>
    <col min="7" max="7" width="4.21875" style="95" customWidth="1"/>
    <col min="8" max="8" width="10.109375" style="95"/>
    <col min="9" max="9" width="4.21875" style="95" customWidth="1"/>
    <col min="10" max="10" width="10.109375" style="95"/>
    <col min="11" max="11" width="5.77734375" style="95" customWidth="1"/>
    <col min="12" max="12" width="12.6640625" style="95" customWidth="1"/>
    <col min="13" max="16384" width="10.109375" style="95"/>
  </cols>
  <sheetData>
    <row r="1" spans="1:17">
      <c r="A1" s="1270" t="str">
        <f>'Table of Contents'!A1:C1</f>
        <v>Atmos Energy Corporation, Kentucky/Mid-States Division</v>
      </c>
      <c r="B1" s="1270"/>
      <c r="C1" s="1270"/>
      <c r="D1" s="1270"/>
      <c r="E1" s="1270"/>
      <c r="F1" s="1270"/>
      <c r="G1" s="1270"/>
      <c r="H1" s="1270"/>
      <c r="I1" s="1270"/>
      <c r="J1" s="1270"/>
      <c r="K1" s="1270"/>
      <c r="L1" s="1270"/>
    </row>
    <row r="2" spans="1:17">
      <c r="A2" s="1270" t="str">
        <f>'Table of Contents'!A2:C2</f>
        <v>Kentucky Jurisdiction Case No. 2021-00214</v>
      </c>
      <c r="B2" s="1270"/>
      <c r="C2" s="1270"/>
      <c r="D2" s="1270"/>
      <c r="E2" s="1270"/>
      <c r="F2" s="1270"/>
      <c r="G2" s="1270"/>
      <c r="H2" s="1270"/>
      <c r="I2" s="1270"/>
      <c r="J2" s="1270"/>
      <c r="K2" s="1270"/>
      <c r="L2" s="1270"/>
    </row>
    <row r="3" spans="1:17">
      <c r="A3" s="1270" t="s">
        <v>1016</v>
      </c>
      <c r="B3" s="1270"/>
      <c r="C3" s="1270"/>
      <c r="D3" s="1270"/>
      <c r="E3" s="1270"/>
      <c r="F3" s="1270"/>
      <c r="G3" s="1270"/>
      <c r="H3" s="1270"/>
      <c r="I3" s="1270"/>
      <c r="J3" s="1270"/>
      <c r="K3" s="1270"/>
      <c r="L3" s="1270"/>
    </row>
    <row r="4" spans="1:17">
      <c r="A4" s="1270" t="str">
        <f>'Table of Contents'!A4:C4</f>
        <v>Forecasted Test Period: Twelve Months Ended December 31, 2022</v>
      </c>
      <c r="B4" s="1270"/>
      <c r="C4" s="1270"/>
      <c r="D4" s="1270"/>
      <c r="E4" s="1270"/>
      <c r="F4" s="1270"/>
      <c r="G4" s="1270"/>
      <c r="H4" s="1270"/>
      <c r="I4" s="1270"/>
      <c r="J4" s="1270"/>
      <c r="K4" s="1270"/>
      <c r="L4" s="1270"/>
      <c r="N4" s="100"/>
      <c r="O4" s="100"/>
      <c r="P4" s="100"/>
      <c r="Q4" s="100"/>
    </row>
    <row r="5" spans="1:17">
      <c r="N5" s="100"/>
      <c r="O5" s="100"/>
      <c r="P5" s="100"/>
      <c r="Q5" s="100"/>
    </row>
    <row r="6" spans="1:17">
      <c r="N6" s="100"/>
      <c r="O6" s="100"/>
      <c r="P6" s="100"/>
      <c r="Q6" s="100"/>
    </row>
    <row r="7" spans="1:17">
      <c r="A7" s="472" t="s">
        <v>1127</v>
      </c>
      <c r="L7" s="772" t="s">
        <v>1357</v>
      </c>
      <c r="N7" s="100"/>
      <c r="O7" s="100"/>
      <c r="P7" s="100"/>
      <c r="Q7" s="100"/>
    </row>
    <row r="8" spans="1:17">
      <c r="A8" s="472" t="s">
        <v>610</v>
      </c>
      <c r="K8" s="472"/>
      <c r="L8" s="745" t="s">
        <v>48</v>
      </c>
      <c r="N8" s="100"/>
      <c r="O8" s="100"/>
      <c r="P8" s="100"/>
      <c r="Q8" s="100"/>
    </row>
    <row r="9" spans="1:17">
      <c r="A9" s="773" t="s">
        <v>363</v>
      </c>
      <c r="B9" s="752"/>
      <c r="C9" s="752"/>
      <c r="D9" s="752"/>
      <c r="E9" s="752"/>
      <c r="F9" s="752"/>
      <c r="G9" s="752"/>
      <c r="H9" s="752"/>
      <c r="I9" s="752"/>
      <c r="J9" s="752"/>
      <c r="K9" s="773"/>
      <c r="L9" s="979" t="str">
        <f>'J-1 Base'!$M$9</f>
        <v>Witness: Christian</v>
      </c>
      <c r="N9" s="100"/>
      <c r="O9" s="100"/>
      <c r="P9" s="100"/>
      <c r="Q9" s="100"/>
    </row>
    <row r="10" spans="1:17">
      <c r="J10" s="112" t="s">
        <v>348</v>
      </c>
      <c r="L10" s="112" t="s">
        <v>1125</v>
      </c>
    </row>
    <row r="11" spans="1:17">
      <c r="A11" s="112"/>
      <c r="F11" s="112" t="s">
        <v>103</v>
      </c>
      <c r="H11" s="112" t="s">
        <v>267</v>
      </c>
      <c r="J11" s="112" t="s">
        <v>349</v>
      </c>
      <c r="L11" s="112" t="s">
        <v>267</v>
      </c>
    </row>
    <row r="12" spans="1:17">
      <c r="A12" s="527"/>
      <c r="B12" s="752"/>
      <c r="C12" s="527" t="s">
        <v>350</v>
      </c>
      <c r="D12" s="752"/>
      <c r="E12" s="752"/>
      <c r="F12" s="527" t="s">
        <v>347</v>
      </c>
      <c r="G12" s="752"/>
      <c r="H12" s="527" t="s">
        <v>565</v>
      </c>
      <c r="I12" s="752"/>
      <c r="J12" s="527" t="s">
        <v>0</v>
      </c>
      <c r="K12" s="752"/>
      <c r="L12" s="527" t="s">
        <v>565</v>
      </c>
    </row>
    <row r="13" spans="1:17">
      <c r="C13" s="112" t="s">
        <v>1065</v>
      </c>
      <c r="F13" s="112" t="s">
        <v>1066</v>
      </c>
      <c r="H13" s="112" t="s">
        <v>1067</v>
      </c>
      <c r="J13" s="112" t="s">
        <v>15</v>
      </c>
      <c r="L13" s="112" t="s">
        <v>167</v>
      </c>
    </row>
    <row r="14" spans="1:17">
      <c r="F14" s="112" t="s">
        <v>618</v>
      </c>
      <c r="J14" s="112" t="s">
        <v>618</v>
      </c>
    </row>
    <row r="16" spans="1:17">
      <c r="A16" s="112">
        <v>1</v>
      </c>
      <c r="C16" s="472" t="s">
        <v>892</v>
      </c>
      <c r="F16" s="100">
        <f>'J-2 B'!F16</f>
        <v>21556.707437275982</v>
      </c>
      <c r="G16" s="100"/>
      <c r="H16" s="1218">
        <f>'J-2 B'!H16</f>
        <v>5.6591759488858039E-3</v>
      </c>
      <c r="I16" s="125"/>
      <c r="J16" s="100">
        <f>(F16*H16)</f>
        <v>121.99320026619996</v>
      </c>
      <c r="K16" s="100"/>
      <c r="L16" s="100"/>
      <c r="M16" s="100"/>
    </row>
    <row r="17" spans="1:13">
      <c r="L17" s="100"/>
    </row>
    <row r="18" spans="1:13">
      <c r="A18" s="112">
        <v>2</v>
      </c>
      <c r="C18" s="472" t="s">
        <v>1257</v>
      </c>
      <c r="F18" s="100"/>
      <c r="G18" s="100"/>
      <c r="H18" s="100"/>
      <c r="I18" s="125"/>
      <c r="J18" s="100">
        <f>'J-2 B'!J18</f>
        <v>5304.5131766666664</v>
      </c>
      <c r="K18" s="100"/>
      <c r="L18" s="100"/>
      <c r="M18" s="100"/>
    </row>
    <row r="19" spans="1:13">
      <c r="F19" s="100"/>
      <c r="G19" s="100"/>
      <c r="H19" s="466"/>
      <c r="I19" s="100"/>
      <c r="J19" s="100"/>
      <c r="K19" s="100"/>
      <c r="L19" s="100"/>
      <c r="M19" s="100"/>
    </row>
    <row r="20" spans="1:13">
      <c r="A20" s="112">
        <v>3</v>
      </c>
      <c r="C20" s="472" t="s">
        <v>891</v>
      </c>
      <c r="F20" s="1188">
        <f>SUM(F16:F18)</f>
        <v>21556.707437275982</v>
      </c>
      <c r="G20" s="100"/>
      <c r="H20" s="100"/>
      <c r="I20" s="125"/>
      <c r="J20" s="1188">
        <f>SUM(J16:J18)</f>
        <v>5426.5063769328663</v>
      </c>
      <c r="K20" s="100"/>
      <c r="L20" s="105">
        <f>(J20/F20)</f>
        <v>0.2517316892072915</v>
      </c>
      <c r="M20" s="100"/>
    </row>
    <row r="21" spans="1:13">
      <c r="F21" s="100"/>
      <c r="G21" s="100"/>
      <c r="H21" s="466"/>
      <c r="I21" s="125"/>
      <c r="J21" s="125"/>
      <c r="K21" s="100"/>
      <c r="L21" s="100"/>
      <c r="M21" s="100"/>
    </row>
    <row r="22" spans="1:13">
      <c r="F22" s="100"/>
      <c r="G22" s="100"/>
      <c r="H22" s="466"/>
      <c r="I22" s="125"/>
      <c r="J22" s="125"/>
      <c r="K22" s="100"/>
      <c r="L22" s="100"/>
      <c r="M22" s="100"/>
    </row>
    <row r="23" spans="1:13">
      <c r="F23" s="100"/>
      <c r="G23" s="100"/>
      <c r="H23" s="466"/>
      <c r="I23" s="125"/>
      <c r="J23" s="125"/>
      <c r="K23" s="100"/>
      <c r="L23" s="100"/>
      <c r="M23" s="100"/>
    </row>
    <row r="24" spans="1:13" ht="15.75">
      <c r="A24" s="744"/>
      <c r="G24" s="100"/>
      <c r="I24" s="125"/>
      <c r="L24" s="100"/>
    </row>
    <row r="25" spans="1:13">
      <c r="C25" s="472" t="s">
        <v>520</v>
      </c>
      <c r="G25" s="100"/>
      <c r="H25" s="466"/>
      <c r="I25" s="125"/>
      <c r="J25" s="125"/>
      <c r="L25" s="100"/>
    </row>
    <row r="26" spans="1:13">
      <c r="C26" s="472"/>
      <c r="G26" s="100"/>
      <c r="H26" s="466"/>
      <c r="I26" s="125"/>
      <c r="J26" s="125"/>
      <c r="L26" s="100"/>
    </row>
    <row r="27" spans="1:13">
      <c r="C27" s="561" t="s">
        <v>1684</v>
      </c>
    </row>
    <row r="28" spans="1:13">
      <c r="C28" s="472"/>
    </row>
    <row r="29" spans="1:13">
      <c r="C29" s="472"/>
    </row>
    <row r="30" spans="1:13">
      <c r="C30" s="472"/>
      <c r="G30" s="100"/>
      <c r="I30" s="125"/>
    </row>
    <row r="31" spans="1:13">
      <c r="G31" s="100"/>
      <c r="H31" s="100"/>
      <c r="I31" s="125"/>
      <c r="J31" s="125"/>
    </row>
    <row r="32" spans="1:13">
      <c r="C32" s="472"/>
      <c r="G32" s="100"/>
    </row>
    <row r="33" spans="1:3">
      <c r="C33" s="472"/>
    </row>
    <row r="35" spans="1:3">
      <c r="C35" s="472"/>
    </row>
    <row r="40" spans="1:3">
      <c r="A40" s="472"/>
      <c r="C40" s="472"/>
    </row>
    <row r="41" spans="1:3">
      <c r="C41" s="472"/>
    </row>
    <row r="42" spans="1:3">
      <c r="C42" s="472"/>
    </row>
    <row r="43" spans="1:3">
      <c r="C43" s="472"/>
    </row>
  </sheetData>
  <mergeCells count="4">
    <mergeCell ref="A1:L1"/>
    <mergeCell ref="A2:L2"/>
    <mergeCell ref="A3:L3"/>
    <mergeCell ref="A4:L4"/>
  </mergeCells>
  <phoneticPr fontId="21" type="noConversion"/>
  <pageMargins left="0.75" right="0.75" top="0.83" bottom="1.1499999999999999" header="0.5" footer="0.5"/>
  <pageSetup orientation="landscape" verticalDpi="300" r:id="rId1"/>
  <headerFooter alignWithMargins="0">
    <oddFooter>&amp;RSchedule &amp;A
Page &amp;P of &amp;N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Sheet62"/>
  <dimension ref="A1:AJ142"/>
  <sheetViews>
    <sheetView view="pageBreakPreview" zoomScale="80" zoomScaleNormal="100" zoomScaleSheetLayoutView="80" workbookViewId="0">
      <selection sqref="A1:R1"/>
    </sheetView>
  </sheetViews>
  <sheetFormatPr defaultColWidth="6.44140625" defaultRowHeight="15"/>
  <cols>
    <col min="1" max="1" width="5.33203125" style="73" customWidth="1"/>
    <col min="2" max="2" width="11.44140625" style="73" customWidth="1"/>
    <col min="3" max="4" width="6.44140625" style="73"/>
    <col min="5" max="5" width="7.109375" style="73" customWidth="1"/>
    <col min="6" max="6" width="7.33203125" style="73" customWidth="1"/>
    <col min="7" max="7" width="12.77734375" style="73" customWidth="1"/>
    <col min="8" max="8" width="13.6640625" style="73" customWidth="1"/>
    <col min="9" max="9" width="10.44140625" style="73" bestFit="1" customWidth="1"/>
    <col min="10" max="10" width="9.88671875" style="73" customWidth="1"/>
    <col min="11" max="11" width="9.44140625" style="73" customWidth="1"/>
    <col min="12" max="12" width="9.77734375" style="73" customWidth="1"/>
    <col min="13" max="13" width="9.44140625" style="73" bestFit="1" customWidth="1"/>
    <col min="14" max="14" width="9.88671875" style="73" customWidth="1"/>
    <col min="15" max="15" width="9.5546875" style="73" customWidth="1"/>
    <col min="16" max="18" width="9.77734375" style="73" customWidth="1"/>
    <col min="19" max="19" width="9.44140625" style="73" customWidth="1"/>
    <col min="20" max="20" width="7.21875" style="73" customWidth="1"/>
    <col min="21" max="22" width="6.44140625" style="73"/>
    <col min="23" max="23" width="9.33203125" style="73" customWidth="1"/>
    <col min="24" max="24" width="6.44140625" style="73"/>
    <col min="25" max="25" width="10.6640625" style="73" customWidth="1"/>
    <col min="26" max="16384" width="6.44140625" style="73"/>
  </cols>
  <sheetData>
    <row r="1" spans="1:36" ht="15.75">
      <c r="A1" s="1270" t="str">
        <f>'Table of Contents'!A1:C1</f>
        <v>Atmos Energy Corporation, Kentucky/Mid-States Division</v>
      </c>
      <c r="B1" s="1270"/>
      <c r="C1" s="1270"/>
      <c r="D1" s="1270"/>
      <c r="E1" s="1270"/>
      <c r="F1" s="1270"/>
      <c r="G1" s="1270"/>
      <c r="H1" s="1270"/>
      <c r="I1" s="1270"/>
      <c r="J1" s="1270"/>
      <c r="K1" s="1270"/>
      <c r="L1" s="1270"/>
      <c r="M1" s="1270"/>
      <c r="N1" s="1270"/>
      <c r="O1" s="1270"/>
      <c r="P1" s="1270"/>
      <c r="Q1" s="1270"/>
      <c r="R1" s="1270"/>
      <c r="S1" s="818"/>
    </row>
    <row r="2" spans="1:36">
      <c r="A2" s="1270" t="str">
        <f>'Table of Contents'!A2:C2</f>
        <v>Kentucky Jurisdiction Case No. 2021-00214</v>
      </c>
      <c r="B2" s="1270"/>
      <c r="C2" s="1270"/>
      <c r="D2" s="1270"/>
      <c r="E2" s="1270"/>
      <c r="F2" s="1270"/>
      <c r="G2" s="1270"/>
      <c r="H2" s="1270"/>
      <c r="I2" s="1270"/>
      <c r="J2" s="1270"/>
      <c r="K2" s="1270"/>
      <c r="L2" s="1270"/>
      <c r="M2" s="1270"/>
      <c r="N2" s="1270"/>
      <c r="O2" s="1270"/>
      <c r="P2" s="1270"/>
      <c r="Q2" s="1270"/>
      <c r="R2" s="1270"/>
      <c r="S2" s="819"/>
    </row>
    <row r="3" spans="1:36">
      <c r="A3" s="1271" t="s">
        <v>25</v>
      </c>
      <c r="B3" s="1271"/>
      <c r="C3" s="1271"/>
      <c r="D3" s="1271"/>
      <c r="E3" s="1271"/>
      <c r="F3" s="1271"/>
      <c r="G3" s="1271"/>
      <c r="H3" s="1271"/>
      <c r="I3" s="1271"/>
      <c r="J3" s="1271"/>
      <c r="K3" s="1271"/>
      <c r="L3" s="1271"/>
      <c r="M3" s="1271"/>
      <c r="N3" s="1271"/>
      <c r="O3" s="1271"/>
      <c r="P3" s="1271"/>
      <c r="Q3" s="1271"/>
      <c r="R3" s="1271"/>
      <c r="S3" s="820"/>
    </row>
    <row r="4" spans="1:36">
      <c r="A4" s="1270" t="str">
        <f>'Table of Contents'!A3:C3</f>
        <v>Base Period: Twelve Months Ended September 30, 2021</v>
      </c>
      <c r="B4" s="1270"/>
      <c r="C4" s="1270"/>
      <c r="D4" s="1270"/>
      <c r="E4" s="1270"/>
      <c r="F4" s="1270"/>
      <c r="G4" s="1270"/>
      <c r="H4" s="1270"/>
      <c r="I4" s="1270"/>
      <c r="J4" s="1270"/>
      <c r="K4" s="1270"/>
      <c r="L4" s="1270"/>
      <c r="M4" s="1270"/>
      <c r="N4" s="1270"/>
      <c r="O4" s="1270"/>
      <c r="P4" s="1270"/>
      <c r="Q4" s="1270"/>
      <c r="R4" s="1270"/>
    </row>
    <row r="5" spans="1:36">
      <c r="A5" s="1270" t="str">
        <f>'Table of Contents'!A4:C4</f>
        <v>Forecasted Test Period: Twelve Months Ended December 31, 2022</v>
      </c>
      <c r="B5" s="1270"/>
      <c r="C5" s="1270"/>
      <c r="D5" s="1270"/>
      <c r="E5" s="1270"/>
      <c r="F5" s="1270"/>
      <c r="G5" s="1270"/>
      <c r="H5" s="1270"/>
      <c r="I5" s="1270"/>
      <c r="J5" s="1270"/>
      <c r="K5" s="1270"/>
      <c r="L5" s="1270"/>
      <c r="M5" s="1270"/>
      <c r="N5" s="1270"/>
      <c r="O5" s="1270"/>
      <c r="P5" s="1270"/>
      <c r="Q5" s="1270"/>
      <c r="R5" s="1270"/>
    </row>
    <row r="6" spans="1:36">
      <c r="A6" s="1271" t="s">
        <v>1212</v>
      </c>
      <c r="B6" s="1271"/>
      <c r="C6" s="1271"/>
      <c r="D6" s="1271"/>
      <c r="E6" s="1271"/>
      <c r="F6" s="1271"/>
      <c r="G6" s="1271"/>
      <c r="H6" s="1271"/>
      <c r="I6" s="1271"/>
      <c r="J6" s="1271"/>
      <c r="K6" s="1271"/>
      <c r="L6" s="1271"/>
      <c r="M6" s="1271"/>
      <c r="N6" s="1271"/>
      <c r="O6" s="1271"/>
      <c r="P6" s="1271"/>
      <c r="Q6" s="1271"/>
      <c r="R6" s="1271"/>
      <c r="S6" s="544"/>
    </row>
    <row r="7" spans="1:36">
      <c r="A7" s="682"/>
      <c r="N7" s="80"/>
    </row>
    <row r="8" spans="1:36">
      <c r="A8" s="80" t="s">
        <v>197</v>
      </c>
      <c r="N8" s="80"/>
      <c r="O8" s="80"/>
      <c r="Q8" s="80"/>
      <c r="R8" s="150" t="s">
        <v>1358</v>
      </c>
    </row>
    <row r="9" spans="1:36">
      <c r="A9" s="561" t="s">
        <v>1032</v>
      </c>
      <c r="N9" s="80"/>
      <c r="O9" s="80"/>
      <c r="Q9" s="80"/>
      <c r="R9" s="798" t="s">
        <v>45</v>
      </c>
    </row>
    <row r="10" spans="1:36">
      <c r="A10" s="366" t="s">
        <v>363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335"/>
      <c r="P10" s="134"/>
      <c r="Q10" s="366"/>
      <c r="R10" s="780" t="s">
        <v>1622</v>
      </c>
    </row>
    <row r="11" spans="1:36">
      <c r="T11" s="557"/>
    </row>
    <row r="12" spans="1:36">
      <c r="A12" s="80" t="s">
        <v>92</v>
      </c>
      <c r="G12" s="682" t="s">
        <v>42</v>
      </c>
      <c r="H12" s="682" t="s">
        <v>43</v>
      </c>
      <c r="I12" s="134"/>
      <c r="J12" s="134"/>
      <c r="K12" s="134"/>
      <c r="L12" s="134"/>
      <c r="M12" s="368" t="s">
        <v>614</v>
      </c>
      <c r="N12" s="368"/>
      <c r="O12" s="134"/>
      <c r="P12" s="134"/>
      <c r="Q12" s="134"/>
      <c r="R12" s="134"/>
    </row>
    <row r="13" spans="1:36">
      <c r="A13" s="366" t="s">
        <v>98</v>
      </c>
      <c r="B13" s="134"/>
      <c r="C13" s="368" t="s">
        <v>972</v>
      </c>
      <c r="D13" s="134"/>
      <c r="E13" s="134"/>
      <c r="F13" s="134"/>
      <c r="G13" s="368" t="s">
        <v>533</v>
      </c>
      <c r="H13" s="368" t="s">
        <v>533</v>
      </c>
      <c r="I13" s="556">
        <v>2020</v>
      </c>
      <c r="J13" s="556">
        <f>I13-1</f>
        <v>2019</v>
      </c>
      <c r="K13" s="556">
        <f t="shared" ref="K13:R13" si="0">J13-1</f>
        <v>2018</v>
      </c>
      <c r="L13" s="556">
        <f t="shared" si="0"/>
        <v>2017</v>
      </c>
      <c r="M13" s="556">
        <f t="shared" si="0"/>
        <v>2016</v>
      </c>
      <c r="N13" s="556">
        <f t="shared" si="0"/>
        <v>2015</v>
      </c>
      <c r="O13" s="556">
        <f t="shared" si="0"/>
        <v>2014</v>
      </c>
      <c r="P13" s="556">
        <f t="shared" si="0"/>
        <v>2013</v>
      </c>
      <c r="Q13" s="556">
        <f t="shared" si="0"/>
        <v>2012</v>
      </c>
      <c r="R13" s="556">
        <f t="shared" si="0"/>
        <v>2011</v>
      </c>
    </row>
    <row r="14" spans="1:36">
      <c r="K14" s="73" t="s">
        <v>321</v>
      </c>
    </row>
    <row r="15" spans="1:36" ht="15.75">
      <c r="A15" s="682">
        <v>1</v>
      </c>
      <c r="B15" s="500" t="s">
        <v>1135</v>
      </c>
      <c r="C15" s="802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818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</row>
    <row r="16" spans="1:36" ht="15.75">
      <c r="A16" s="112">
        <f>A15+1</f>
        <v>2</v>
      </c>
      <c r="B16" s="80" t="s">
        <v>306</v>
      </c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818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</row>
    <row r="17" spans="1:36" ht="15.75">
      <c r="A17" s="112">
        <f t="shared" ref="A17:A80" si="1">A16+1</f>
        <v>3</v>
      </c>
      <c r="B17" s="80" t="s">
        <v>177</v>
      </c>
      <c r="G17" s="968">
        <f>('B.2 F'!I19+'B.2 F'!I127)/1000</f>
        <v>781.05130098999985</v>
      </c>
      <c r="H17" s="968">
        <f>('B.2 B'!I19+'B.2 B'!I127)/1000</f>
        <v>781.05130098999985</v>
      </c>
      <c r="I17" s="968">
        <f>[38]K!I17</f>
        <v>128</v>
      </c>
      <c r="J17" s="968">
        <f>[38]K!J17</f>
        <v>128</v>
      </c>
      <c r="K17" s="968">
        <f>[38]K!K17</f>
        <v>128</v>
      </c>
      <c r="L17" s="968">
        <f>[38]K!L17</f>
        <v>128</v>
      </c>
      <c r="M17" s="968">
        <f>[38]K!M17</f>
        <v>128</v>
      </c>
      <c r="N17" s="968">
        <f>[38]K!N17</f>
        <v>128</v>
      </c>
      <c r="O17" s="968">
        <f>[38]K!O17</f>
        <v>128</v>
      </c>
      <c r="P17" s="968">
        <f>[38]K!P17</f>
        <v>128</v>
      </c>
      <c r="Q17" s="968">
        <f>[38]K!Q17</f>
        <v>128</v>
      </c>
      <c r="R17" s="968">
        <f>[38]K!R17</f>
        <v>128</v>
      </c>
      <c r="S17" s="818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</row>
    <row r="18" spans="1:36">
      <c r="A18" s="112">
        <f t="shared" si="1"/>
        <v>4</v>
      </c>
      <c r="B18" s="80" t="s">
        <v>26</v>
      </c>
      <c r="G18" s="968">
        <f>('B.2 F'!I26)/1000</f>
        <v>0</v>
      </c>
      <c r="H18" s="968">
        <f>('B.2 B'!I26)/1000</f>
        <v>0</v>
      </c>
      <c r="I18" s="968">
        <f>[38]K!I18</f>
        <v>0</v>
      </c>
      <c r="J18" s="968">
        <f>[38]K!J18</f>
        <v>0</v>
      </c>
      <c r="K18" s="968">
        <f>[38]K!K18</f>
        <v>0</v>
      </c>
      <c r="L18" s="968">
        <f>[38]K!L18</f>
        <v>0</v>
      </c>
      <c r="M18" s="968">
        <f>[38]K!M18</f>
        <v>0</v>
      </c>
      <c r="N18" s="968">
        <f>[38]K!N18</f>
        <v>0</v>
      </c>
      <c r="O18" s="968">
        <f>[38]K!O18</f>
        <v>636</v>
      </c>
      <c r="P18" s="968">
        <f>[38]K!P18</f>
        <v>901</v>
      </c>
      <c r="Q18" s="968">
        <f>[38]K!Q18</f>
        <v>901</v>
      </c>
      <c r="R18" s="968">
        <f>[38]K!R18</f>
        <v>901</v>
      </c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</row>
    <row r="19" spans="1:36">
      <c r="A19" s="112">
        <f t="shared" si="1"/>
        <v>5</v>
      </c>
      <c r="B19" s="80" t="s">
        <v>27</v>
      </c>
      <c r="G19" s="968">
        <f>('B.2 F'!I47)/1000</f>
        <v>16168.206670000001</v>
      </c>
      <c r="H19" s="968">
        <f>('B.2 B'!I47)/1000</f>
        <v>16168.206670000001</v>
      </c>
      <c r="I19" s="968">
        <f>[38]K!I19</f>
        <v>14473</v>
      </c>
      <c r="J19" s="968">
        <f>[38]K!J19</f>
        <v>14471</v>
      </c>
      <c r="K19" s="968">
        <f>[38]K!K19</f>
        <v>13328</v>
      </c>
      <c r="L19" s="968">
        <f>[38]K!L19</f>
        <v>13329</v>
      </c>
      <c r="M19" s="968">
        <f>[38]K!M19</f>
        <v>12454</v>
      </c>
      <c r="N19" s="968">
        <f>[38]K!N19</f>
        <v>11560</v>
      </c>
      <c r="O19" s="968">
        <f>[38]K!O19</f>
        <v>10792</v>
      </c>
      <c r="P19" s="968">
        <f>[38]K!P19</f>
        <v>9630</v>
      </c>
      <c r="Q19" s="968">
        <f>[38]K!Q19</f>
        <v>10104</v>
      </c>
      <c r="R19" s="968">
        <f>[38]K!R19</f>
        <v>9388</v>
      </c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</row>
    <row r="20" spans="1:36">
      <c r="A20" s="112">
        <f t="shared" si="1"/>
        <v>6</v>
      </c>
      <c r="B20" s="80" t="s">
        <v>28</v>
      </c>
      <c r="G20" s="968">
        <f>('B.2 F'!I60)/1000</f>
        <v>33200.42828</v>
      </c>
      <c r="H20" s="968">
        <f>('B.2 B'!I60)/1000</f>
        <v>33200.42828</v>
      </c>
      <c r="I20" s="968">
        <f>[38]K!I20</f>
        <v>33002</v>
      </c>
      <c r="J20" s="968">
        <f>[38]K!J20</f>
        <v>32817</v>
      </c>
      <c r="K20" s="968">
        <f>[38]K!K20</f>
        <v>31462</v>
      </c>
      <c r="L20" s="968">
        <f>[38]K!L20</f>
        <v>31784</v>
      </c>
      <c r="M20" s="968">
        <f>[38]K!M20</f>
        <v>31814</v>
      </c>
      <c r="N20" s="968">
        <f>[38]K!N20</f>
        <v>31808</v>
      </c>
      <c r="O20" s="968">
        <f>[38]K!O20</f>
        <v>31877</v>
      </c>
      <c r="P20" s="968">
        <f>[38]K!P20</f>
        <v>32962</v>
      </c>
      <c r="Q20" s="968">
        <f>[38]K!Q20</f>
        <v>32836</v>
      </c>
      <c r="R20" s="968">
        <f>[38]K!R20</f>
        <v>33144</v>
      </c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</row>
    <row r="21" spans="1:36">
      <c r="A21" s="112">
        <f t="shared" si="1"/>
        <v>7</v>
      </c>
      <c r="B21" s="80" t="s">
        <v>495</v>
      </c>
      <c r="G21" s="968">
        <f>('B.2 F'!I86+'B.2 F'!I152)/1000</f>
        <v>786426.00019061554</v>
      </c>
      <c r="H21" s="968">
        <f>('B.2 B'!I86+'B.2 B'!I152)/1000</f>
        <v>736943.65722096595</v>
      </c>
      <c r="I21" s="968">
        <f>[38]K!I21</f>
        <v>708442</v>
      </c>
      <c r="J21" s="968">
        <f>[38]K!J21</f>
        <v>666530</v>
      </c>
      <c r="K21" s="968">
        <f>[38]K!K21</f>
        <v>573567</v>
      </c>
      <c r="L21" s="968">
        <f>[38]K!L21</f>
        <v>517179</v>
      </c>
      <c r="M21" s="968">
        <f>[38]K!M21</f>
        <v>472849</v>
      </c>
      <c r="N21" s="968">
        <f>[38]K!N21</f>
        <v>413302</v>
      </c>
      <c r="O21" s="968">
        <f>[38]K!O21</f>
        <v>381623</v>
      </c>
      <c r="P21" s="968">
        <f>[38]K!P21</f>
        <v>340200</v>
      </c>
      <c r="Q21" s="968">
        <f>[38]K!Q21</f>
        <v>323036</v>
      </c>
      <c r="R21" s="968">
        <f>[38]K!R21</f>
        <v>296493</v>
      </c>
    </row>
    <row r="22" spans="1:36">
      <c r="A22" s="112">
        <f t="shared" si="1"/>
        <v>8</v>
      </c>
      <c r="B22" s="80" t="s">
        <v>945</v>
      </c>
      <c r="G22" s="968">
        <f>('B.2 F'!I115+'B.2 F'!I177+'B.2 F'!I225+'B.2 F'!I262)/1000</f>
        <v>52193.025144883381</v>
      </c>
      <c r="H22" s="968">
        <f>('B.2 B'!I115+'B.2 B'!I177+'B.2 B'!I225+'B.2 B'!I262)/1000</f>
        <v>46063.358359429141</v>
      </c>
      <c r="I22" s="968">
        <f>[38]K!I22</f>
        <v>24782</v>
      </c>
      <c r="J22" s="968">
        <f>[38]K!J22</f>
        <v>23892</v>
      </c>
      <c r="K22" s="968">
        <f>[38]K!K22</f>
        <v>22758</v>
      </c>
      <c r="L22" s="968">
        <f>[38]K!L22</f>
        <v>21675</v>
      </c>
      <c r="M22" s="968">
        <f>[38]K!M22</f>
        <v>21271</v>
      </c>
      <c r="N22" s="968">
        <f>[38]K!N22</f>
        <v>18126</v>
      </c>
      <c r="O22" s="968">
        <f>[38]K!O22</f>
        <v>16683</v>
      </c>
      <c r="P22" s="968">
        <f>[38]K!P22</f>
        <v>15589</v>
      </c>
      <c r="Q22" s="968">
        <f>[38]K!Q22</f>
        <v>15238</v>
      </c>
      <c r="R22" s="968">
        <f>[38]K!R22</f>
        <v>16000</v>
      </c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</row>
    <row r="23" spans="1:36">
      <c r="A23" s="112">
        <f t="shared" si="1"/>
        <v>9</v>
      </c>
      <c r="B23" s="80" t="s">
        <v>380</v>
      </c>
      <c r="G23" s="968"/>
      <c r="H23" s="968"/>
      <c r="I23" s="968">
        <f>[38]K!I23</f>
        <v>3279</v>
      </c>
      <c r="J23" s="968">
        <f>[38]K!J23</f>
        <v>3279</v>
      </c>
      <c r="K23" s="968">
        <f>[38]K!K23</f>
        <v>3279</v>
      </c>
      <c r="L23" s="968">
        <f>[38]K!L23</f>
        <v>3279</v>
      </c>
      <c r="M23" s="968">
        <f>[38]K!M23</f>
        <v>3279</v>
      </c>
      <c r="N23" s="968">
        <f>[38]K!N23</f>
        <v>3279</v>
      </c>
      <c r="O23" s="968">
        <f>[38]K!O23</f>
        <v>3279</v>
      </c>
      <c r="P23" s="968">
        <f>[38]K!P23</f>
        <v>3279</v>
      </c>
      <c r="Q23" s="968">
        <f>[38]K!Q23</f>
        <v>3279</v>
      </c>
      <c r="R23" s="968">
        <f>[38]K!R23</f>
        <v>3279</v>
      </c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</row>
    <row r="24" spans="1:36">
      <c r="A24" s="112">
        <f t="shared" si="1"/>
        <v>10</v>
      </c>
      <c r="B24" s="80" t="s">
        <v>321</v>
      </c>
      <c r="G24" s="971"/>
      <c r="H24" s="971"/>
      <c r="I24" s="971"/>
      <c r="J24" s="971"/>
      <c r="K24" s="971"/>
      <c r="L24" s="971"/>
      <c r="M24" s="971"/>
      <c r="N24" s="971"/>
      <c r="O24" s="971"/>
      <c r="P24" s="971"/>
      <c r="Q24" s="971"/>
      <c r="R24" s="971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</row>
    <row r="25" spans="1:36">
      <c r="A25" s="112">
        <f t="shared" si="1"/>
        <v>11</v>
      </c>
      <c r="B25" s="80" t="s">
        <v>164</v>
      </c>
      <c r="G25" s="968">
        <f t="shared" ref="G25:R25" si="2">SUM(G17:G24)</f>
        <v>888768.71158648899</v>
      </c>
      <c r="H25" s="968">
        <f t="shared" si="2"/>
        <v>833156.70183138514</v>
      </c>
      <c r="I25" s="968">
        <f t="shared" si="2"/>
        <v>784106</v>
      </c>
      <c r="J25" s="968">
        <f t="shared" si="2"/>
        <v>741117</v>
      </c>
      <c r="K25" s="968">
        <f t="shared" si="2"/>
        <v>644522</v>
      </c>
      <c r="L25" s="968">
        <f t="shared" si="2"/>
        <v>587374</v>
      </c>
      <c r="M25" s="968">
        <f t="shared" si="2"/>
        <v>541795</v>
      </c>
      <c r="N25" s="968">
        <f t="shared" si="2"/>
        <v>478203</v>
      </c>
      <c r="O25" s="968">
        <f t="shared" si="2"/>
        <v>445018</v>
      </c>
      <c r="P25" s="968">
        <f t="shared" si="2"/>
        <v>402689</v>
      </c>
      <c r="Q25" s="968">
        <f t="shared" si="2"/>
        <v>385522</v>
      </c>
      <c r="R25" s="968">
        <f t="shared" si="2"/>
        <v>359333</v>
      </c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</row>
    <row r="26" spans="1:36">
      <c r="A26" s="112">
        <f t="shared" si="1"/>
        <v>12</v>
      </c>
      <c r="B26" s="80" t="s">
        <v>381</v>
      </c>
      <c r="G26" s="971">
        <f>-'B.1 F '!D17/1000</f>
        <v>191212.83304073417</v>
      </c>
      <c r="H26" s="1219">
        <f>-'B.1 B'!D17/1000</f>
        <v>185508.66731563731</v>
      </c>
      <c r="I26" s="968">
        <f>[38]K!I26</f>
        <v>178144</v>
      </c>
      <c r="J26" s="968">
        <f>[38]K!J26</f>
        <v>176418</v>
      </c>
      <c r="K26" s="968">
        <f>[38]K!K26</f>
        <v>178946</v>
      </c>
      <c r="L26" s="968">
        <f>[38]K!L26</f>
        <v>175150</v>
      </c>
      <c r="M26" s="968">
        <f>[38]K!M26</f>
        <v>167228</v>
      </c>
      <c r="N26" s="968">
        <f>[38]K!N26</f>
        <v>165298</v>
      </c>
      <c r="O26" s="968">
        <f>[38]K!O26</f>
        <v>160839</v>
      </c>
      <c r="P26" s="968">
        <f>[38]K!P26</f>
        <v>158300</v>
      </c>
      <c r="Q26" s="968">
        <f>[38]K!Q26</f>
        <v>151849</v>
      </c>
      <c r="R26" s="968">
        <f>[38]K!R26</f>
        <v>150795</v>
      </c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</row>
    <row r="27" spans="1:36">
      <c r="A27" s="112">
        <f t="shared" si="1"/>
        <v>13</v>
      </c>
      <c r="B27" s="80" t="s">
        <v>382</v>
      </c>
      <c r="G27" s="968">
        <f t="shared" ref="G27:R27" si="3">G25-G26</f>
        <v>697555.87854575482</v>
      </c>
      <c r="H27" s="1220">
        <f t="shared" si="3"/>
        <v>647648.0345157478</v>
      </c>
      <c r="I27" s="974">
        <f t="shared" si="3"/>
        <v>605962</v>
      </c>
      <c r="J27" s="974">
        <f t="shared" si="3"/>
        <v>564699</v>
      </c>
      <c r="K27" s="974">
        <f t="shared" si="3"/>
        <v>465576</v>
      </c>
      <c r="L27" s="974">
        <f t="shared" si="3"/>
        <v>412224</v>
      </c>
      <c r="M27" s="974">
        <f t="shared" si="3"/>
        <v>374567</v>
      </c>
      <c r="N27" s="974">
        <f t="shared" si="3"/>
        <v>312905</v>
      </c>
      <c r="O27" s="974">
        <f t="shared" si="3"/>
        <v>284179</v>
      </c>
      <c r="P27" s="974">
        <f t="shared" si="3"/>
        <v>244389</v>
      </c>
      <c r="Q27" s="974">
        <f t="shared" si="3"/>
        <v>233673</v>
      </c>
      <c r="R27" s="974">
        <f t="shared" si="3"/>
        <v>208538</v>
      </c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</row>
    <row r="28" spans="1:36">
      <c r="A28" s="112">
        <f t="shared" si="1"/>
        <v>14</v>
      </c>
      <c r="G28" s="968"/>
      <c r="H28" s="968"/>
      <c r="I28" s="968"/>
      <c r="J28" s="968"/>
      <c r="K28" s="968"/>
      <c r="L28" s="968"/>
      <c r="M28" s="968"/>
      <c r="N28" s="968"/>
      <c r="O28" s="968"/>
      <c r="P28" s="968"/>
      <c r="Q28" s="968"/>
      <c r="R28" s="968"/>
    </row>
    <row r="29" spans="1:36">
      <c r="A29" s="112">
        <f t="shared" si="1"/>
        <v>15</v>
      </c>
      <c r="B29" s="80" t="s">
        <v>776</v>
      </c>
      <c r="G29" s="968">
        <f>'B.1 F '!D16/1000</f>
        <v>0</v>
      </c>
      <c r="H29" s="968">
        <f>'B.1 B'!D16/1000</f>
        <v>0</v>
      </c>
      <c r="I29" s="968">
        <f>[38]K!I29</f>
        <v>6625</v>
      </c>
      <c r="J29" s="968">
        <f>[38]K!J29</f>
        <v>6557</v>
      </c>
      <c r="K29" s="968">
        <f>[38]K!K29</f>
        <v>42150</v>
      </c>
      <c r="L29" s="968">
        <f>[38]K!L29</f>
        <v>32838</v>
      </c>
      <c r="M29" s="968">
        <f>[38]K!M29</f>
        <v>10146.378000000001</v>
      </c>
      <c r="N29" s="968">
        <f>[38]K!N29</f>
        <v>26310.035</v>
      </c>
      <c r="O29" s="968">
        <f>[38]K!O29</f>
        <v>12708</v>
      </c>
      <c r="P29" s="968">
        <f>[38]K!P29</f>
        <v>16578</v>
      </c>
      <c r="Q29" s="968">
        <f>[38]K!Q29</f>
        <v>6006</v>
      </c>
      <c r="R29" s="968">
        <f>[38]K!R29</f>
        <v>3306</v>
      </c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</row>
    <row r="30" spans="1:36">
      <c r="A30" s="112">
        <f t="shared" si="1"/>
        <v>16</v>
      </c>
      <c r="B30" s="80" t="s">
        <v>321</v>
      </c>
      <c r="G30" s="971"/>
      <c r="H30" s="971"/>
      <c r="I30" s="971"/>
      <c r="J30" s="971"/>
      <c r="K30" s="527"/>
      <c r="L30" s="971"/>
      <c r="M30" s="971"/>
      <c r="N30" s="971"/>
      <c r="O30" s="971"/>
      <c r="P30" s="971"/>
      <c r="Q30" s="971"/>
      <c r="R30" s="971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</row>
    <row r="31" spans="1:36">
      <c r="A31" s="112">
        <f t="shared" si="1"/>
        <v>17</v>
      </c>
      <c r="B31" s="80" t="s">
        <v>1159</v>
      </c>
      <c r="G31" s="968">
        <f t="shared" ref="G31:R31" si="4">SUM(G29:G30)</f>
        <v>0</v>
      </c>
      <c r="H31" s="968">
        <f t="shared" si="4"/>
        <v>0</v>
      </c>
      <c r="I31" s="968">
        <f t="shared" si="4"/>
        <v>6625</v>
      </c>
      <c r="J31" s="968">
        <f t="shared" si="4"/>
        <v>6557</v>
      </c>
      <c r="K31" s="968">
        <f t="shared" si="4"/>
        <v>42150</v>
      </c>
      <c r="L31" s="968">
        <f t="shared" si="4"/>
        <v>32838</v>
      </c>
      <c r="M31" s="968">
        <f t="shared" si="4"/>
        <v>10146.378000000001</v>
      </c>
      <c r="N31" s="968">
        <f t="shared" si="4"/>
        <v>26310.035</v>
      </c>
      <c r="O31" s="968">
        <f t="shared" si="4"/>
        <v>12708</v>
      </c>
      <c r="P31" s="968">
        <f t="shared" si="4"/>
        <v>16578</v>
      </c>
      <c r="Q31" s="968">
        <f t="shared" si="4"/>
        <v>6006</v>
      </c>
      <c r="R31" s="968">
        <f t="shared" si="4"/>
        <v>3306</v>
      </c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</row>
    <row r="32" spans="1:36">
      <c r="A32" s="112">
        <f t="shared" si="1"/>
        <v>18</v>
      </c>
      <c r="G32" s="968"/>
      <c r="H32" s="968"/>
      <c r="I32" s="968"/>
      <c r="J32" s="968"/>
      <c r="K32" s="968"/>
      <c r="L32" s="968"/>
      <c r="M32" s="968"/>
      <c r="N32" s="968"/>
      <c r="O32" s="964"/>
      <c r="P32" s="968"/>
      <c r="Q32" s="968"/>
      <c r="R32" s="968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</row>
    <row r="33" spans="1:36">
      <c r="A33" s="112">
        <f t="shared" si="1"/>
        <v>19</v>
      </c>
      <c r="B33" s="80" t="s">
        <v>95</v>
      </c>
      <c r="G33" s="1221">
        <f t="shared" ref="G33:R33" si="5">G27+G31</f>
        <v>697555.87854575482</v>
      </c>
      <c r="H33" s="1221">
        <f t="shared" si="5"/>
        <v>647648.0345157478</v>
      </c>
      <c r="I33" s="1221">
        <f t="shared" si="5"/>
        <v>612587</v>
      </c>
      <c r="J33" s="1221">
        <f t="shared" si="5"/>
        <v>571256</v>
      </c>
      <c r="K33" s="1221">
        <f t="shared" si="5"/>
        <v>507726</v>
      </c>
      <c r="L33" s="1221">
        <f t="shared" si="5"/>
        <v>445062</v>
      </c>
      <c r="M33" s="1221">
        <f t="shared" si="5"/>
        <v>384713.37800000003</v>
      </c>
      <c r="N33" s="1221">
        <f t="shared" si="5"/>
        <v>339215.03499999997</v>
      </c>
      <c r="O33" s="1221">
        <f t="shared" si="5"/>
        <v>296887</v>
      </c>
      <c r="P33" s="1221">
        <f t="shared" si="5"/>
        <v>260967</v>
      </c>
      <c r="Q33" s="1221">
        <f t="shared" si="5"/>
        <v>239679</v>
      </c>
      <c r="R33" s="1221">
        <f t="shared" si="5"/>
        <v>211844</v>
      </c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</row>
    <row r="34" spans="1:36">
      <c r="A34" s="112">
        <f t="shared" si="1"/>
        <v>20</v>
      </c>
      <c r="G34" s="968"/>
      <c r="H34" s="964"/>
      <c r="I34" s="968"/>
      <c r="J34" s="968"/>
      <c r="K34" s="968"/>
      <c r="L34" s="964"/>
      <c r="M34" s="968"/>
      <c r="N34" s="968"/>
      <c r="O34" s="968"/>
      <c r="P34" s="968"/>
      <c r="Q34" s="968"/>
      <c r="R34" s="968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</row>
    <row r="35" spans="1:36">
      <c r="A35" s="112">
        <f t="shared" si="1"/>
        <v>21</v>
      </c>
      <c r="B35" s="80" t="s">
        <v>383</v>
      </c>
      <c r="G35" s="972">
        <v>0</v>
      </c>
      <c r="H35" s="972">
        <v>0</v>
      </c>
      <c r="I35" s="972">
        <v>0</v>
      </c>
      <c r="J35" s="972">
        <v>0</v>
      </c>
      <c r="K35" s="972">
        <v>0</v>
      </c>
      <c r="L35" s="972">
        <v>0</v>
      </c>
      <c r="M35" s="972">
        <v>0</v>
      </c>
      <c r="N35" s="972">
        <v>0</v>
      </c>
      <c r="O35" s="972">
        <v>0</v>
      </c>
      <c r="P35" s="972">
        <v>0</v>
      </c>
      <c r="Q35" s="972">
        <v>0</v>
      </c>
      <c r="R35" s="972">
        <v>0</v>
      </c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</row>
    <row r="36" spans="1:36">
      <c r="A36" s="112">
        <f t="shared" si="1"/>
        <v>22</v>
      </c>
      <c r="G36" s="964"/>
      <c r="H36" s="964"/>
      <c r="I36" s="964"/>
      <c r="J36" s="964"/>
      <c r="K36" s="964"/>
      <c r="L36" s="964"/>
      <c r="M36" s="964"/>
      <c r="N36" s="964"/>
      <c r="O36" s="964"/>
      <c r="P36" s="964"/>
      <c r="Q36" s="964"/>
      <c r="R36" s="964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</row>
    <row r="37" spans="1:36">
      <c r="A37" s="112">
        <f t="shared" si="1"/>
        <v>23</v>
      </c>
      <c r="G37" s="964"/>
      <c r="H37" s="964"/>
      <c r="I37" s="964"/>
      <c r="J37" s="964"/>
      <c r="K37" s="964"/>
      <c r="L37" s="964"/>
      <c r="M37" s="964"/>
      <c r="N37" s="964"/>
      <c r="O37" s="964"/>
      <c r="P37" s="964"/>
      <c r="Q37" s="964"/>
      <c r="R37" s="964"/>
    </row>
    <row r="38" spans="1:36">
      <c r="A38" s="112">
        <f t="shared" si="1"/>
        <v>24</v>
      </c>
      <c r="B38" s="533" t="s">
        <v>1213</v>
      </c>
      <c r="G38" s="964"/>
      <c r="H38" s="964"/>
      <c r="I38" s="964"/>
      <c r="J38" s="964"/>
      <c r="K38" s="964"/>
      <c r="L38" s="964"/>
      <c r="M38" s="964"/>
      <c r="N38" s="964"/>
      <c r="O38" s="964"/>
      <c r="P38" s="964"/>
      <c r="Q38" s="964"/>
      <c r="R38" s="964"/>
      <c r="S38" s="65"/>
      <c r="T38" s="65"/>
      <c r="U38" s="65"/>
      <c r="AA38" s="102"/>
    </row>
    <row r="39" spans="1:36">
      <c r="A39" s="112">
        <f t="shared" si="1"/>
        <v>25</v>
      </c>
      <c r="B39" s="500" t="s">
        <v>1052</v>
      </c>
      <c r="C39" s="802"/>
      <c r="D39" s="802"/>
      <c r="G39" s="964"/>
      <c r="H39" s="964"/>
      <c r="I39" s="964"/>
      <c r="J39" s="964"/>
      <c r="K39" s="964"/>
      <c r="L39" s="964"/>
      <c r="M39" s="964"/>
      <c r="N39" s="964"/>
      <c r="O39" s="964"/>
      <c r="P39" s="964"/>
      <c r="Q39" s="964"/>
      <c r="R39" s="964"/>
      <c r="S39" s="65"/>
      <c r="T39" s="65"/>
      <c r="U39" s="65"/>
      <c r="X39" s="102"/>
      <c r="AA39" s="102"/>
      <c r="AC39" s="102"/>
      <c r="AD39" s="102"/>
      <c r="AE39" s="102"/>
      <c r="AF39" s="102"/>
      <c r="AG39" s="102"/>
      <c r="AH39" s="102"/>
    </row>
    <row r="40" spans="1:36" ht="15.75">
      <c r="A40" s="112">
        <f t="shared" si="1"/>
        <v>26</v>
      </c>
      <c r="B40" s="80" t="s">
        <v>1053</v>
      </c>
      <c r="G40" s="975">
        <f>'J-1 F'!G20</f>
        <v>21556.707437275982</v>
      </c>
      <c r="H40" s="975">
        <f>'J-1 Base'!G19</f>
        <v>21556.707437275982</v>
      </c>
      <c r="I40" s="975">
        <f>[38]K!I40</f>
        <v>0</v>
      </c>
      <c r="J40" s="975">
        <f>[38]K!J40</f>
        <v>464915</v>
      </c>
      <c r="K40" s="975">
        <f>[38]K!K40</f>
        <v>575780</v>
      </c>
      <c r="L40" s="975">
        <f>[38]K!L40</f>
        <v>447745</v>
      </c>
      <c r="M40" s="975">
        <f>[38]K!M40</f>
        <v>829811</v>
      </c>
      <c r="N40" s="975">
        <f>[38]K!N40</f>
        <v>457927</v>
      </c>
      <c r="O40" s="975">
        <f>[38]K!O40</f>
        <v>196695</v>
      </c>
      <c r="P40" s="975">
        <f>[38]K!P40</f>
        <v>367984</v>
      </c>
      <c r="Q40" s="975">
        <f>[38]K!Q40</f>
        <v>570929</v>
      </c>
      <c r="R40" s="975">
        <f>[38]K!R40</f>
        <v>206396</v>
      </c>
      <c r="S40" s="818"/>
      <c r="X40" s="102"/>
      <c r="Z40" s="102"/>
      <c r="AA40" s="102"/>
      <c r="AC40" s="102"/>
      <c r="AD40" s="102"/>
      <c r="AE40" s="102"/>
      <c r="AF40" s="102"/>
      <c r="AG40" s="102"/>
      <c r="AH40" s="102"/>
    </row>
    <row r="41" spans="1:36" ht="15.75">
      <c r="A41" s="112">
        <f t="shared" si="1"/>
        <v>27</v>
      </c>
      <c r="B41" s="80" t="s">
        <v>1054</v>
      </c>
      <c r="G41" s="975">
        <f>'J-1 F'!G22</f>
        <v>5119937.5239615394</v>
      </c>
      <c r="H41" s="975">
        <f>'J-1 Base'!G21</f>
        <v>4781475.9855000013</v>
      </c>
      <c r="I41" s="975">
        <f>[38]K!I41</f>
        <v>4531944</v>
      </c>
      <c r="J41" s="975">
        <f>[38]K!J41</f>
        <v>3529452</v>
      </c>
      <c r="K41" s="975">
        <f>[38]K!K41</f>
        <v>3068665</v>
      </c>
      <c r="L41" s="975">
        <f>[38]K!L41</f>
        <v>3067045</v>
      </c>
      <c r="M41" s="975">
        <f>[38]K!M41</f>
        <v>2438779</v>
      </c>
      <c r="N41" s="975">
        <f>[38]K!N41</f>
        <v>2437515</v>
      </c>
      <c r="O41" s="975">
        <f>[38]K!O41</f>
        <v>2455986</v>
      </c>
      <c r="P41" s="975">
        <f>[38]K!P41</f>
        <v>2455671</v>
      </c>
      <c r="Q41" s="975">
        <f>[38]K!Q41</f>
        <v>1956305</v>
      </c>
      <c r="R41" s="975">
        <f>[38]K!R41</f>
        <v>2206117</v>
      </c>
      <c r="S41" s="818"/>
      <c r="AA41" s="102"/>
    </row>
    <row r="42" spans="1:36">
      <c r="A42" s="112">
        <f t="shared" si="1"/>
        <v>28</v>
      </c>
      <c r="B42" s="80" t="s">
        <v>254</v>
      </c>
      <c r="G42" s="968"/>
      <c r="H42" s="968"/>
      <c r="I42" s="975">
        <f>[38]K!I42</f>
        <v>0</v>
      </c>
      <c r="J42" s="975">
        <f>[38]K!J42</f>
        <v>0</v>
      </c>
      <c r="K42" s="975">
        <f>[38]K!K42</f>
        <v>0</v>
      </c>
      <c r="L42" s="975">
        <f>[38]K!L42</f>
        <v>0</v>
      </c>
      <c r="M42" s="975">
        <f>[38]K!M42</f>
        <v>0</v>
      </c>
      <c r="N42" s="975">
        <f>[38]K!N42</f>
        <v>0</v>
      </c>
      <c r="O42" s="975">
        <f>[38]K!O42</f>
        <v>0</v>
      </c>
      <c r="P42" s="975">
        <f>[38]K!P42</f>
        <v>0</v>
      </c>
      <c r="Q42" s="975">
        <f>[38]K!Q42</f>
        <v>0</v>
      </c>
      <c r="R42" s="975">
        <f>[38]K!R42</f>
        <v>0</v>
      </c>
      <c r="X42" s="102"/>
      <c r="AA42" s="102"/>
      <c r="AC42" s="102"/>
      <c r="AD42" s="102"/>
      <c r="AE42" s="102"/>
      <c r="AF42" s="102"/>
      <c r="AG42" s="102"/>
      <c r="AH42" s="102"/>
    </row>
    <row r="43" spans="1:36" ht="15.75">
      <c r="A43" s="112">
        <f t="shared" si="1"/>
        <v>29</v>
      </c>
      <c r="B43" s="80" t="s">
        <v>255</v>
      </c>
      <c r="G43" s="976">
        <f>'J-1 F'!G26</f>
        <v>6828047.9001038456</v>
      </c>
      <c r="H43" s="976">
        <f>'J-1 Base'!G25</f>
        <v>6828047.9001038456</v>
      </c>
      <c r="I43" s="975">
        <f>[38]K!I43</f>
        <v>6791203</v>
      </c>
      <c r="J43" s="975">
        <f>[38]K!J43</f>
        <v>5750223</v>
      </c>
      <c r="K43" s="975">
        <f>[38]K!K43</f>
        <v>4769951</v>
      </c>
      <c r="L43" s="975">
        <f>[38]K!L43</f>
        <v>3898666</v>
      </c>
      <c r="M43" s="975">
        <f>[38]K!M43</f>
        <v>3463059</v>
      </c>
      <c r="N43" s="975">
        <f>[38]K!N43</f>
        <v>3194797</v>
      </c>
      <c r="O43" s="975">
        <f>[38]K!O43</f>
        <v>3086232</v>
      </c>
      <c r="P43" s="975">
        <f>[38]K!P43</f>
        <v>2580409</v>
      </c>
      <c r="Q43" s="975">
        <f>[38]K!Q43</f>
        <v>2359243</v>
      </c>
      <c r="R43" s="975">
        <f>[38]K!R43</f>
        <v>2255421</v>
      </c>
      <c r="S43" s="818"/>
      <c r="AA43" s="102"/>
    </row>
    <row r="44" spans="1:36">
      <c r="A44" s="112">
        <f t="shared" si="1"/>
        <v>30</v>
      </c>
      <c r="G44" s="968"/>
      <c r="H44" s="968"/>
      <c r="I44" s="974"/>
      <c r="J44" s="974"/>
      <c r="K44" s="974"/>
      <c r="L44" s="974"/>
      <c r="M44" s="974"/>
      <c r="N44" s="974"/>
      <c r="O44" s="974"/>
      <c r="P44" s="974"/>
      <c r="Q44" s="974"/>
      <c r="R44" s="974"/>
      <c r="X44" s="102"/>
      <c r="Z44" s="102"/>
      <c r="AA44" s="102"/>
      <c r="AC44" s="102"/>
      <c r="AD44" s="102"/>
      <c r="AE44" s="102"/>
      <c r="AF44" s="102"/>
      <c r="AG44" s="102"/>
      <c r="AH44" s="102"/>
    </row>
    <row r="45" spans="1:36">
      <c r="A45" s="112">
        <f t="shared" si="1"/>
        <v>31</v>
      </c>
      <c r="B45" s="80" t="s">
        <v>95</v>
      </c>
      <c r="G45" s="1221">
        <f>'J-1 F'!G28</f>
        <v>11969542.131502662</v>
      </c>
      <c r="H45" s="1221">
        <f>'J-1 Base'!G27</f>
        <v>11631080.593041122</v>
      </c>
      <c r="I45" s="1221">
        <f t="shared" ref="I45:R45" si="6">SUM(I40:I43)</f>
        <v>11323147</v>
      </c>
      <c r="J45" s="1221">
        <f t="shared" si="6"/>
        <v>9744590</v>
      </c>
      <c r="K45" s="1221">
        <f t="shared" si="6"/>
        <v>8414396</v>
      </c>
      <c r="L45" s="1221">
        <f t="shared" si="6"/>
        <v>7413456</v>
      </c>
      <c r="M45" s="1221">
        <f t="shared" si="6"/>
        <v>6731649</v>
      </c>
      <c r="N45" s="1221">
        <f t="shared" si="6"/>
        <v>6090239</v>
      </c>
      <c r="O45" s="1221">
        <f>SUM(O40:O43)</f>
        <v>5738913</v>
      </c>
      <c r="P45" s="1221">
        <f t="shared" si="6"/>
        <v>5404064</v>
      </c>
      <c r="Q45" s="1221">
        <f t="shared" si="6"/>
        <v>4886477</v>
      </c>
      <c r="R45" s="1221">
        <f t="shared" si="6"/>
        <v>4667934</v>
      </c>
      <c r="AA45" s="102"/>
    </row>
    <row r="46" spans="1:36">
      <c r="A46" s="112">
        <f t="shared" si="1"/>
        <v>32</v>
      </c>
      <c r="G46" s="968"/>
      <c r="H46" s="968"/>
      <c r="I46" s="968"/>
      <c r="J46" s="968"/>
      <c r="K46" s="968"/>
      <c r="L46" s="968"/>
      <c r="M46" s="968"/>
      <c r="N46" s="968"/>
      <c r="O46" s="968"/>
      <c r="P46" s="968"/>
      <c r="Q46" s="968"/>
      <c r="R46" s="968"/>
      <c r="X46" s="102"/>
      <c r="Z46" s="102"/>
      <c r="AA46" s="102"/>
      <c r="AB46" s="102"/>
      <c r="AC46" s="102"/>
      <c r="AD46" s="102"/>
      <c r="AE46" s="102"/>
      <c r="AF46" s="102"/>
      <c r="AG46" s="102"/>
      <c r="AH46" s="102"/>
    </row>
    <row r="47" spans="1:36">
      <c r="A47" s="112">
        <f t="shared" si="1"/>
        <v>33</v>
      </c>
      <c r="B47" s="500" t="s">
        <v>256</v>
      </c>
      <c r="C47" s="802"/>
      <c r="D47" s="802"/>
      <c r="E47" s="802"/>
      <c r="F47" s="802"/>
      <c r="G47" s="968"/>
      <c r="H47" s="968"/>
      <c r="I47" s="968"/>
      <c r="J47" s="968"/>
      <c r="K47" s="968"/>
      <c r="L47" s="968"/>
      <c r="M47" s="968"/>
      <c r="N47" s="968"/>
      <c r="O47" s="968"/>
      <c r="P47" s="968"/>
      <c r="Q47" s="968"/>
      <c r="R47" s="968"/>
      <c r="AA47" s="102"/>
    </row>
    <row r="48" spans="1:36" ht="15.75">
      <c r="A48" s="112">
        <f t="shared" si="1"/>
        <v>34</v>
      </c>
      <c r="B48" s="80" t="s">
        <v>1168</v>
      </c>
      <c r="G48" s="975">
        <f>+I.1!L19</f>
        <v>173466.92294966945</v>
      </c>
      <c r="H48" s="975">
        <f>+I.1!J19</f>
        <v>166354.70566691415</v>
      </c>
      <c r="I48" s="975">
        <f>[38]K!I48</f>
        <v>153508</v>
      </c>
      <c r="J48" s="975">
        <f>[38]K!J48</f>
        <v>177709</v>
      </c>
      <c r="K48" s="975">
        <f>[38]K!K48</f>
        <v>180855</v>
      </c>
      <c r="L48" s="975">
        <f>[38]K!L48</f>
        <v>164102</v>
      </c>
      <c r="M48" s="975">
        <f>[38]K!M48</f>
        <v>147431</v>
      </c>
      <c r="N48" s="975">
        <f>[38]K!N48</f>
        <v>170468</v>
      </c>
      <c r="O48" s="975">
        <f>[38]K!O48</f>
        <v>196882</v>
      </c>
      <c r="P48" s="975">
        <f>[38]K!P48</f>
        <v>162968</v>
      </c>
      <c r="Q48" s="975">
        <f>[38]K!Q48</f>
        <v>134778</v>
      </c>
      <c r="R48" s="975">
        <f>[38]K!R48</f>
        <v>149662</v>
      </c>
      <c r="S48" s="818"/>
      <c r="AA48" s="102"/>
    </row>
    <row r="49" spans="1:34" ht="15.75">
      <c r="A49" s="112">
        <f t="shared" si="1"/>
        <v>35</v>
      </c>
      <c r="B49" s="80" t="s">
        <v>286</v>
      </c>
      <c r="G49" s="968"/>
      <c r="H49" s="968"/>
      <c r="I49" s="973"/>
      <c r="J49" s="973"/>
      <c r="K49" s="973"/>
      <c r="L49" s="973"/>
      <c r="M49" s="973"/>
      <c r="N49" s="973"/>
      <c r="O49" s="973"/>
      <c r="P49" s="973"/>
      <c r="Q49" s="973"/>
      <c r="R49" s="973"/>
      <c r="S49" s="818"/>
      <c r="X49" s="102"/>
      <c r="Z49" s="102"/>
      <c r="AA49" s="102"/>
      <c r="AC49" s="102"/>
      <c r="AD49" s="102"/>
      <c r="AE49" s="102"/>
      <c r="AF49" s="102"/>
      <c r="AG49" s="102"/>
      <c r="AH49" s="102"/>
    </row>
    <row r="50" spans="1:34">
      <c r="A50" s="112">
        <f t="shared" si="1"/>
        <v>36</v>
      </c>
      <c r="B50" s="80" t="s">
        <v>615</v>
      </c>
      <c r="G50" s="975">
        <f>+I.1!L29+I.1!L21</f>
        <v>137851.92570928688</v>
      </c>
      <c r="H50" s="975">
        <f>+I.1!J29+I.1!J21</f>
        <v>130640.55713126183</v>
      </c>
      <c r="I50" s="975">
        <f>[38]K!I50</f>
        <v>118505</v>
      </c>
      <c r="J50" s="975">
        <f>[38]K!J50</f>
        <v>144252</v>
      </c>
      <c r="K50" s="975">
        <f>[38]K!K50</f>
        <v>145642</v>
      </c>
      <c r="L50" s="975">
        <f>[38]K!L50</f>
        <v>124455</v>
      </c>
      <c r="M50" s="975">
        <f>[38]K!M50</f>
        <v>113447</v>
      </c>
      <c r="N50" s="975">
        <f>[38]K!N50</f>
        <v>141526</v>
      </c>
      <c r="O50" s="975">
        <f>[38]K!O50</f>
        <v>166452</v>
      </c>
      <c r="P50" s="975">
        <f>[38]K!P50</f>
        <v>139358</v>
      </c>
      <c r="Q50" s="975">
        <f>[38]K!Q50</f>
        <v>112027</v>
      </c>
      <c r="R50" s="975">
        <f>[38]K!R50</f>
        <v>126219</v>
      </c>
      <c r="Z50" s="102"/>
      <c r="AA50" s="102"/>
    </row>
    <row r="51" spans="1:34">
      <c r="A51" s="112">
        <f t="shared" si="1"/>
        <v>37</v>
      </c>
      <c r="B51" s="80" t="s">
        <v>257</v>
      </c>
      <c r="G51" s="975"/>
      <c r="H51" s="975"/>
      <c r="I51" s="973"/>
      <c r="J51" s="973"/>
      <c r="K51" s="973"/>
      <c r="L51" s="973"/>
      <c r="M51" s="973"/>
      <c r="N51" s="973"/>
      <c r="O51" s="973"/>
      <c r="P51" s="973"/>
      <c r="Q51" s="973"/>
      <c r="R51" s="973"/>
      <c r="X51" s="102"/>
      <c r="Z51" s="102"/>
      <c r="AA51" s="102"/>
      <c r="AC51" s="102"/>
      <c r="AD51" s="102"/>
      <c r="AE51" s="102"/>
      <c r="AF51" s="102"/>
      <c r="AG51" s="102"/>
      <c r="AH51" s="102"/>
    </row>
    <row r="52" spans="1:34">
      <c r="A52" s="112">
        <f t="shared" si="1"/>
        <v>38</v>
      </c>
      <c r="B52" s="80" t="s">
        <v>258</v>
      </c>
      <c r="G52" s="975"/>
      <c r="H52" s="975"/>
      <c r="I52" s="973"/>
      <c r="J52" s="973"/>
      <c r="K52" s="973"/>
      <c r="L52" s="973"/>
      <c r="M52" s="973"/>
      <c r="N52" s="973"/>
      <c r="O52" s="973"/>
      <c r="P52" s="973"/>
      <c r="Q52" s="973"/>
      <c r="R52" s="973"/>
      <c r="Z52" s="102"/>
      <c r="AA52" s="102"/>
    </row>
    <row r="53" spans="1:34">
      <c r="A53" s="112">
        <f t="shared" si="1"/>
        <v>39</v>
      </c>
      <c r="B53" s="80" t="s">
        <v>259</v>
      </c>
      <c r="G53" s="968">
        <f>+I.1!L43</f>
        <v>6852.1133363651288</v>
      </c>
      <c r="H53" s="968">
        <f>+I.1!J43</f>
        <v>7177.2921055139459</v>
      </c>
      <c r="I53" s="975">
        <f>[38]K!I53</f>
        <v>3380</v>
      </c>
      <c r="J53" s="975">
        <f>[38]K!J53</f>
        <v>6288</v>
      </c>
      <c r="K53" s="975">
        <f>[38]K!K53</f>
        <v>8861</v>
      </c>
      <c r="L53" s="975">
        <f>[38]K!L53</f>
        <v>9697</v>
      </c>
      <c r="M53" s="975">
        <f>[38]K!M53</f>
        <v>9516</v>
      </c>
      <c r="N53" s="975">
        <f>[38]K!N53</f>
        <v>9884</v>
      </c>
      <c r="O53" s="975">
        <f>[38]K!O53</f>
        <v>9671</v>
      </c>
      <c r="P53" s="975">
        <f>[38]K!P53</f>
        <v>7060</v>
      </c>
      <c r="Q53" s="975">
        <f>[38]K!Q53</f>
        <v>8157</v>
      </c>
      <c r="R53" s="975">
        <f>[38]K!R53</f>
        <v>8094</v>
      </c>
      <c r="X53" s="102"/>
      <c r="Z53" s="102"/>
      <c r="AA53" s="102"/>
      <c r="AC53" s="102"/>
      <c r="AD53" s="102"/>
      <c r="AE53" s="102"/>
      <c r="AF53" s="102"/>
      <c r="AG53" s="102"/>
      <c r="AH53" s="102"/>
    </row>
    <row r="54" spans="1:34">
      <c r="A54" s="112">
        <f t="shared" si="1"/>
        <v>40</v>
      </c>
      <c r="B54" s="80" t="s">
        <v>260</v>
      </c>
      <c r="G54" s="976"/>
      <c r="H54" s="976"/>
      <c r="I54" s="973"/>
      <c r="J54" s="973"/>
      <c r="K54" s="973"/>
      <c r="L54" s="973"/>
      <c r="M54" s="973"/>
      <c r="N54" s="973"/>
      <c r="O54" s="973"/>
      <c r="P54" s="973"/>
      <c r="Q54" s="973"/>
      <c r="R54" s="973"/>
      <c r="Z54" s="102"/>
      <c r="AA54" s="102"/>
    </row>
    <row r="55" spans="1:34">
      <c r="A55" s="112">
        <f t="shared" si="1"/>
        <v>41</v>
      </c>
      <c r="B55" s="80" t="s">
        <v>787</v>
      </c>
      <c r="G55" s="968">
        <f t="shared" ref="G55:R55" si="7">G48-G50-G53-G54</f>
        <v>28762.883904017439</v>
      </c>
      <c r="H55" s="968">
        <f t="shared" si="7"/>
        <v>28536.856430138374</v>
      </c>
      <c r="I55" s="974">
        <f t="shared" si="7"/>
        <v>31623</v>
      </c>
      <c r="J55" s="974">
        <f t="shared" si="7"/>
        <v>27169</v>
      </c>
      <c r="K55" s="974">
        <f t="shared" si="7"/>
        <v>26352</v>
      </c>
      <c r="L55" s="974">
        <f t="shared" si="7"/>
        <v>29950</v>
      </c>
      <c r="M55" s="974">
        <f t="shared" si="7"/>
        <v>24468</v>
      </c>
      <c r="N55" s="974">
        <f t="shared" si="7"/>
        <v>19058</v>
      </c>
      <c r="O55" s="974">
        <f t="shared" si="7"/>
        <v>20759</v>
      </c>
      <c r="P55" s="974">
        <f t="shared" si="7"/>
        <v>16550</v>
      </c>
      <c r="Q55" s="974">
        <f t="shared" si="7"/>
        <v>14594</v>
      </c>
      <c r="R55" s="974">
        <f t="shared" si="7"/>
        <v>15349</v>
      </c>
      <c r="Z55" s="102"/>
      <c r="AA55" s="102"/>
    </row>
    <row r="56" spans="1:34" ht="15.75">
      <c r="A56" s="112">
        <f t="shared" si="1"/>
        <v>42</v>
      </c>
      <c r="B56" s="80" t="s">
        <v>961</v>
      </c>
      <c r="G56" s="975">
        <v>0</v>
      </c>
      <c r="H56" s="975">
        <v>0</v>
      </c>
      <c r="I56" s="975">
        <f>[38]K!I56</f>
        <v>614</v>
      </c>
      <c r="J56" s="975">
        <f>[38]K!J56</f>
        <v>1513</v>
      </c>
      <c r="K56" s="975">
        <f>[38]K!K56</f>
        <v>1239</v>
      </c>
      <c r="L56" s="975">
        <f>[38]K!L56</f>
        <v>379</v>
      </c>
      <c r="M56" s="975">
        <f>[38]K!M56</f>
        <v>175</v>
      </c>
      <c r="N56" s="975">
        <f>[38]K!N56</f>
        <v>182</v>
      </c>
      <c r="O56" s="975">
        <f>[38]K!O56</f>
        <v>139</v>
      </c>
      <c r="P56" s="975">
        <f>[38]K!P56</f>
        <v>88</v>
      </c>
      <c r="Q56" s="975">
        <f>[38]K!Q56</f>
        <v>101</v>
      </c>
      <c r="R56" s="975">
        <f>[38]K!R56</f>
        <v>22</v>
      </c>
      <c r="S56" s="818"/>
      <c r="Z56" s="102"/>
      <c r="AA56" s="102"/>
      <c r="AC56" s="102"/>
      <c r="AD56" s="102"/>
      <c r="AE56" s="102"/>
      <c r="AF56" s="102"/>
      <c r="AG56" s="102"/>
      <c r="AH56" s="102"/>
    </row>
    <row r="57" spans="1:34">
      <c r="A57" s="112">
        <f t="shared" si="1"/>
        <v>43</v>
      </c>
      <c r="B57" s="80" t="s">
        <v>1055</v>
      </c>
      <c r="G57" s="976">
        <f>+I.1!L38</f>
        <v>2345.0400300000001</v>
      </c>
      <c r="H57" s="976">
        <f>+I.1!J38</f>
        <v>2704.0245999999997</v>
      </c>
      <c r="I57" s="975">
        <f>[38]K!I57</f>
        <v>1861</v>
      </c>
      <c r="J57" s="975">
        <f>[38]K!J57</f>
        <v>2113</v>
      </c>
      <c r="K57" s="975">
        <f>[38]K!K57</f>
        <v>943</v>
      </c>
      <c r="L57" s="975">
        <f>[38]K!L57</f>
        <v>2135</v>
      </c>
      <c r="M57" s="975">
        <f>[38]K!M57</f>
        <v>1912</v>
      </c>
      <c r="N57" s="975">
        <f>[38]K!N57</f>
        <v>2063</v>
      </c>
      <c r="O57" s="975">
        <f>[38]K!O57</f>
        <v>2019</v>
      </c>
      <c r="P57" s="975">
        <f>[38]K!P57</f>
        <v>2033</v>
      </c>
      <c r="Q57" s="975">
        <f>[38]K!Q57</f>
        <v>2046</v>
      </c>
      <c r="R57" s="975">
        <f>[38]K!R57</f>
        <v>2657</v>
      </c>
    </row>
    <row r="58" spans="1:34">
      <c r="A58" s="112">
        <f t="shared" si="1"/>
        <v>44</v>
      </c>
      <c r="B58" s="80" t="s">
        <v>1056</v>
      </c>
      <c r="G58" s="968">
        <f t="shared" ref="G58:R58" si="8">G55+G56+G57</f>
        <v>31107.923934017439</v>
      </c>
      <c r="H58" s="968">
        <f t="shared" si="8"/>
        <v>31240.881030138375</v>
      </c>
      <c r="I58" s="974">
        <f t="shared" si="8"/>
        <v>34098</v>
      </c>
      <c r="J58" s="974">
        <f t="shared" si="8"/>
        <v>30795</v>
      </c>
      <c r="K58" s="974">
        <f t="shared" si="8"/>
        <v>28534</v>
      </c>
      <c r="L58" s="974">
        <f t="shared" si="8"/>
        <v>32464</v>
      </c>
      <c r="M58" s="974">
        <f t="shared" si="8"/>
        <v>26555</v>
      </c>
      <c r="N58" s="974">
        <f>N55+N56+N57</f>
        <v>21303</v>
      </c>
      <c r="O58" s="974">
        <f t="shared" si="8"/>
        <v>22917</v>
      </c>
      <c r="P58" s="974">
        <f t="shared" si="8"/>
        <v>18671</v>
      </c>
      <c r="Q58" s="974">
        <f t="shared" si="8"/>
        <v>16741</v>
      </c>
      <c r="R58" s="974">
        <f t="shared" si="8"/>
        <v>18028</v>
      </c>
    </row>
    <row r="59" spans="1:34">
      <c r="A59" s="112">
        <f t="shared" si="1"/>
        <v>45</v>
      </c>
      <c r="B59" s="80" t="s">
        <v>1057</v>
      </c>
      <c r="G59" s="976">
        <f>+I.1!L41</f>
        <v>10496.657164710725</v>
      </c>
      <c r="H59" s="976">
        <f>+I.1!J41</f>
        <v>9651.4713099451128</v>
      </c>
      <c r="I59" s="1222">
        <f>[38]K!I59</f>
        <v>9366</v>
      </c>
      <c r="J59" s="1222">
        <f>[38]K!J59</f>
        <v>9456</v>
      </c>
      <c r="K59" s="1222">
        <f>[38]K!K59</f>
        <v>8022</v>
      </c>
      <c r="L59" s="1222">
        <f>[38]K!L59</f>
        <v>8009</v>
      </c>
      <c r="M59" s="1222">
        <f>[38]K!M59</f>
        <v>7377</v>
      </c>
      <c r="N59" s="1222">
        <f>[38]K!N59</f>
        <v>6698</v>
      </c>
      <c r="O59" s="1222">
        <f>[38]K!O59</f>
        <v>6347</v>
      </c>
      <c r="P59" s="1222">
        <f>[38]K!P59</f>
        <v>6524</v>
      </c>
      <c r="Q59" s="1222">
        <f>[38]K!Q59</f>
        <v>5612</v>
      </c>
      <c r="R59" s="1222">
        <f>[38]K!R59</f>
        <v>5792</v>
      </c>
    </row>
    <row r="60" spans="1:34">
      <c r="A60" s="112">
        <f t="shared" si="1"/>
        <v>46</v>
      </c>
      <c r="B60" s="80" t="s">
        <v>1058</v>
      </c>
      <c r="G60" s="968">
        <f t="shared" ref="G60:R60" si="9">G58-G59</f>
        <v>20611.266769306712</v>
      </c>
      <c r="H60" s="968">
        <f t="shared" si="9"/>
        <v>21589.40972019326</v>
      </c>
      <c r="I60" s="968">
        <f t="shared" si="9"/>
        <v>24732</v>
      </c>
      <c r="J60" s="968">
        <f t="shared" si="9"/>
        <v>21339</v>
      </c>
      <c r="K60" s="968">
        <f t="shared" si="9"/>
        <v>20512</v>
      </c>
      <c r="L60" s="968">
        <f t="shared" si="9"/>
        <v>24455</v>
      </c>
      <c r="M60" s="968">
        <f t="shared" si="9"/>
        <v>19178</v>
      </c>
      <c r="N60" s="968">
        <f t="shared" si="9"/>
        <v>14605</v>
      </c>
      <c r="O60" s="968">
        <f t="shared" si="9"/>
        <v>16570</v>
      </c>
      <c r="P60" s="968">
        <f t="shared" si="9"/>
        <v>12147</v>
      </c>
      <c r="Q60" s="968">
        <f t="shared" si="9"/>
        <v>11129</v>
      </c>
      <c r="R60" s="968">
        <f t="shared" si="9"/>
        <v>12236</v>
      </c>
    </row>
    <row r="61" spans="1:34">
      <c r="A61" s="112">
        <f t="shared" si="1"/>
        <v>47</v>
      </c>
      <c r="B61" s="80" t="s">
        <v>1059</v>
      </c>
      <c r="G61" s="971" t="s">
        <v>337</v>
      </c>
      <c r="H61" s="971" t="s">
        <v>337</v>
      </c>
      <c r="I61" s="971" t="s">
        <v>337</v>
      </c>
      <c r="J61" s="971" t="s">
        <v>337</v>
      </c>
      <c r="K61" s="971" t="s">
        <v>337</v>
      </c>
      <c r="L61" s="971" t="s">
        <v>337</v>
      </c>
      <c r="M61" s="971" t="s">
        <v>337</v>
      </c>
      <c r="N61" s="971" t="s">
        <v>337</v>
      </c>
      <c r="O61" s="971" t="s">
        <v>337</v>
      </c>
      <c r="P61" s="971" t="s">
        <v>337</v>
      </c>
      <c r="Q61" s="971" t="s">
        <v>337</v>
      </c>
      <c r="R61" s="971" t="s">
        <v>337</v>
      </c>
    </row>
    <row r="62" spans="1:34" ht="15.75">
      <c r="A62" s="112">
        <f t="shared" si="1"/>
        <v>48</v>
      </c>
      <c r="B62" s="80" t="s">
        <v>379</v>
      </c>
      <c r="G62" s="1221">
        <f t="shared" ref="G62:R62" si="10">G60</f>
        <v>20611.266769306712</v>
      </c>
      <c r="H62" s="1221">
        <f t="shared" si="10"/>
        <v>21589.40972019326</v>
      </c>
      <c r="I62" s="1221">
        <f t="shared" si="10"/>
        <v>24732</v>
      </c>
      <c r="J62" s="1221">
        <f t="shared" si="10"/>
        <v>21339</v>
      </c>
      <c r="K62" s="1221">
        <f t="shared" si="10"/>
        <v>20512</v>
      </c>
      <c r="L62" s="1221">
        <f t="shared" si="10"/>
        <v>24455</v>
      </c>
      <c r="M62" s="1221">
        <f t="shared" si="10"/>
        <v>19178</v>
      </c>
      <c r="N62" s="1221">
        <f t="shared" si="10"/>
        <v>14605</v>
      </c>
      <c r="O62" s="1221">
        <f t="shared" si="10"/>
        <v>16570</v>
      </c>
      <c r="P62" s="1221">
        <f t="shared" si="10"/>
        <v>12147</v>
      </c>
      <c r="Q62" s="1221">
        <f t="shared" si="10"/>
        <v>11129</v>
      </c>
      <c r="R62" s="1221">
        <f t="shared" si="10"/>
        <v>12236</v>
      </c>
      <c r="S62" s="818"/>
    </row>
    <row r="63" spans="1:34">
      <c r="A63" s="112">
        <f t="shared" si="1"/>
        <v>49</v>
      </c>
      <c r="G63" s="964"/>
      <c r="H63" s="964"/>
      <c r="I63" s="964"/>
      <c r="J63" s="964"/>
      <c r="K63" s="964"/>
      <c r="L63" s="964"/>
      <c r="M63" s="964"/>
      <c r="N63" s="964"/>
      <c r="O63" s="964"/>
      <c r="P63" s="964"/>
      <c r="Q63" s="964"/>
      <c r="R63" s="964"/>
    </row>
    <row r="64" spans="1:34">
      <c r="A64" s="112">
        <f t="shared" si="1"/>
        <v>50</v>
      </c>
      <c r="B64" s="80" t="s">
        <v>721</v>
      </c>
      <c r="G64" s="534">
        <f t="shared" ref="G64:R64" si="11">ROUND(G56/G62,4)</f>
        <v>0</v>
      </c>
      <c r="H64" s="534">
        <f t="shared" si="11"/>
        <v>0</v>
      </c>
      <c r="I64" s="534">
        <f t="shared" ref="I64" si="12">ROUND(I56/I62,4)</f>
        <v>2.4799999999999999E-2</v>
      </c>
      <c r="J64" s="534">
        <f t="shared" si="11"/>
        <v>7.0900000000000005E-2</v>
      </c>
      <c r="K64" s="534">
        <f t="shared" si="11"/>
        <v>6.0400000000000002E-2</v>
      </c>
      <c r="L64" s="534">
        <f t="shared" si="11"/>
        <v>1.55E-2</v>
      </c>
      <c r="M64" s="534">
        <f t="shared" si="11"/>
        <v>9.1000000000000004E-3</v>
      </c>
      <c r="N64" s="534">
        <f t="shared" si="11"/>
        <v>1.2500000000000001E-2</v>
      </c>
      <c r="O64" s="534">
        <f t="shared" si="11"/>
        <v>8.3999999999999995E-3</v>
      </c>
      <c r="P64" s="534">
        <f t="shared" si="11"/>
        <v>7.1999999999999998E-3</v>
      </c>
      <c r="Q64" s="534">
        <f t="shared" si="11"/>
        <v>9.1000000000000004E-3</v>
      </c>
      <c r="R64" s="534">
        <f t="shared" si="11"/>
        <v>1.8E-3</v>
      </c>
    </row>
    <row r="65" spans="1:19">
      <c r="A65" s="112">
        <f t="shared" si="1"/>
        <v>51</v>
      </c>
      <c r="B65" s="80" t="s">
        <v>722</v>
      </c>
      <c r="G65" s="968"/>
      <c r="H65" s="968"/>
      <c r="I65" s="968"/>
      <c r="J65" s="968"/>
      <c r="K65" s="968"/>
      <c r="L65" s="968"/>
      <c r="M65" s="968"/>
      <c r="N65" s="968"/>
      <c r="O65" s="968"/>
      <c r="P65" s="968"/>
      <c r="Q65" s="968"/>
      <c r="R65" s="968"/>
    </row>
    <row r="66" spans="1:19">
      <c r="A66" s="112">
        <f t="shared" si="1"/>
        <v>52</v>
      </c>
      <c r="B66" s="80" t="s">
        <v>723</v>
      </c>
      <c r="G66" s="534">
        <f t="shared" ref="G66:R66" si="13">ROUND(G56/G62,4)</f>
        <v>0</v>
      </c>
      <c r="H66" s="534">
        <f t="shared" si="13"/>
        <v>0</v>
      </c>
      <c r="I66" s="534">
        <f>ROUND(I56/I62,4)</f>
        <v>2.4799999999999999E-2</v>
      </c>
      <c r="J66" s="534">
        <f>ROUND(J56/J62,4)</f>
        <v>7.0900000000000005E-2</v>
      </c>
      <c r="K66" s="534">
        <f t="shared" si="13"/>
        <v>6.0400000000000002E-2</v>
      </c>
      <c r="L66" s="534">
        <f t="shared" si="13"/>
        <v>1.55E-2</v>
      </c>
      <c r="M66" s="534">
        <f t="shared" si="13"/>
        <v>9.1000000000000004E-3</v>
      </c>
      <c r="N66" s="534">
        <f t="shared" si="13"/>
        <v>1.2500000000000001E-2</v>
      </c>
      <c r="O66" s="534">
        <f t="shared" si="13"/>
        <v>8.3999999999999995E-3</v>
      </c>
      <c r="P66" s="534">
        <f t="shared" si="13"/>
        <v>7.1999999999999998E-3</v>
      </c>
      <c r="Q66" s="534">
        <f t="shared" si="13"/>
        <v>9.1000000000000004E-3</v>
      </c>
      <c r="R66" s="534">
        <f t="shared" si="13"/>
        <v>1.8E-3</v>
      </c>
    </row>
    <row r="67" spans="1:19">
      <c r="A67" s="112">
        <f t="shared" si="1"/>
        <v>53</v>
      </c>
      <c r="G67" s="964"/>
      <c r="H67" s="964"/>
      <c r="I67" s="964"/>
      <c r="J67" s="964"/>
      <c r="K67" s="964"/>
      <c r="L67" s="964"/>
      <c r="M67" s="964"/>
      <c r="N67" s="964"/>
      <c r="O67" s="964"/>
      <c r="P67" s="964"/>
      <c r="Q67" s="964"/>
      <c r="R67" s="964"/>
    </row>
    <row r="68" spans="1:19">
      <c r="A68" s="112">
        <f t="shared" si="1"/>
        <v>54</v>
      </c>
      <c r="G68" s="964"/>
      <c r="H68" s="964"/>
      <c r="I68" s="964"/>
      <c r="J68" s="964"/>
      <c r="K68" s="964"/>
      <c r="L68" s="964"/>
      <c r="M68" s="964"/>
      <c r="N68" s="964"/>
      <c r="O68" s="964"/>
      <c r="P68" s="964"/>
      <c r="Q68" s="964"/>
      <c r="R68" s="964"/>
    </row>
    <row r="69" spans="1:19">
      <c r="A69" s="112">
        <f t="shared" si="1"/>
        <v>55</v>
      </c>
      <c r="G69" s="964"/>
      <c r="H69" s="964"/>
      <c r="I69" s="964"/>
      <c r="J69" s="964"/>
      <c r="K69" s="964"/>
      <c r="L69" s="964"/>
      <c r="M69" s="964"/>
      <c r="N69" s="964"/>
      <c r="O69" s="964"/>
      <c r="P69" s="964"/>
      <c r="Q69" s="964"/>
      <c r="R69" s="964"/>
    </row>
    <row r="70" spans="1:19">
      <c r="A70" s="112">
        <f t="shared" si="1"/>
        <v>56</v>
      </c>
      <c r="B70" s="500" t="s">
        <v>1611</v>
      </c>
      <c r="G70" s="964"/>
      <c r="H70" s="964"/>
      <c r="I70" s="964"/>
      <c r="J70" s="964"/>
      <c r="K70" s="964"/>
      <c r="L70" s="964"/>
      <c r="M70" s="964"/>
      <c r="N70" s="964"/>
      <c r="O70" s="964"/>
      <c r="P70" s="964"/>
      <c r="Q70" s="964"/>
      <c r="R70" s="964"/>
    </row>
    <row r="71" spans="1:19">
      <c r="A71" s="112">
        <f t="shared" si="1"/>
        <v>57</v>
      </c>
      <c r="B71" s="80" t="s">
        <v>724</v>
      </c>
      <c r="C71" s="802"/>
      <c r="G71" s="534">
        <f>+'J-1 F'!K20</f>
        <v>0.25169999999999998</v>
      </c>
      <c r="H71" s="534">
        <f>+'J-1 Base'!K19</f>
        <v>0.2517316892072915</v>
      </c>
      <c r="I71" s="534" t="str">
        <f>[38]K!I71</f>
        <v>22.46% (4)</v>
      </c>
      <c r="J71" s="534">
        <f>[38]K!J71</f>
        <v>8.0600000000000005E-2</v>
      </c>
      <c r="K71" s="534">
        <f>[38]K!K71</f>
        <v>3.4000000000000002E-2</v>
      </c>
      <c r="L71" s="534">
        <f>[38]K!L71</f>
        <v>1.6799999999999999E-2</v>
      </c>
      <c r="M71" s="534">
        <f>[38]K!M71</f>
        <v>1.12E-2</v>
      </c>
      <c r="N71" s="534">
        <f>[38]K!N71</f>
        <v>1.09E-2</v>
      </c>
      <c r="O71" s="534">
        <f>[38]K!O71</f>
        <v>1.49E-2</v>
      </c>
      <c r="P71" s="534">
        <f>[38]K!P71</f>
        <v>1.17E-2</v>
      </c>
      <c r="Q71" s="534">
        <f>[38]K!Q71</f>
        <v>1.2200000000000001E-2</v>
      </c>
      <c r="R71" s="534">
        <f>[38]K!R71</f>
        <v>1.03E-2</v>
      </c>
    </row>
    <row r="72" spans="1:19">
      <c r="A72" s="112">
        <f t="shared" si="1"/>
        <v>58</v>
      </c>
      <c r="B72" s="80" t="s">
        <v>725</v>
      </c>
      <c r="F72" s="65"/>
      <c r="G72" s="534">
        <f>+'J-1 F'!K22</f>
        <v>0.04</v>
      </c>
      <c r="H72" s="534">
        <f>+'J-1 Base'!K21</f>
        <v>4.1700000000000001E-2</v>
      </c>
      <c r="I72" s="534">
        <f>[38]K!I72</f>
        <v>4.2599999999999999E-2</v>
      </c>
      <c r="J72" s="534">
        <f>[38]K!J72</f>
        <v>4.6899999999999997E-2</v>
      </c>
      <c r="K72" s="534">
        <f>[38]K!K72</f>
        <v>5.1900000000000002E-2</v>
      </c>
      <c r="L72" s="534">
        <f>[38]K!L72</f>
        <v>5.45E-2</v>
      </c>
      <c r="M72" s="534">
        <f>[38]K!M72</f>
        <v>5.8900000000000001E-2</v>
      </c>
      <c r="N72" s="534">
        <f>[38]K!N72</f>
        <v>5.8999999999999997E-2</v>
      </c>
      <c r="O72" s="534">
        <f>[38]K!O72</f>
        <v>6.0299999999999999E-2</v>
      </c>
      <c r="P72" s="534">
        <f>[38]K!P72</f>
        <v>6.2600000000000003E-2</v>
      </c>
      <c r="Q72" s="534">
        <f>[38]K!Q72</f>
        <v>6.5100000000000005E-2</v>
      </c>
      <c r="R72" s="534">
        <f>[38]K!R72</f>
        <v>6.7500000000000004E-2</v>
      </c>
    </row>
    <row r="73" spans="1:19">
      <c r="A73" s="112">
        <f t="shared" si="1"/>
        <v>59</v>
      </c>
      <c r="B73" s="80" t="s">
        <v>963</v>
      </c>
      <c r="F73" s="65"/>
      <c r="G73" s="968" t="s">
        <v>337</v>
      </c>
      <c r="H73" s="968" t="s">
        <v>337</v>
      </c>
      <c r="I73" s="968" t="str">
        <f>[38]K!I73</f>
        <v>N/A</v>
      </c>
      <c r="J73" s="968" t="str">
        <f>[38]K!J73</f>
        <v>N/A</v>
      </c>
      <c r="K73" s="968" t="str">
        <f>[38]K!K73</f>
        <v>N/A</v>
      </c>
      <c r="L73" s="968" t="str">
        <f>[38]K!L73</f>
        <v>N/A</v>
      </c>
      <c r="M73" s="968" t="str">
        <f>[38]K!M73</f>
        <v>N/A</v>
      </c>
      <c r="N73" s="968" t="str">
        <f>[38]K!N73</f>
        <v>N/A</v>
      </c>
      <c r="O73" s="968" t="str">
        <f>[38]K!O73</f>
        <v>N/A</v>
      </c>
      <c r="P73" s="968" t="str">
        <f>[38]K!P73</f>
        <v>N/A</v>
      </c>
      <c r="Q73" s="968" t="str">
        <f>[38]K!Q73</f>
        <v>N/A</v>
      </c>
      <c r="R73" s="968" t="str">
        <f>[38]K!R73</f>
        <v>N/A</v>
      </c>
    </row>
    <row r="74" spans="1:19">
      <c r="A74" s="112">
        <f t="shared" si="1"/>
        <v>60</v>
      </c>
      <c r="F74" s="65"/>
      <c r="G74" s="968"/>
      <c r="H74" s="968"/>
      <c r="I74" s="968"/>
      <c r="J74" s="968"/>
      <c r="K74" s="968"/>
      <c r="L74" s="968"/>
      <c r="M74" s="968"/>
      <c r="N74" s="968"/>
      <c r="O74" s="968"/>
      <c r="P74" s="968"/>
      <c r="Q74" s="968"/>
      <c r="R74" s="968"/>
    </row>
    <row r="75" spans="1:19">
      <c r="A75" s="112">
        <f t="shared" si="1"/>
        <v>61</v>
      </c>
      <c r="B75" s="500" t="s">
        <v>971</v>
      </c>
      <c r="F75" s="65"/>
      <c r="G75" s="968"/>
      <c r="H75" s="968"/>
      <c r="I75" s="968"/>
      <c r="J75" s="968"/>
      <c r="K75" s="968"/>
      <c r="L75" s="968"/>
      <c r="M75" s="968"/>
      <c r="N75" s="968"/>
      <c r="O75" s="968"/>
      <c r="P75" s="968"/>
      <c r="Q75" s="968"/>
      <c r="R75" s="968"/>
    </row>
    <row r="76" spans="1:19" ht="15.75">
      <c r="A76" s="112">
        <f t="shared" si="1"/>
        <v>62</v>
      </c>
      <c r="B76" s="80" t="s">
        <v>801</v>
      </c>
      <c r="C76" s="802"/>
      <c r="D76" s="802"/>
      <c r="F76" s="65"/>
      <c r="G76" s="969">
        <f>(+G53+G58)/G59</f>
        <v>3.6163929787096847</v>
      </c>
      <c r="H76" s="969">
        <f>(+H53+H58)/H59</f>
        <v>3.9805509338317457</v>
      </c>
      <c r="I76" s="969">
        <f>[38]K!I76</f>
        <v>8.9</v>
      </c>
      <c r="J76" s="969">
        <f>[38]K!J76</f>
        <v>6.98</v>
      </c>
      <c r="K76" s="969">
        <f>[38]K!K76</f>
        <v>6.14</v>
      </c>
      <c r="L76" s="969">
        <f>[38]K!L76</f>
        <v>5.85</v>
      </c>
      <c r="M76" s="969">
        <f>[38]K!M76</f>
        <v>5.6</v>
      </c>
      <c r="N76" s="969">
        <f>[38]K!N76</f>
        <v>5.15</v>
      </c>
      <c r="O76" s="969">
        <f>[38]K!O76</f>
        <v>4.62</v>
      </c>
      <c r="P76" s="969">
        <f>[38]K!P76</f>
        <v>3.86</v>
      </c>
      <c r="Q76" s="969">
        <f>[38]K!Q76</f>
        <v>3.01</v>
      </c>
      <c r="R76" s="969">
        <f>[38]K!R76</f>
        <v>2.9660460457804634</v>
      </c>
      <c r="S76" s="818"/>
    </row>
    <row r="77" spans="1:19">
      <c r="A77" s="112">
        <f t="shared" si="1"/>
        <v>63</v>
      </c>
      <c r="B77" s="80" t="s">
        <v>802</v>
      </c>
      <c r="F77" s="65"/>
      <c r="G77" s="969">
        <f>(+G53+G58-G56)/G59</f>
        <v>3.6163929787096847</v>
      </c>
      <c r="H77" s="969">
        <f>(+H53+H58-H56)/H59</f>
        <v>3.9805509338317457</v>
      </c>
      <c r="I77" s="969">
        <f>[38]K!I77</f>
        <v>9.84</v>
      </c>
      <c r="J77" s="969">
        <f>[38]K!J77</f>
        <v>7.3</v>
      </c>
      <c r="K77" s="969">
        <f>[38]K!K77</f>
        <v>6.73</v>
      </c>
      <c r="L77" s="969">
        <f>[38]K!L77</f>
        <v>6.03</v>
      </c>
      <c r="M77" s="969">
        <f>[38]K!M77</f>
        <v>5.72</v>
      </c>
      <c r="N77" s="969">
        <f>[38]K!N77</f>
        <v>5.26</v>
      </c>
      <c r="O77" s="969">
        <f>[38]K!O77</f>
        <v>4.6900000000000004</v>
      </c>
      <c r="P77" s="969">
        <f>[38]K!P77</f>
        <v>3.91</v>
      </c>
      <c r="Q77" s="969">
        <f>[38]K!Q77</f>
        <v>3.06</v>
      </c>
      <c r="R77" s="969">
        <f>[38]K!R77</f>
        <v>2.9527909831987955</v>
      </c>
    </row>
    <row r="78" spans="1:19">
      <c r="A78" s="112">
        <f t="shared" si="1"/>
        <v>64</v>
      </c>
      <c r="B78" s="80" t="s">
        <v>1088</v>
      </c>
      <c r="F78" s="65"/>
      <c r="G78" s="969">
        <f>G58/G59</f>
        <v>2.9636029305216178</v>
      </c>
      <c r="H78" s="969">
        <f>H58/H59</f>
        <v>3.2369034758407254</v>
      </c>
      <c r="I78" s="969">
        <f>[38]K!I78</f>
        <v>7.34</v>
      </c>
      <c r="J78" s="969">
        <f>[38]K!J78</f>
        <v>5.69</v>
      </c>
      <c r="K78" s="969">
        <f>[38]K!K78</f>
        <v>6.07</v>
      </c>
      <c r="L78" s="969">
        <f>[38]K!L78</f>
        <v>4.0599999999999996</v>
      </c>
      <c r="M78" s="969">
        <f>[38]K!M78</f>
        <v>3.92</v>
      </c>
      <c r="N78" s="969">
        <f>[38]K!N78</f>
        <v>3.56</v>
      </c>
      <c r="O78" s="969">
        <f>[38]K!O78</f>
        <v>3.2</v>
      </c>
      <c r="P78" s="969">
        <f>[38]K!P78</f>
        <v>2.86</v>
      </c>
      <c r="Q78" s="969">
        <f>[38]K!Q78</f>
        <v>2.3199999999999998</v>
      </c>
      <c r="R78" s="969">
        <f>[38]K!R78</f>
        <v>2.2575233976506173</v>
      </c>
    </row>
    <row r="79" spans="1:19">
      <c r="A79" s="112">
        <f t="shared" si="1"/>
        <v>65</v>
      </c>
      <c r="B79" s="80" t="s">
        <v>1612</v>
      </c>
      <c r="F79" s="65"/>
      <c r="G79" s="968" t="s">
        <v>337</v>
      </c>
      <c r="H79" s="968" t="s">
        <v>337</v>
      </c>
      <c r="I79" s="969" t="str">
        <f>[38]K!I79</f>
        <v>N/A</v>
      </c>
      <c r="J79" s="969" t="str">
        <f>[38]K!J79</f>
        <v>N/A</v>
      </c>
      <c r="K79" s="969" t="str">
        <f>[38]K!K79</f>
        <v>N/A</v>
      </c>
      <c r="L79" s="969">
        <f>[38]K!L79</f>
        <v>5.45</v>
      </c>
      <c r="M79" s="969">
        <f>[38]K!M79</f>
        <v>5.16</v>
      </c>
      <c r="N79" s="969">
        <f>[38]K!N79</f>
        <v>4.7699999999999996</v>
      </c>
      <c r="O79" s="969">
        <f>[38]K!O79</f>
        <v>4.1100000000000003</v>
      </c>
      <c r="P79" s="969">
        <f>[38]K!P79</f>
        <v>3.63</v>
      </c>
      <c r="Q79" s="969">
        <f>[38]K!Q79</f>
        <v>2.84</v>
      </c>
      <c r="R79" s="969">
        <f>[38]K!R79</f>
        <v>2.78</v>
      </c>
    </row>
    <row r="80" spans="1:19">
      <c r="A80" s="112">
        <f t="shared" si="1"/>
        <v>66</v>
      </c>
      <c r="B80" s="80" t="s">
        <v>1089</v>
      </c>
      <c r="F80" s="65"/>
      <c r="G80" s="969">
        <f>(G58-G56)/G59</f>
        <v>2.9636029305216178</v>
      </c>
      <c r="H80" s="969">
        <f>(H58-H56)/H59</f>
        <v>3.2369034758407254</v>
      </c>
      <c r="I80" s="969">
        <f>[38]K!I80</f>
        <v>8.1199999999999992</v>
      </c>
      <c r="J80" s="969">
        <f>[38]K!J80</f>
        <v>5.96</v>
      </c>
      <c r="K80" s="969">
        <f>[38]K!K80</f>
        <v>6.65</v>
      </c>
      <c r="L80" s="969">
        <f>[38]K!L80</f>
        <v>4.18</v>
      </c>
      <c r="M80" s="969">
        <f>[38]K!M80</f>
        <v>4.01</v>
      </c>
      <c r="N80" s="969">
        <f>[38]K!N80</f>
        <v>3.63</v>
      </c>
      <c r="O80" s="969">
        <f>[38]K!O80</f>
        <v>3.24</v>
      </c>
      <c r="P80" s="969">
        <f>[38]K!P80</f>
        <v>2.9</v>
      </c>
      <c r="Q80" s="969">
        <f>[38]K!Q80</f>
        <v>2.36</v>
      </c>
      <c r="R80" s="969">
        <f>[38]K!R80</f>
        <v>2.244268335068949</v>
      </c>
    </row>
    <row r="81" spans="1:19">
      <c r="A81" s="112">
        <f t="shared" ref="A81:A132" si="14">A80+1</f>
        <v>67</v>
      </c>
      <c r="B81" s="80" t="s">
        <v>1090</v>
      </c>
      <c r="F81" s="65"/>
      <c r="G81" s="968" t="s">
        <v>337</v>
      </c>
      <c r="H81" s="968" t="s">
        <v>337</v>
      </c>
      <c r="I81" s="969" t="str">
        <f>[38]K!I81</f>
        <v>N/A</v>
      </c>
      <c r="J81" s="969" t="str">
        <f>[38]K!J81</f>
        <v>N/A</v>
      </c>
      <c r="K81" s="969" t="str">
        <f>[38]K!K81</f>
        <v>N/A</v>
      </c>
      <c r="L81" s="969" t="str">
        <f>[38]K!L81</f>
        <v>N/A</v>
      </c>
      <c r="M81" s="969" t="str">
        <f>[38]K!M81</f>
        <v>N/A</v>
      </c>
      <c r="N81" s="969" t="str">
        <f>[38]K!N81</f>
        <v>N/A</v>
      </c>
      <c r="O81" s="969" t="str">
        <f>[38]K!O81</f>
        <v>N/A</v>
      </c>
      <c r="P81" s="969" t="str">
        <f>[38]K!P81</f>
        <v>N/A</v>
      </c>
      <c r="Q81" s="969" t="str">
        <f>[38]K!Q81</f>
        <v>N/A</v>
      </c>
      <c r="R81" s="969" t="str">
        <f>[38]K!R81</f>
        <v>N/A</v>
      </c>
    </row>
    <row r="82" spans="1:19">
      <c r="A82" s="112">
        <f t="shared" si="14"/>
        <v>68</v>
      </c>
      <c r="B82" s="80" t="s">
        <v>1613</v>
      </c>
      <c r="G82" s="968" t="s">
        <v>337</v>
      </c>
      <c r="H82" s="968" t="s">
        <v>337</v>
      </c>
      <c r="I82" s="969" t="str">
        <f>[38]K!I82</f>
        <v>N/A</v>
      </c>
      <c r="J82" s="969" t="str">
        <f>[38]K!J82</f>
        <v>N/A</v>
      </c>
      <c r="K82" s="969" t="str">
        <f>[38]K!K82</f>
        <v>N/A</v>
      </c>
      <c r="L82" s="969">
        <f>[38]K!L82</f>
        <v>3.81</v>
      </c>
      <c r="M82" s="969">
        <f>[38]K!M82</f>
        <v>3.64</v>
      </c>
      <c r="N82" s="969">
        <f>[38]K!N82</f>
        <v>3.32</v>
      </c>
      <c r="O82" s="969">
        <f>[38]K!O82</f>
        <v>3.02</v>
      </c>
      <c r="P82" s="969">
        <f>[38]K!P82</f>
        <v>2.7</v>
      </c>
      <c r="Q82" s="969">
        <f>[38]K!Q82</f>
        <v>2.2116799519301451</v>
      </c>
      <c r="R82" s="969">
        <f>[38]K!R82</f>
        <v>2.1340881930445068</v>
      </c>
    </row>
    <row r="83" spans="1:19">
      <c r="A83" s="112">
        <f t="shared" si="14"/>
        <v>69</v>
      </c>
      <c r="F83" s="104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</row>
    <row r="84" spans="1:19">
      <c r="A84" s="112">
        <f t="shared" si="14"/>
        <v>70</v>
      </c>
      <c r="B84" s="500" t="s">
        <v>1091</v>
      </c>
      <c r="G84" s="968"/>
      <c r="H84" s="968"/>
      <c r="I84" s="968"/>
      <c r="J84" s="968"/>
      <c r="K84" s="968"/>
      <c r="L84" s="968"/>
      <c r="M84" s="968"/>
      <c r="N84" s="968"/>
      <c r="O84" s="968"/>
      <c r="P84" s="968"/>
      <c r="Q84" s="968"/>
      <c r="R84" s="968"/>
    </row>
    <row r="85" spans="1:19" ht="15.75">
      <c r="A85" s="112">
        <f t="shared" si="14"/>
        <v>71</v>
      </c>
      <c r="B85" s="80" t="s">
        <v>738</v>
      </c>
      <c r="C85" s="802"/>
      <c r="D85" s="802"/>
      <c r="G85" s="968" t="s">
        <v>337</v>
      </c>
      <c r="H85" s="968" t="str">
        <f>I85</f>
        <v>A1</v>
      </c>
      <c r="I85" s="968" t="str">
        <f>[38]K!I85</f>
        <v>A1</v>
      </c>
      <c r="J85" s="968" t="str">
        <f>[38]K!J85</f>
        <v>A2</v>
      </c>
      <c r="K85" s="968" t="str">
        <f>[38]K!K85</f>
        <v>A2</v>
      </c>
      <c r="L85" s="968" t="str">
        <f>[38]K!L85</f>
        <v>A2</v>
      </c>
      <c r="M85" s="968" t="str">
        <f>[38]K!M85</f>
        <v>A2</v>
      </c>
      <c r="N85" s="968" t="str">
        <f>[38]K!N85</f>
        <v>A2</v>
      </c>
      <c r="O85" s="968" t="str">
        <f>[38]K!O85</f>
        <v>A2</v>
      </c>
      <c r="P85" s="968" t="str">
        <f>[38]K!P85</f>
        <v>Baa1</v>
      </c>
      <c r="Q85" s="968" t="str">
        <f>[38]K!Q85</f>
        <v>Baa1</v>
      </c>
      <c r="R85" s="968" t="str">
        <f>[38]K!R85</f>
        <v>Baa1</v>
      </c>
      <c r="S85" s="818"/>
    </row>
    <row r="86" spans="1:19" ht="15.75">
      <c r="A86" s="112">
        <f t="shared" si="14"/>
        <v>72</v>
      </c>
      <c r="B86" s="80" t="s">
        <v>739</v>
      </c>
      <c r="F86" s="65"/>
      <c r="G86" s="968" t="s">
        <v>337</v>
      </c>
      <c r="H86" s="968" t="str">
        <f>I86</f>
        <v>A</v>
      </c>
      <c r="I86" s="968" t="str">
        <f>[38]K!I86</f>
        <v>A</v>
      </c>
      <c r="J86" s="968" t="str">
        <f>[38]K!J86</f>
        <v>A</v>
      </c>
      <c r="K86" s="968" t="str">
        <f>[38]K!K86</f>
        <v>A</v>
      </c>
      <c r="L86" s="968" t="str">
        <f>[38]K!L86</f>
        <v>A</v>
      </c>
      <c r="M86" s="968" t="str">
        <f>[38]K!M86</f>
        <v>A</v>
      </c>
      <c r="N86" s="968" t="str">
        <f>[38]K!N86</f>
        <v>A-</v>
      </c>
      <c r="O86" s="968" t="str">
        <f>[38]K!O86</f>
        <v>A-</v>
      </c>
      <c r="P86" s="968" t="str">
        <f>[38]K!P86</f>
        <v>A-</v>
      </c>
      <c r="Q86" s="968" t="str">
        <f>[38]K!Q86</f>
        <v>BBB+</v>
      </c>
      <c r="R86" s="968" t="str">
        <f>[38]K!R86</f>
        <v>BBB+</v>
      </c>
      <c r="S86" s="818"/>
    </row>
    <row r="87" spans="1:19">
      <c r="A87" s="112">
        <f t="shared" si="14"/>
        <v>73</v>
      </c>
      <c r="B87" s="80" t="s">
        <v>571</v>
      </c>
      <c r="G87" s="968" t="s">
        <v>337</v>
      </c>
      <c r="H87" s="968" t="s">
        <v>337</v>
      </c>
      <c r="I87" s="968" t="str">
        <f>[38]K!I87</f>
        <v>N/A</v>
      </c>
      <c r="J87" s="968" t="str">
        <f>[38]K!J87</f>
        <v>N/A</v>
      </c>
      <c r="K87" s="968" t="str">
        <f>[38]K!K87</f>
        <v>N/A</v>
      </c>
      <c r="L87" s="968" t="str">
        <f>[38]K!L87</f>
        <v>N/A</v>
      </c>
      <c r="M87" s="968" t="str">
        <f>[38]K!M87</f>
        <v>N/A</v>
      </c>
      <c r="N87" s="968" t="str">
        <f>[38]K!N87</f>
        <v>N/A</v>
      </c>
      <c r="O87" s="968" t="str">
        <f>[38]K!O87</f>
        <v>N/A</v>
      </c>
      <c r="P87" s="968" t="str">
        <f>[38]K!P87</f>
        <v>N/A</v>
      </c>
      <c r="Q87" s="968" t="str">
        <f>[38]K!Q87</f>
        <v>N/A</v>
      </c>
      <c r="R87" s="968" t="str">
        <f>[38]K!R87</f>
        <v>N/A</v>
      </c>
    </row>
    <row r="88" spans="1:19">
      <c r="A88" s="112">
        <f t="shared" si="14"/>
        <v>74</v>
      </c>
      <c r="B88" s="80" t="s">
        <v>572</v>
      </c>
      <c r="G88" s="968" t="s">
        <v>337</v>
      </c>
      <c r="H88" s="968" t="s">
        <v>337</v>
      </c>
      <c r="I88" s="968" t="str">
        <f>[38]K!I88</f>
        <v>N/A</v>
      </c>
      <c r="J88" s="968" t="str">
        <f>[38]K!J88</f>
        <v>N/A</v>
      </c>
      <c r="K88" s="968" t="str">
        <f>[38]K!K88</f>
        <v>N/A</v>
      </c>
      <c r="L88" s="968" t="str">
        <f>[38]K!L88</f>
        <v>N/A</v>
      </c>
      <c r="M88" s="968" t="str">
        <f>[38]K!M88</f>
        <v>N/A</v>
      </c>
      <c r="N88" s="968" t="str">
        <f>[38]K!N88</f>
        <v>N/A</v>
      </c>
      <c r="O88" s="968" t="str">
        <f>[38]K!O88</f>
        <v>N/A</v>
      </c>
      <c r="P88" s="968" t="str">
        <f>[38]K!P88</f>
        <v>N/A</v>
      </c>
      <c r="Q88" s="968" t="str">
        <f>[38]K!Q88</f>
        <v>N/A</v>
      </c>
      <c r="R88" s="968" t="str">
        <f>[38]K!R88</f>
        <v>N/A</v>
      </c>
    </row>
    <row r="89" spans="1:19">
      <c r="A89" s="112">
        <f t="shared" si="14"/>
        <v>75</v>
      </c>
      <c r="G89" s="968" t="s">
        <v>321</v>
      </c>
      <c r="H89" s="968"/>
      <c r="I89" s="968"/>
      <c r="J89" s="968"/>
      <c r="K89" s="968"/>
      <c r="L89" s="968"/>
      <c r="M89" s="968"/>
      <c r="N89" s="968"/>
      <c r="O89" s="968"/>
      <c r="P89" s="968"/>
      <c r="Q89" s="968"/>
      <c r="R89" s="968"/>
    </row>
    <row r="90" spans="1:19">
      <c r="A90" s="112">
        <f t="shared" si="14"/>
        <v>76</v>
      </c>
      <c r="B90" s="500" t="s">
        <v>573</v>
      </c>
      <c r="G90" s="968"/>
      <c r="H90" s="968"/>
      <c r="I90" s="968"/>
      <c r="J90" s="968"/>
      <c r="K90" s="968"/>
      <c r="L90" s="968"/>
      <c r="M90" s="968"/>
      <c r="N90" s="968"/>
      <c r="O90" s="968"/>
      <c r="P90" s="968"/>
      <c r="Q90" s="968"/>
      <c r="R90" s="968"/>
    </row>
    <row r="91" spans="1:19" ht="15.75">
      <c r="A91" s="112">
        <f t="shared" si="14"/>
        <v>77</v>
      </c>
      <c r="B91" s="80" t="s">
        <v>574</v>
      </c>
      <c r="C91" s="802"/>
      <c r="D91" s="802"/>
      <c r="E91" s="802"/>
      <c r="G91" s="968" t="s">
        <v>337</v>
      </c>
      <c r="H91" s="968" t="s">
        <v>337</v>
      </c>
      <c r="I91" s="968">
        <f>[38]K!I91</f>
        <v>125882</v>
      </c>
      <c r="J91" s="968">
        <f>[38]K!J91</f>
        <v>119339</v>
      </c>
      <c r="K91" s="968">
        <f>[38]K!K91</f>
        <v>111274</v>
      </c>
      <c r="L91" s="968">
        <f>[38]K!L91</f>
        <v>106105</v>
      </c>
      <c r="M91" s="968">
        <f>[38]K!M91</f>
        <v>103931</v>
      </c>
      <c r="N91" s="968">
        <f>[38]K!N91</f>
        <v>101479</v>
      </c>
      <c r="O91" s="968">
        <f>[38]K!O91</f>
        <v>100388</v>
      </c>
      <c r="P91" s="968">
        <f>[38]K!P91</f>
        <v>90640</v>
      </c>
      <c r="Q91" s="968">
        <f>[38]K!Q91</f>
        <v>90240</v>
      </c>
      <c r="R91" s="968">
        <f>[38]K!R91</f>
        <v>90296</v>
      </c>
      <c r="S91" s="818"/>
    </row>
    <row r="92" spans="1:19">
      <c r="A92" s="112">
        <f t="shared" si="14"/>
        <v>78</v>
      </c>
      <c r="B92" s="80" t="s">
        <v>851</v>
      </c>
      <c r="G92" s="968" t="s">
        <v>337</v>
      </c>
      <c r="H92" s="968" t="s">
        <v>337</v>
      </c>
      <c r="I92" s="970"/>
      <c r="J92" s="970"/>
      <c r="K92" s="970"/>
      <c r="L92" s="970"/>
      <c r="M92" s="970"/>
      <c r="N92" s="970"/>
      <c r="O92" s="970"/>
      <c r="P92" s="970"/>
      <c r="Q92" s="970"/>
      <c r="R92" s="970"/>
    </row>
    <row r="93" spans="1:19" ht="15.75">
      <c r="A93" s="112">
        <f t="shared" si="14"/>
        <v>79</v>
      </c>
      <c r="B93" s="80" t="s">
        <v>626</v>
      </c>
      <c r="G93" s="968" t="s">
        <v>337</v>
      </c>
      <c r="H93" s="968" t="s">
        <v>337</v>
      </c>
      <c r="I93" s="968">
        <f>[38]K!I93</f>
        <v>122872</v>
      </c>
      <c r="J93" s="968">
        <f>[38]K!J93</f>
        <v>117461</v>
      </c>
      <c r="K93" s="968">
        <f>[38]K!K93</f>
        <v>111012</v>
      </c>
      <c r="L93" s="968">
        <f>[38]K!L93</f>
        <v>106100</v>
      </c>
      <c r="M93" s="968">
        <f>[38]K!M93</f>
        <v>103524</v>
      </c>
      <c r="N93" s="968">
        <f>[38]K!N93</f>
        <v>101892</v>
      </c>
      <c r="O93" s="968">
        <f>[38]K!O93</f>
        <v>97608</v>
      </c>
      <c r="P93" s="968">
        <f>[38]K!P93</f>
        <v>91711</v>
      </c>
      <c r="Q93" s="968">
        <f>[38]K!Q93</f>
        <v>91172</v>
      </c>
      <c r="R93" s="968">
        <f>[38]K!R93</f>
        <v>90652</v>
      </c>
      <c r="S93" s="818"/>
    </row>
    <row r="94" spans="1:19">
      <c r="A94" s="112">
        <f t="shared" si="14"/>
        <v>80</v>
      </c>
      <c r="B94" s="80" t="s">
        <v>1017</v>
      </c>
      <c r="G94" s="968" t="s">
        <v>337</v>
      </c>
      <c r="H94" s="968" t="s">
        <v>337</v>
      </c>
      <c r="I94" s="969">
        <f>[38]K!I94</f>
        <v>4.8899999999999997</v>
      </c>
      <c r="J94" s="969">
        <f>[38]K!J94</f>
        <v>4.3499999999999996</v>
      </c>
      <c r="K94" s="969">
        <f>[38]K!K94</f>
        <v>5.43</v>
      </c>
      <c r="L94" s="969">
        <f>[38]K!L94</f>
        <v>3.73</v>
      </c>
      <c r="M94" s="969">
        <f>[38]K!M94</f>
        <v>3.38</v>
      </c>
      <c r="N94" s="969">
        <f>[38]K!N94</f>
        <v>3.09</v>
      </c>
      <c r="O94" s="969">
        <f>[38]K!O94</f>
        <v>2.96</v>
      </c>
      <c r="P94" s="969">
        <f>[38]K!P94</f>
        <v>2.64</v>
      </c>
      <c r="Q94" s="969">
        <f>[38]K!Q94</f>
        <v>2.37</v>
      </c>
      <c r="R94" s="969">
        <f>[38]K!R94</f>
        <v>2.27</v>
      </c>
    </row>
    <row r="95" spans="1:19">
      <c r="A95" s="112">
        <f t="shared" si="14"/>
        <v>81</v>
      </c>
      <c r="B95" s="80" t="s">
        <v>1018</v>
      </c>
      <c r="G95" s="968" t="s">
        <v>337</v>
      </c>
      <c r="H95" s="968" t="s">
        <v>337</v>
      </c>
      <c r="I95" s="969">
        <f>[38]K!I95</f>
        <v>2.2999999999999998</v>
      </c>
      <c r="J95" s="969">
        <f>[38]K!J95</f>
        <v>2.1</v>
      </c>
      <c r="K95" s="969">
        <f>[38]K!K95</f>
        <v>1.94</v>
      </c>
      <c r="L95" s="969">
        <f>[38]K!L95</f>
        <v>1.8</v>
      </c>
      <c r="M95" s="969">
        <f>[38]K!M95</f>
        <v>1.68</v>
      </c>
      <c r="N95" s="969">
        <f>[38]K!N95</f>
        <v>1.56</v>
      </c>
      <c r="O95" s="969">
        <f>[38]K!O95</f>
        <v>1.48</v>
      </c>
      <c r="P95" s="969">
        <f>[38]K!P95</f>
        <v>1.4</v>
      </c>
      <c r="Q95" s="969">
        <f>[38]K!Q95</f>
        <v>1.38</v>
      </c>
      <c r="R95" s="969">
        <f>[38]K!R95</f>
        <v>1.36</v>
      </c>
    </row>
    <row r="96" spans="1:19" ht="15.75">
      <c r="A96" s="112">
        <f t="shared" si="14"/>
        <v>82</v>
      </c>
      <c r="B96" s="80" t="s">
        <v>835</v>
      </c>
      <c r="G96" s="968" t="s">
        <v>337</v>
      </c>
      <c r="H96" s="968" t="s">
        <v>337</v>
      </c>
      <c r="I96" s="969">
        <f>[38]K!I96</f>
        <v>2.2999999999999998</v>
      </c>
      <c r="J96" s="969">
        <f>[38]K!J96</f>
        <v>2.1</v>
      </c>
      <c r="K96" s="969">
        <f>[38]K!K96</f>
        <v>1.94</v>
      </c>
      <c r="L96" s="969">
        <f>[38]K!L96</f>
        <v>1.8</v>
      </c>
      <c r="M96" s="969">
        <f>[38]K!M96</f>
        <v>1.68</v>
      </c>
      <c r="N96" s="969">
        <f>[38]K!N96</f>
        <v>1.56</v>
      </c>
      <c r="O96" s="969">
        <f>[38]K!O96</f>
        <v>1.48</v>
      </c>
      <c r="P96" s="969">
        <f>[38]K!P96</f>
        <v>1.4</v>
      </c>
      <c r="Q96" s="969">
        <f>[38]K!Q96</f>
        <v>1.38</v>
      </c>
      <c r="R96" s="969">
        <f>[38]K!R96</f>
        <v>1.36</v>
      </c>
      <c r="S96" s="818"/>
    </row>
    <row r="97" spans="1:19">
      <c r="A97" s="112">
        <f t="shared" si="14"/>
        <v>83</v>
      </c>
      <c r="B97" s="80" t="s">
        <v>526</v>
      </c>
      <c r="G97" s="968" t="s">
        <v>337</v>
      </c>
      <c r="H97" s="968" t="s">
        <v>337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9">
      <c r="A98" s="112">
        <f t="shared" si="14"/>
        <v>84</v>
      </c>
      <c r="B98" s="80" t="s">
        <v>33</v>
      </c>
      <c r="G98" s="968" t="s">
        <v>337</v>
      </c>
      <c r="H98" s="968" t="s">
        <v>337</v>
      </c>
      <c r="I98" s="1223">
        <f>I96/I94</f>
        <v>0.47034764826175868</v>
      </c>
      <c r="J98" s="1223">
        <f>J96/J94</f>
        <v>0.48275862068965525</v>
      </c>
      <c r="K98" s="1223">
        <f>K96/K94</f>
        <v>0.35727440147329653</v>
      </c>
      <c r="L98" s="1223">
        <f>L96/L94</f>
        <v>0.48257372654155495</v>
      </c>
      <c r="M98" s="1224">
        <f t="shared" ref="M98:R98" si="15">M96/M94</f>
        <v>0.49704142011834318</v>
      </c>
      <c r="N98" s="1224">
        <f t="shared" si="15"/>
        <v>0.50485436893203883</v>
      </c>
      <c r="O98" s="1224">
        <f t="shared" si="15"/>
        <v>0.5</v>
      </c>
      <c r="P98" s="1224">
        <f t="shared" si="15"/>
        <v>0.53030303030303028</v>
      </c>
      <c r="Q98" s="1224">
        <f t="shared" si="15"/>
        <v>0.58227848101265811</v>
      </c>
      <c r="R98" s="1224">
        <f t="shared" si="15"/>
        <v>0.59911894273127753</v>
      </c>
    </row>
    <row r="99" spans="1:19">
      <c r="A99" s="112">
        <f t="shared" si="14"/>
        <v>85</v>
      </c>
      <c r="B99" s="80" t="s">
        <v>527</v>
      </c>
      <c r="G99" s="968" t="s">
        <v>337</v>
      </c>
      <c r="H99" s="968" t="s">
        <v>337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9" ht="15.75">
      <c r="A100" s="112">
        <f t="shared" si="14"/>
        <v>86</v>
      </c>
      <c r="B100" s="80" t="s">
        <v>528</v>
      </c>
      <c r="G100" s="968" t="s">
        <v>337</v>
      </c>
      <c r="H100" s="968" t="s">
        <v>337</v>
      </c>
      <c r="I100" s="969">
        <f>[38]K!I100</f>
        <v>113.42</v>
      </c>
      <c r="J100" s="969">
        <f>[38]K!J100</f>
        <v>99.5</v>
      </c>
      <c r="K100" s="969">
        <f>[38]K!K100</f>
        <v>92.29</v>
      </c>
      <c r="L100" s="969">
        <f>[38]K!L100</f>
        <v>74.73</v>
      </c>
      <c r="M100" s="969">
        <f>[38]K!M100</f>
        <v>64.25</v>
      </c>
      <c r="N100" s="969">
        <f>[38]K!N100</f>
        <v>58.08</v>
      </c>
      <c r="O100" s="969">
        <f>[38]K!O100</f>
        <v>47.06</v>
      </c>
      <c r="P100" s="969">
        <f>[38]K!P100</f>
        <v>36.86</v>
      </c>
      <c r="Q100" s="969">
        <f>[38]K!Q100</f>
        <v>35.4</v>
      </c>
      <c r="R100" s="969">
        <f>[38]K!R100</f>
        <v>31.72</v>
      </c>
      <c r="S100" s="818"/>
    </row>
    <row r="101" spans="1:19">
      <c r="A101" s="112">
        <f t="shared" si="14"/>
        <v>87</v>
      </c>
      <c r="B101" s="80" t="s">
        <v>529</v>
      </c>
      <c r="G101" s="968" t="s">
        <v>337</v>
      </c>
      <c r="H101" s="968" t="s">
        <v>337</v>
      </c>
      <c r="I101" s="969">
        <f>[38]K!I101</f>
        <v>105.47</v>
      </c>
      <c r="J101" s="969">
        <f>[38]K!J101</f>
        <v>89.33</v>
      </c>
      <c r="K101" s="969">
        <f>[38]K!K101</f>
        <v>84.41</v>
      </c>
      <c r="L101" s="969">
        <f>[38]K!L101</f>
        <v>68.959999999999994</v>
      </c>
      <c r="M101" s="969">
        <f>[38]K!M101</f>
        <v>57.82</v>
      </c>
      <c r="N101" s="969">
        <f>[38]K!N101</f>
        <v>47.35</v>
      </c>
      <c r="O101" s="969">
        <f>[38]K!O101</f>
        <v>41.08</v>
      </c>
      <c r="P101" s="969">
        <f>[38]K!P101</f>
        <v>33.200000000000003</v>
      </c>
      <c r="Q101" s="969">
        <f>[38]K!Q101</f>
        <v>30.97</v>
      </c>
      <c r="R101" s="969">
        <f>[38]K!R101</f>
        <v>29.1</v>
      </c>
    </row>
    <row r="102" spans="1:19">
      <c r="A102" s="112">
        <f t="shared" si="14"/>
        <v>88</v>
      </c>
      <c r="B102" s="80" t="s">
        <v>530</v>
      </c>
      <c r="G102" s="968" t="s">
        <v>337</v>
      </c>
      <c r="H102" s="968" t="s">
        <v>337</v>
      </c>
      <c r="I102" s="969">
        <f>[38]K!I102</f>
        <v>120.57</v>
      </c>
      <c r="J102" s="969">
        <f>[38]K!J102</f>
        <v>103.72</v>
      </c>
      <c r="K102" s="969">
        <f>[38]K!K102</f>
        <v>85.89</v>
      </c>
      <c r="L102" s="969">
        <f>[38]K!L102</f>
        <v>80.400000000000006</v>
      </c>
      <c r="M102" s="969">
        <f>[38]K!M102</f>
        <v>74.33</v>
      </c>
      <c r="N102" s="969">
        <f>[38]K!N102</f>
        <v>58.81</v>
      </c>
      <c r="O102" s="969">
        <f>[38]K!O102</f>
        <v>48.01</v>
      </c>
      <c r="P102" s="969">
        <f>[38]K!P102</f>
        <v>42.69</v>
      </c>
      <c r="Q102" s="969">
        <f>[38]K!Q102</f>
        <v>33.15</v>
      </c>
      <c r="R102" s="969">
        <f>[38]K!R102</f>
        <v>34.979999999999997</v>
      </c>
    </row>
    <row r="103" spans="1:19">
      <c r="A103" s="112">
        <f t="shared" si="14"/>
        <v>89</v>
      </c>
      <c r="B103" s="80" t="s">
        <v>531</v>
      </c>
      <c r="G103" s="968" t="s">
        <v>337</v>
      </c>
      <c r="H103" s="968" t="s">
        <v>337</v>
      </c>
      <c r="I103" s="969">
        <f>[38]K!I103</f>
        <v>80.5</v>
      </c>
      <c r="J103" s="969">
        <f>[38]K!J103</f>
        <v>89.85</v>
      </c>
      <c r="K103" s="969">
        <f>[38]K!K103</f>
        <v>78.03</v>
      </c>
      <c r="L103" s="969">
        <f>[38]K!L103</f>
        <v>73.209999999999994</v>
      </c>
      <c r="M103" s="969">
        <f>[38]K!M103</f>
        <v>61.74</v>
      </c>
      <c r="N103" s="969">
        <f>[38]K!N103</f>
        <v>52.02</v>
      </c>
      <c r="O103" s="969">
        <f>[38]K!O103</f>
        <v>44.19</v>
      </c>
      <c r="P103" s="969">
        <f>[38]K!P103</f>
        <v>35.11</v>
      </c>
      <c r="Q103" s="969">
        <f>[38]K!Q103</f>
        <v>30.6</v>
      </c>
      <c r="R103" s="969">
        <f>[38]K!R103</f>
        <v>31.51</v>
      </c>
    </row>
    <row r="104" spans="1:19">
      <c r="A104" s="112">
        <f t="shared" si="14"/>
        <v>90</v>
      </c>
      <c r="B104" s="80" t="s">
        <v>532</v>
      </c>
      <c r="G104" s="968" t="s">
        <v>337</v>
      </c>
      <c r="H104" s="968" t="s">
        <v>337</v>
      </c>
      <c r="I104" s="969">
        <f>[38]K!I104</f>
        <v>110.7</v>
      </c>
      <c r="J104" s="969">
        <f>[38]K!J104</f>
        <v>107.93</v>
      </c>
      <c r="K104" s="969">
        <f>[38]K!K104</f>
        <v>90.53</v>
      </c>
      <c r="L104" s="969">
        <f>[38]K!L104</f>
        <v>85.54</v>
      </c>
      <c r="M104" s="969">
        <f>[38]K!M104</f>
        <v>81.319999999999993</v>
      </c>
      <c r="N104" s="969">
        <f>[38]K!N104</f>
        <v>56.41</v>
      </c>
      <c r="O104" s="969">
        <f>[38]K!O104</f>
        <v>53.4</v>
      </c>
      <c r="P104" s="969">
        <f>[38]K!P104</f>
        <v>44.87</v>
      </c>
      <c r="Q104" s="969">
        <f>[38]K!Q104</f>
        <v>35.07</v>
      </c>
      <c r="R104" s="969">
        <f>[38]K!R104</f>
        <v>34.94</v>
      </c>
    </row>
    <row r="105" spans="1:19">
      <c r="A105" s="112">
        <f t="shared" si="14"/>
        <v>91</v>
      </c>
      <c r="B105" s="80" t="s">
        <v>1044</v>
      </c>
      <c r="G105" s="968" t="s">
        <v>337</v>
      </c>
      <c r="H105" s="968" t="s">
        <v>337</v>
      </c>
      <c r="I105" s="969">
        <f>[38]K!I105</f>
        <v>94.16</v>
      </c>
      <c r="J105" s="969">
        <f>[38]K!J105</f>
        <v>99.07</v>
      </c>
      <c r="K105" s="969">
        <f>[38]K!K105</f>
        <v>82.68</v>
      </c>
      <c r="L105" s="969">
        <f>[38]K!L105</f>
        <v>78.900000000000006</v>
      </c>
      <c r="M105" s="969">
        <f>[38]K!M105</f>
        <v>70.599999999999994</v>
      </c>
      <c r="N105" s="969">
        <f>[38]K!N105</f>
        <v>51.28</v>
      </c>
      <c r="O105" s="969">
        <f>[38]K!O105</f>
        <v>46.94</v>
      </c>
      <c r="P105" s="969">
        <f>[38]K!P105</f>
        <v>38.590000000000003</v>
      </c>
      <c r="Q105" s="969">
        <f>[38]K!Q105</f>
        <v>30.91</v>
      </c>
      <c r="R105" s="969">
        <f>[38]K!R105</f>
        <v>31.34</v>
      </c>
    </row>
    <row r="106" spans="1:19">
      <c r="A106" s="112">
        <f t="shared" si="14"/>
        <v>92</v>
      </c>
      <c r="B106" s="80" t="s">
        <v>1045</v>
      </c>
      <c r="G106" s="968" t="s">
        <v>337</v>
      </c>
      <c r="H106" s="968" t="s">
        <v>337</v>
      </c>
      <c r="I106" s="969">
        <f>[38]K!I106</f>
        <v>106.04</v>
      </c>
      <c r="J106" s="969">
        <f>[38]K!J106</f>
        <v>114.65</v>
      </c>
      <c r="K106" s="969">
        <f>[38]K!K106</f>
        <v>94.77</v>
      </c>
      <c r="L106" s="969">
        <f>[38]K!L106</f>
        <v>88.69</v>
      </c>
      <c r="M106" s="969">
        <f>[38]K!M106</f>
        <v>81.16</v>
      </c>
      <c r="N106" s="969">
        <f>[38]K!N106</f>
        <v>58.18</v>
      </c>
      <c r="O106" s="969">
        <f>[38]K!O106</f>
        <v>52.68</v>
      </c>
      <c r="P106" s="969">
        <f>[38]K!P106</f>
        <v>45.19</v>
      </c>
      <c r="Q106" s="969">
        <f>[38]K!Q106</f>
        <v>36.94</v>
      </c>
      <c r="R106" s="969">
        <f>[38]K!R106</f>
        <v>34.32</v>
      </c>
    </row>
    <row r="107" spans="1:19">
      <c r="A107" s="112">
        <f t="shared" si="14"/>
        <v>93</v>
      </c>
      <c r="B107" s="80" t="s">
        <v>1046</v>
      </c>
      <c r="G107" s="968" t="s">
        <v>337</v>
      </c>
      <c r="H107" s="968" t="s">
        <v>337</v>
      </c>
      <c r="I107" s="969">
        <f>[38]K!I107</f>
        <v>92</v>
      </c>
      <c r="J107" s="969">
        <f>[38]K!J107</f>
        <v>105.27</v>
      </c>
      <c r="K107" s="969">
        <f>[38]K!K107</f>
        <v>89.81</v>
      </c>
      <c r="L107" s="969">
        <f>[38]K!L107</f>
        <v>82.42</v>
      </c>
      <c r="M107" s="969">
        <f>[38]K!M107</f>
        <v>71.88</v>
      </c>
      <c r="N107" s="969">
        <f>[38]K!N107</f>
        <v>51.48</v>
      </c>
      <c r="O107" s="969">
        <f>[38]K!O107</f>
        <v>47.01</v>
      </c>
      <c r="P107" s="969">
        <f>[38]K!P107</f>
        <v>39.4</v>
      </c>
      <c r="Q107" s="969">
        <f>[38]K!Q107</f>
        <v>34.94</v>
      </c>
      <c r="R107" s="969">
        <f>[38]K!R107</f>
        <v>28.87</v>
      </c>
    </row>
    <row r="108" spans="1:19">
      <c r="A108" s="112">
        <f t="shared" si="14"/>
        <v>94</v>
      </c>
      <c r="B108" s="80" t="s">
        <v>1047</v>
      </c>
      <c r="G108" s="968" t="s">
        <v>337</v>
      </c>
      <c r="H108" s="968" t="s">
        <v>337</v>
      </c>
      <c r="I108" s="969">
        <f>[38]K!I108</f>
        <v>55.270549840484406</v>
      </c>
      <c r="J108" s="969">
        <f>[38]K!J108</f>
        <v>48.954316751943196</v>
      </c>
      <c r="K108" s="969">
        <f>[38]K!K108</f>
        <v>42.967886354628327</v>
      </c>
      <c r="L108" s="969">
        <f>[38]K!L108</f>
        <v>36.745202639019794</v>
      </c>
      <c r="M108" s="969">
        <f>[38]K!M108</f>
        <v>33.450000000000003</v>
      </c>
      <c r="N108" s="969">
        <f>[38]K!N108</f>
        <v>31.35</v>
      </c>
      <c r="O108" s="969">
        <f>[38]K!O108</f>
        <v>31.62</v>
      </c>
      <c r="P108" s="969">
        <f>[38]K!P108</f>
        <v>28.14</v>
      </c>
      <c r="Q108" s="969">
        <f>[38]K!Q108</f>
        <v>25.876837186855614</v>
      </c>
      <c r="R108" s="969">
        <f>[38]K!R108</f>
        <v>24.879991616290869</v>
      </c>
    </row>
    <row r="109" spans="1:19">
      <c r="A109" s="112">
        <f t="shared" si="14"/>
        <v>95</v>
      </c>
      <c r="G109" s="554"/>
      <c r="H109" s="554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9">
      <c r="A110" s="112">
        <f t="shared" si="14"/>
        <v>96</v>
      </c>
      <c r="B110" s="73" t="s">
        <v>824</v>
      </c>
      <c r="G110" s="100"/>
      <c r="H110" s="100"/>
      <c r="I110" s="100"/>
      <c r="J110" s="100"/>
      <c r="K110" s="100"/>
      <c r="L110" s="100"/>
      <c r="M110" s="100"/>
      <c r="N110" s="100"/>
      <c r="O110" s="555"/>
      <c r="P110" s="555"/>
      <c r="Q110" s="555"/>
      <c r="R110" s="555"/>
    </row>
    <row r="111" spans="1:19">
      <c r="A111" s="112">
        <f t="shared" si="14"/>
        <v>97</v>
      </c>
      <c r="G111" s="100"/>
      <c r="H111" s="100"/>
      <c r="I111" s="100"/>
      <c r="J111" s="100"/>
      <c r="K111" s="100"/>
      <c r="L111" s="100"/>
      <c r="M111" s="100"/>
      <c r="N111" s="100"/>
      <c r="O111" s="555"/>
      <c r="P111" s="100"/>
      <c r="Q111" s="100"/>
      <c r="R111" s="100"/>
    </row>
    <row r="112" spans="1:19">
      <c r="A112" s="112">
        <f t="shared" si="14"/>
        <v>98</v>
      </c>
      <c r="B112" s="500" t="s">
        <v>1070</v>
      </c>
      <c r="C112" s="802"/>
      <c r="D112" s="802"/>
      <c r="E112" s="802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9" ht="15.75">
      <c r="A113" s="112">
        <f t="shared" si="14"/>
        <v>99</v>
      </c>
      <c r="B113" s="80" t="s">
        <v>613</v>
      </c>
      <c r="G113" s="1225">
        <f>(G55-G59)/(G43*Allocation!$I$14)</f>
        <v>5.3811181644391616E-2</v>
      </c>
      <c r="H113" s="1225">
        <f>(H55-H59)/(H43*Allocation!$I$14)</f>
        <v>5.5635184191608324E-2</v>
      </c>
      <c r="I113" s="1225">
        <f>[38]K!I113</f>
        <v>9.5913016589979486E-2</v>
      </c>
      <c r="J113" s="1225">
        <f>[38]K!J113</f>
        <v>9.7223867209800904E-2</v>
      </c>
      <c r="K113" s="1225">
        <f>[38]K!K113</f>
        <v>0.13913730413974917</v>
      </c>
      <c r="L113" s="1225">
        <f>[38]K!L113</f>
        <v>0.108</v>
      </c>
      <c r="M113" s="1225">
        <f>[38]K!M113</f>
        <v>0.105</v>
      </c>
      <c r="N113" s="1225">
        <f>[38]K!N113</f>
        <v>0.1</v>
      </c>
      <c r="O113" s="1225">
        <f>[38]K!O113</f>
        <v>0.10199999999999999</v>
      </c>
      <c r="P113" s="1225">
        <f>[38]K!P113</f>
        <v>9.8000000000000004E-2</v>
      </c>
      <c r="Q113" s="1225">
        <f>[38]K!Q113</f>
        <v>8.3297938918196424E-2</v>
      </c>
      <c r="R113" s="1225">
        <f>[38]K!R113</f>
        <v>8.5520016942695926E-2</v>
      </c>
      <c r="S113" s="818"/>
    </row>
    <row r="114" spans="1:19">
      <c r="A114" s="112">
        <f t="shared" si="14"/>
        <v>100</v>
      </c>
      <c r="B114" s="80" t="s">
        <v>328</v>
      </c>
      <c r="G114" s="1225">
        <f>(G55)/(G45*Allocation!$I$14)</f>
        <v>4.8336492648249421E-2</v>
      </c>
      <c r="H114" s="1225">
        <f>(H55)/(H45*Allocation!$I$14)</f>
        <v>4.935217633893655E-2</v>
      </c>
      <c r="I114" s="1225">
        <f>[38]K!I114</f>
        <v>5.7096118107037318E-2</v>
      </c>
      <c r="J114" s="1225">
        <f>[38]K!J114</f>
        <v>5.6325391737181804E-2</v>
      </c>
      <c r="K114" s="1225">
        <f>[38]K!K114</f>
        <v>7.6202885900120879E-2</v>
      </c>
      <c r="L114" s="1225">
        <f>[38]K!L114</f>
        <v>5.6000000000000001E-2</v>
      </c>
      <c r="M114" s="1225">
        <f>[38]K!M114</f>
        <v>5.5E-2</v>
      </c>
      <c r="N114" s="1225">
        <f>[38]K!N114</f>
        <v>5.1999999999999998E-2</v>
      </c>
      <c r="O114" s="1225">
        <f>[38]K!O114</f>
        <v>5.1999999999999998E-2</v>
      </c>
      <c r="P114" s="1225">
        <f>[38]K!P114</f>
        <v>4.8000000000000001E-2</v>
      </c>
      <c r="Q114" s="1225">
        <f>[38]K!Q114</f>
        <v>4.0231888705646007E-2</v>
      </c>
      <c r="R114" s="1225">
        <f>[38]K!R114</f>
        <v>4.3176826787451009E-2</v>
      </c>
    </row>
    <row r="115" spans="1:19">
      <c r="A115" s="112">
        <f t="shared" si="14"/>
        <v>101</v>
      </c>
      <c r="B115" s="80" t="s">
        <v>329</v>
      </c>
      <c r="G115" s="1225">
        <f>G55/G27</f>
        <v>4.1233806191959134E-2</v>
      </c>
      <c r="H115" s="1225">
        <f>H55/H27</f>
        <v>4.4062291413384178E-2</v>
      </c>
      <c r="I115" s="1225">
        <f>[38]K!I115</f>
        <v>4.7841754545278101E-2</v>
      </c>
      <c r="J115" s="1225">
        <f>[38]K!J115</f>
        <v>4.6158242389846102E-2</v>
      </c>
      <c r="K115" s="1225">
        <f>[38]K!K115</f>
        <v>6.1442067527243176E-2</v>
      </c>
      <c r="L115" s="1225">
        <f>[38]K!L115</f>
        <v>4.4999999999999998E-2</v>
      </c>
      <c r="M115" s="1225">
        <f>[38]K!M115</f>
        <v>4.4999999999999998E-2</v>
      </c>
      <c r="N115" s="1225">
        <f>[38]K!N115</f>
        <v>4.4999999999999998E-2</v>
      </c>
      <c r="O115" s="1225">
        <f>[38]K!O115</f>
        <v>4.4999999999999998E-2</v>
      </c>
      <c r="P115" s="1225">
        <f>[38]K!P115</f>
        <v>4.2999999999999997E-2</v>
      </c>
      <c r="Q115" s="1225">
        <f>[38]K!Q115</f>
        <v>3.618310387082551E-2</v>
      </c>
      <c r="R115" s="1225">
        <f>[38]K!R115</f>
        <v>3.8142668443685655E-2</v>
      </c>
    </row>
    <row r="116" spans="1:19">
      <c r="A116" s="112">
        <f t="shared" si="14"/>
        <v>102</v>
      </c>
      <c r="G116" s="968"/>
      <c r="H116" s="968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9">
      <c r="A117" s="112">
        <f t="shared" si="14"/>
        <v>103</v>
      </c>
      <c r="B117" s="500" t="s">
        <v>1134</v>
      </c>
      <c r="C117" s="802"/>
      <c r="D117" s="802"/>
      <c r="E117" s="802"/>
      <c r="G117" s="968"/>
      <c r="H117" s="968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9">
      <c r="A118" s="112">
        <f t="shared" si="14"/>
        <v>104</v>
      </c>
      <c r="B118" s="80" t="s">
        <v>330</v>
      </c>
      <c r="D118" s="80" t="s">
        <v>54</v>
      </c>
      <c r="G118" s="968"/>
      <c r="H118" s="968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9" ht="15.75">
      <c r="A119" s="112">
        <f t="shared" si="14"/>
        <v>105</v>
      </c>
      <c r="B119" s="80" t="s">
        <v>1021</v>
      </c>
      <c r="G119" s="968">
        <f>+I.3!O16/1000</f>
        <v>10018.608234542498</v>
      </c>
      <c r="H119" s="968">
        <f>+I.3!M16/1000</f>
        <v>9963.4276721000006</v>
      </c>
      <c r="I119" s="968">
        <f>[38]K!I119</f>
        <v>9388.74</v>
      </c>
      <c r="J119" s="968">
        <f>[38]K!J119</f>
        <v>9886.8850000000002</v>
      </c>
      <c r="K119" s="968">
        <f>[38]K!K119</f>
        <v>10416.026</v>
      </c>
      <c r="L119" s="968">
        <f>[38]K!L119</f>
        <v>8723.7250000000004</v>
      </c>
      <c r="M119" s="968">
        <f>[38]K!M119</f>
        <v>9093.8050000000003</v>
      </c>
      <c r="N119" s="968">
        <f>[38]K!N119</f>
        <v>9826</v>
      </c>
      <c r="O119" s="968">
        <f>[38]K!O119</f>
        <v>11729</v>
      </c>
      <c r="P119" s="968">
        <f>[38]K!P119</f>
        <v>10695</v>
      </c>
      <c r="Q119" s="968">
        <f>[38]K!Q119</f>
        <v>8433</v>
      </c>
      <c r="R119" s="968">
        <f>[38]K!R119</f>
        <v>10187</v>
      </c>
      <c r="S119" s="818"/>
    </row>
    <row r="120" spans="1:19">
      <c r="A120" s="112">
        <f t="shared" si="14"/>
        <v>106</v>
      </c>
      <c r="B120" s="80" t="s">
        <v>1022</v>
      </c>
      <c r="G120" s="968">
        <f>+I.3!O17/1000</f>
        <v>5066.767660972755</v>
      </c>
      <c r="H120" s="968">
        <f>+I.3!M17/1000</f>
        <v>5034.5630505999998</v>
      </c>
      <c r="I120" s="968">
        <f>[38]K!I120</f>
        <v>4747.9250000000002</v>
      </c>
      <c r="J120" s="968">
        <f>[38]K!J120</f>
        <v>5104.8639999999996</v>
      </c>
      <c r="K120" s="968">
        <f>[38]K!K120</f>
        <v>5346.1440000000002</v>
      </c>
      <c r="L120" s="968">
        <f>[38]K!L120</f>
        <v>4575.0360000000001</v>
      </c>
      <c r="M120" s="968">
        <f>[38]K!M120</f>
        <v>4537.6940000000004</v>
      </c>
      <c r="N120" s="968">
        <f>[38]K!N120</f>
        <v>4845</v>
      </c>
      <c r="O120" s="968">
        <f>[38]K!O120</f>
        <v>5650</v>
      </c>
      <c r="P120" s="968">
        <f>[38]K!P120</f>
        <v>5143</v>
      </c>
      <c r="Q120" s="968">
        <f>[38]K!Q120</f>
        <v>3972</v>
      </c>
      <c r="R120" s="968">
        <f>[38]K!R120</f>
        <v>4642</v>
      </c>
    </row>
    <row r="121" spans="1:19">
      <c r="A121" s="112">
        <f t="shared" si="14"/>
        <v>107</v>
      </c>
      <c r="B121" s="80" t="s">
        <v>172</v>
      </c>
      <c r="G121" s="968">
        <f>+I.3!O18/1000</f>
        <v>894.51135289999979</v>
      </c>
      <c r="H121" s="968">
        <f>+I.3!M18/1000</f>
        <v>894.51135289999979</v>
      </c>
      <c r="I121" s="968">
        <f>[38]K!I121</f>
        <v>1139.357</v>
      </c>
      <c r="J121" s="968">
        <f>[38]K!J121</f>
        <v>1918.8630000000001</v>
      </c>
      <c r="K121" s="968">
        <f>[38]K!K121</f>
        <v>1286.2380000000001</v>
      </c>
      <c r="L121" s="968">
        <f>[38]K!L121</f>
        <v>1516.7629999999999</v>
      </c>
      <c r="M121" s="968">
        <f>[38]K!M121</f>
        <v>1047.8109999999999</v>
      </c>
      <c r="N121" s="968">
        <f>[38]K!N121</f>
        <v>693</v>
      </c>
      <c r="O121" s="968">
        <f>[38]K!O121</f>
        <v>810</v>
      </c>
      <c r="P121" s="968">
        <f>[38]K!P121</f>
        <v>811</v>
      </c>
      <c r="Q121" s="968">
        <f>[38]K!Q121</f>
        <v>995</v>
      </c>
      <c r="R121" s="968">
        <f>[38]K!R121</f>
        <v>821</v>
      </c>
    </row>
    <row r="122" spans="1:19">
      <c r="A122" s="112">
        <f t="shared" si="14"/>
        <v>108</v>
      </c>
      <c r="B122" s="80" t="s">
        <v>775</v>
      </c>
      <c r="G122" s="968">
        <f>+I.3!O19/1000</f>
        <v>903.6386892999999</v>
      </c>
      <c r="H122" s="968">
        <f>+I.3!M19/1000</f>
        <v>903.63868930000001</v>
      </c>
      <c r="I122" s="968">
        <f>[38]K!I122</f>
        <v>858.57600000000002</v>
      </c>
      <c r="J122" s="968">
        <f>[38]K!J122</f>
        <v>945.27599999999995</v>
      </c>
      <c r="K122" s="968">
        <f>[38]K!K122</f>
        <v>994.47199999999998</v>
      </c>
      <c r="L122" s="968">
        <f>[38]K!L122</f>
        <v>858.65499999999997</v>
      </c>
      <c r="M122" s="968">
        <f>[38]K!M122</f>
        <v>916.029</v>
      </c>
      <c r="N122" s="968">
        <f>[38]K!N122</f>
        <v>1025</v>
      </c>
      <c r="O122" s="968">
        <f>[38]K!O122</f>
        <v>1234</v>
      </c>
      <c r="P122" s="968">
        <f>[38]K!P122</f>
        <v>1179</v>
      </c>
      <c r="Q122" s="968">
        <f>[38]K!Q122</f>
        <v>980</v>
      </c>
      <c r="R122" s="968">
        <f>[38]K!R122</f>
        <v>1111</v>
      </c>
    </row>
    <row r="123" spans="1:19">
      <c r="A123" s="112">
        <f t="shared" si="14"/>
        <v>109</v>
      </c>
      <c r="B123" s="821" t="s">
        <v>84</v>
      </c>
      <c r="G123" s="1219">
        <f>+I.3!O20/1000</f>
        <v>0</v>
      </c>
      <c r="H123" s="1219">
        <f>+I.3!M20/1000</f>
        <v>0</v>
      </c>
      <c r="I123" s="968"/>
      <c r="J123" s="968"/>
      <c r="K123" s="968"/>
      <c r="L123" s="968"/>
      <c r="M123" s="968"/>
      <c r="N123" s="968"/>
      <c r="O123" s="968"/>
      <c r="P123" s="968"/>
      <c r="Q123" s="968"/>
      <c r="R123" s="968"/>
    </row>
    <row r="124" spans="1:19">
      <c r="A124" s="112">
        <f t="shared" si="14"/>
        <v>110</v>
      </c>
      <c r="B124" s="80" t="s">
        <v>303</v>
      </c>
      <c r="G124" s="968">
        <f>SUM(G119:G123)</f>
        <v>16883.525937715254</v>
      </c>
      <c r="H124" s="968">
        <f>SUM(H119:H123)</f>
        <v>16796.140764899999</v>
      </c>
      <c r="I124" s="974">
        <f t="shared" ref="I124:R124" si="16">I119+I120+I121+I122</f>
        <v>16134.598000000002</v>
      </c>
      <c r="J124" s="974">
        <f t="shared" si="16"/>
        <v>17855.888000000003</v>
      </c>
      <c r="K124" s="974">
        <f t="shared" si="16"/>
        <v>18042.88</v>
      </c>
      <c r="L124" s="974">
        <f t="shared" si="16"/>
        <v>15674.179000000002</v>
      </c>
      <c r="M124" s="974">
        <f t="shared" si="16"/>
        <v>15595.339</v>
      </c>
      <c r="N124" s="974">
        <f t="shared" si="16"/>
        <v>16389</v>
      </c>
      <c r="O124" s="974">
        <f t="shared" si="16"/>
        <v>19423</v>
      </c>
      <c r="P124" s="974">
        <f t="shared" si="16"/>
        <v>17828</v>
      </c>
      <c r="Q124" s="974">
        <f t="shared" si="16"/>
        <v>14380</v>
      </c>
      <c r="R124" s="974">
        <f t="shared" si="16"/>
        <v>16761</v>
      </c>
    </row>
    <row r="125" spans="1:19">
      <c r="A125" s="112">
        <f t="shared" si="14"/>
        <v>111</v>
      </c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9">
      <c r="A126" s="112">
        <f t="shared" si="14"/>
        <v>112</v>
      </c>
      <c r="B126" s="80" t="s">
        <v>304</v>
      </c>
      <c r="D126" s="80" t="s">
        <v>54</v>
      </c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9">
      <c r="A127" s="112">
        <f t="shared" si="14"/>
        <v>113</v>
      </c>
      <c r="B127" s="80"/>
      <c r="G127" s="968">
        <v>0</v>
      </c>
      <c r="H127" s="968">
        <v>0</v>
      </c>
      <c r="I127" s="968">
        <v>0</v>
      </c>
      <c r="J127" s="968">
        <v>0</v>
      </c>
      <c r="K127" s="968">
        <v>0</v>
      </c>
      <c r="L127" s="968">
        <v>0</v>
      </c>
      <c r="M127" s="968">
        <v>0</v>
      </c>
      <c r="N127" s="968">
        <v>0</v>
      </c>
      <c r="O127" s="968">
        <v>0</v>
      </c>
      <c r="P127" s="968">
        <v>0</v>
      </c>
      <c r="Q127" s="968">
        <v>0</v>
      </c>
      <c r="R127" s="968">
        <v>0</v>
      </c>
    </row>
    <row r="128" spans="1:19">
      <c r="A128" s="112">
        <f t="shared" si="14"/>
        <v>114</v>
      </c>
      <c r="B128" s="80" t="s">
        <v>429</v>
      </c>
      <c r="G128" s="968">
        <f t="shared" ref="G128:R128" si="17">G130-G127</f>
        <v>17204.312930531843</v>
      </c>
      <c r="H128" s="968">
        <f t="shared" si="17"/>
        <v>17115.267439433101</v>
      </c>
      <c r="I128" s="968">
        <f t="shared" si="17"/>
        <v>16662</v>
      </c>
      <c r="J128" s="968">
        <f t="shared" si="17"/>
        <v>18711</v>
      </c>
      <c r="K128" s="968">
        <f t="shared" si="17"/>
        <v>19087</v>
      </c>
      <c r="L128" s="968">
        <f t="shared" si="17"/>
        <v>16060</v>
      </c>
      <c r="M128" s="968">
        <f t="shared" si="17"/>
        <v>15417</v>
      </c>
      <c r="N128" s="968">
        <f t="shared" si="17"/>
        <v>18606</v>
      </c>
      <c r="O128" s="968">
        <f t="shared" si="17"/>
        <v>21324</v>
      </c>
      <c r="P128" s="968">
        <f t="shared" si="17"/>
        <v>18367</v>
      </c>
      <c r="Q128" s="968">
        <f t="shared" si="17"/>
        <v>17441</v>
      </c>
      <c r="R128" s="968">
        <f t="shared" si="17"/>
        <v>16748</v>
      </c>
    </row>
    <row r="129" spans="1:20">
      <c r="A129" s="112">
        <f t="shared" si="14"/>
        <v>115</v>
      </c>
      <c r="G129" s="968"/>
      <c r="H129" s="968"/>
      <c r="I129" s="968"/>
      <c r="J129" s="968"/>
      <c r="K129" s="968"/>
      <c r="L129" s="968"/>
      <c r="M129" s="968"/>
      <c r="N129" s="968"/>
      <c r="O129" s="968"/>
      <c r="P129" s="968"/>
      <c r="Q129" s="968"/>
      <c r="R129" s="968"/>
    </row>
    <row r="130" spans="1:20" ht="15.75">
      <c r="A130" s="112">
        <f t="shared" si="14"/>
        <v>116</v>
      </c>
      <c r="B130" s="80" t="s">
        <v>1144</v>
      </c>
      <c r="G130" s="968">
        <f>+G124+(0.019*G124)</f>
        <v>17204.312930531843</v>
      </c>
      <c r="H130" s="968">
        <f>+H124+(0.019*H124)</f>
        <v>17115.267439433101</v>
      </c>
      <c r="I130" s="968">
        <f>[38]K!I130</f>
        <v>16662</v>
      </c>
      <c r="J130" s="968">
        <f>[38]K!J130</f>
        <v>18711</v>
      </c>
      <c r="K130" s="968">
        <f>[38]K!K130</f>
        <v>19087</v>
      </c>
      <c r="L130" s="968">
        <f>[38]K!L130</f>
        <v>16060</v>
      </c>
      <c r="M130" s="968">
        <f>[38]K!M130</f>
        <v>15417</v>
      </c>
      <c r="N130" s="968">
        <f>[38]K!N130</f>
        <v>18606</v>
      </c>
      <c r="O130" s="968">
        <f>[38]K!O130</f>
        <v>21324</v>
      </c>
      <c r="P130" s="968">
        <f>[38]K!P130</f>
        <v>18367</v>
      </c>
      <c r="Q130" s="968">
        <f>[38]K!Q130</f>
        <v>17441</v>
      </c>
      <c r="R130" s="968">
        <f>[38]K!R130</f>
        <v>16748</v>
      </c>
      <c r="S130" s="818"/>
    </row>
    <row r="131" spans="1:20">
      <c r="A131" s="112">
        <f t="shared" si="14"/>
        <v>117</v>
      </c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20" ht="15.75">
      <c r="A132" s="112">
        <f t="shared" si="14"/>
        <v>118</v>
      </c>
      <c r="B132" s="80" t="s">
        <v>305</v>
      </c>
      <c r="G132" s="534">
        <f>[4]Reserve!$BL$207</f>
        <v>2.2122292919729992E-2</v>
      </c>
      <c r="H132" s="534">
        <f>[4]Reserve!$AW$207</f>
        <v>2.008127365684936E-2</v>
      </c>
      <c r="I132" s="534">
        <f>[38]K!I132</f>
        <v>2.47E-2</v>
      </c>
      <c r="J132" s="534">
        <f>[38]K!J132</f>
        <v>2.6100000000000002E-2</v>
      </c>
      <c r="K132" s="534">
        <f>[38]K!K132</f>
        <v>3.0700000000000002E-2</v>
      </c>
      <c r="L132" s="534">
        <f>[38]K!L132</f>
        <v>3.1199999999999999E-2</v>
      </c>
      <c r="M132" s="534">
        <f>[38]K!M132</f>
        <v>3.3300000000000003E-2</v>
      </c>
      <c r="N132" s="534">
        <f>[38]K!N132</f>
        <v>3.6578607167145429E-2</v>
      </c>
      <c r="O132" s="534">
        <f>[38]K!O132</f>
        <v>3.5000000000000003E-2</v>
      </c>
      <c r="P132" s="534">
        <f>[38]K!P132</f>
        <v>3.3099999999999997E-2</v>
      </c>
      <c r="Q132" s="534">
        <f>[38]K!Q132</f>
        <v>3.49E-2</v>
      </c>
      <c r="R132" s="534">
        <f>[38]K!R132</f>
        <v>3.5799999999999998E-2</v>
      </c>
      <c r="S132" s="818"/>
      <c r="T132" s="544"/>
    </row>
    <row r="133" spans="1:20">
      <c r="A133" s="80"/>
      <c r="B133" s="80"/>
      <c r="G133" s="466"/>
      <c r="H133" s="466"/>
      <c r="I133" s="466"/>
      <c r="J133" s="466"/>
      <c r="K133" s="466"/>
      <c r="L133" s="466"/>
      <c r="M133" s="466"/>
      <c r="N133" s="466"/>
      <c r="O133" s="466"/>
      <c r="P133" s="466"/>
      <c r="Q133" s="466"/>
      <c r="R133" s="466"/>
    </row>
    <row r="134" spans="1:20">
      <c r="B134" s="776" t="s">
        <v>1559</v>
      </c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</row>
    <row r="135" spans="1:20">
      <c r="B135" s="936" t="s">
        <v>1145</v>
      </c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</row>
    <row r="136" spans="1:20">
      <c r="B136" s="776" t="s">
        <v>1609</v>
      </c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</row>
    <row r="137" spans="1:20">
      <c r="B137" s="936" t="s">
        <v>1610</v>
      </c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</row>
    <row r="138" spans="1:20"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</row>
    <row r="139" spans="1:20"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</row>
    <row r="140" spans="1:20">
      <c r="B140" s="73" t="s">
        <v>1605</v>
      </c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</row>
    <row r="141" spans="1:20">
      <c r="B141" s="73" t="s">
        <v>1614</v>
      </c>
    </row>
    <row r="142" spans="1:20">
      <c r="B142" s="73" t="s">
        <v>1608</v>
      </c>
    </row>
  </sheetData>
  <mergeCells count="6">
    <mergeCell ref="A5:R5"/>
    <mergeCell ref="A6:R6"/>
    <mergeCell ref="A1:R1"/>
    <mergeCell ref="A2:R2"/>
    <mergeCell ref="A3:R3"/>
    <mergeCell ref="A4:R4"/>
  </mergeCells>
  <phoneticPr fontId="21" type="noConversion"/>
  <printOptions horizontalCentered="1"/>
  <pageMargins left="0.75" right="0.75" top="0.62" bottom="0.81" header="0.5" footer="0.39"/>
  <pageSetup scale="54" fitToHeight="4" orientation="landscape" verticalDpi="300" r:id="rId1"/>
  <headerFooter alignWithMargins="0">
    <oddFooter>&amp;RSchedule &amp;A
Page &amp;P of &amp;N</oddFooter>
  </headerFooter>
  <rowBreaks count="2" manualBreakCount="2">
    <brk id="45" max="17" man="1"/>
    <brk id="88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AA275"/>
  <sheetViews>
    <sheetView view="pageBreakPreview" zoomScale="80" zoomScaleNormal="100" zoomScaleSheetLayoutView="80" workbookViewId="0">
      <selection sqref="A1:N1"/>
    </sheetView>
  </sheetViews>
  <sheetFormatPr defaultColWidth="8.88671875" defaultRowHeight="15"/>
  <cols>
    <col min="1" max="1" width="5" style="72" customWidth="1"/>
    <col min="2" max="2" width="6.88671875" style="72" customWidth="1"/>
    <col min="3" max="3" width="36.21875" style="72" customWidth="1"/>
    <col min="4" max="4" width="17.5546875" style="72" customWidth="1"/>
    <col min="5" max="5" width="12.5546875" style="72" bestFit="1" customWidth="1"/>
    <col min="6" max="6" width="15.88671875" style="72" customWidth="1"/>
    <col min="7" max="7" width="13.109375" style="686" bestFit="1" customWidth="1"/>
    <col min="8" max="8" width="12.33203125" style="686" customWidth="1"/>
    <col min="9" max="9" width="16" style="72" customWidth="1"/>
    <col min="10" max="10" width="3.21875" style="72" customWidth="1"/>
    <col min="11" max="11" width="15.44140625" style="72" customWidth="1"/>
    <col min="12" max="12" width="12.6640625" style="686" bestFit="1" customWidth="1"/>
    <col min="13" max="13" width="9.77734375" style="686" bestFit="1" customWidth="1"/>
    <col min="14" max="14" width="14.77734375" style="72" customWidth="1"/>
    <col min="15" max="15" width="8.88671875" style="72"/>
    <col min="16" max="17" width="12" style="72" bestFit="1" customWidth="1"/>
    <col min="18" max="18" width="7.77734375" style="72" customWidth="1"/>
    <col min="19" max="19" width="7.6640625" style="72" customWidth="1"/>
    <col min="20" max="16384" width="8.88671875" style="72"/>
  </cols>
  <sheetData>
    <row r="1" spans="1:17">
      <c r="A1" s="1260" t="str">
        <f>'Table of Contents'!A1:C1</f>
        <v>Atmos Energy Corporation, Kentucky/Mid-States Division</v>
      </c>
      <c r="B1" s="1260"/>
      <c r="C1" s="1260"/>
      <c r="D1" s="1260"/>
      <c r="E1" s="1260"/>
      <c r="F1" s="1260"/>
      <c r="G1" s="1260"/>
      <c r="H1" s="1260"/>
      <c r="I1" s="1260"/>
      <c r="J1" s="1260"/>
      <c r="K1" s="1260"/>
      <c r="L1" s="1260"/>
      <c r="M1" s="1260"/>
      <c r="N1" s="1260"/>
    </row>
    <row r="2" spans="1:17">
      <c r="A2" s="1260" t="str">
        <f>'Table of Contents'!A2:C2</f>
        <v>Kentucky Jurisdiction Case No. 2021-00214</v>
      </c>
      <c r="B2" s="1260"/>
      <c r="C2" s="1260"/>
      <c r="D2" s="1260"/>
      <c r="E2" s="1260"/>
      <c r="F2" s="1260"/>
      <c r="G2" s="1260"/>
      <c r="H2" s="1260"/>
      <c r="I2" s="1260"/>
      <c r="J2" s="1260"/>
      <c r="K2" s="1260"/>
      <c r="L2" s="1260"/>
      <c r="M2" s="1260"/>
      <c r="N2" s="1260"/>
    </row>
    <row r="3" spans="1:17">
      <c r="A3" s="1261" t="s">
        <v>492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1261"/>
      <c r="N3" s="1261"/>
    </row>
    <row r="4" spans="1:17" ht="15.75">
      <c r="A4" s="1262" t="str">
        <f>'B.1 F '!A4</f>
        <v>Forecasted Test Period: Twelve Months Ended December 31, 2022</v>
      </c>
      <c r="B4" s="1262"/>
      <c r="C4" s="1262"/>
      <c r="D4" s="1262"/>
      <c r="E4" s="1262"/>
      <c r="F4" s="1262"/>
      <c r="G4" s="1262"/>
      <c r="H4" s="1262"/>
      <c r="I4" s="1262"/>
      <c r="J4" s="1262"/>
      <c r="K4" s="1262"/>
      <c r="L4" s="1262"/>
      <c r="M4" s="1262"/>
      <c r="N4" s="1262"/>
    </row>
    <row r="5" spans="1:17" ht="15.75">
      <c r="A5" s="133"/>
      <c r="B5" s="133"/>
      <c r="C5" s="133"/>
      <c r="D5" s="729"/>
      <c r="E5" s="589"/>
      <c r="F5" s="133"/>
      <c r="G5" s="689"/>
      <c r="H5" s="689"/>
      <c r="I5" s="73"/>
      <c r="J5" s="73"/>
      <c r="K5" s="133"/>
    </row>
    <row r="6" spans="1:17" ht="15.75">
      <c r="A6" s="472" t="str">
        <f>'B.1 F '!A6</f>
        <v>Data:______Base Period__X___Forecasted Period</v>
      </c>
      <c r="B6" s="73"/>
      <c r="C6" s="73"/>
      <c r="D6" s="73"/>
      <c r="E6" s="729"/>
      <c r="F6" s="73"/>
      <c r="G6" s="689"/>
      <c r="K6" s="73"/>
      <c r="N6" s="728" t="s">
        <v>1361</v>
      </c>
    </row>
    <row r="7" spans="1:17">
      <c r="A7" s="472" t="str">
        <f>'B.1 F '!A7</f>
        <v>Type of Filing:___X____Original________Updated ________Revised</v>
      </c>
      <c r="B7" s="80"/>
      <c r="C7" s="73"/>
      <c r="D7" s="73"/>
      <c r="E7" s="73"/>
      <c r="F7" s="73"/>
      <c r="G7" s="689"/>
      <c r="I7" s="80"/>
      <c r="J7" s="80"/>
      <c r="K7" s="73"/>
      <c r="N7" s="798" t="s">
        <v>995</v>
      </c>
    </row>
    <row r="8" spans="1:17">
      <c r="A8" s="1061" t="str">
        <f>'B.1 F '!A8</f>
        <v>Workpaper Reference No(s).</v>
      </c>
      <c r="B8" s="134"/>
      <c r="C8" s="134"/>
      <c r="D8" s="66"/>
      <c r="E8" s="66"/>
      <c r="F8" s="66"/>
      <c r="G8" s="68"/>
      <c r="H8" s="825"/>
      <c r="I8" s="826"/>
      <c r="J8" s="826"/>
      <c r="K8" s="66"/>
      <c r="L8" s="825"/>
      <c r="N8" s="800" t="str">
        <f>'B.2 B'!N8</f>
        <v>Witness: Christian</v>
      </c>
    </row>
    <row r="9" spans="1:17">
      <c r="A9" s="828"/>
      <c r="B9" s="66"/>
      <c r="C9" s="66"/>
      <c r="D9" s="336"/>
      <c r="E9" s="667"/>
      <c r="F9" s="667"/>
      <c r="G9" s="718"/>
      <c r="H9" s="829"/>
      <c r="I9" s="830"/>
      <c r="J9" s="826"/>
      <c r="K9" s="336"/>
      <c r="L9" s="720"/>
      <c r="M9" s="720"/>
      <c r="N9" s="831"/>
    </row>
    <row r="10" spans="1:17" ht="15.75">
      <c r="A10" s="832"/>
      <c r="B10" s="66"/>
      <c r="C10" s="66"/>
      <c r="D10" s="479">
        <v>44926</v>
      </c>
      <c r="E10" s="66"/>
      <c r="F10" s="66"/>
      <c r="G10" s="68" t="s">
        <v>13</v>
      </c>
      <c r="H10" s="67" t="s">
        <v>11</v>
      </c>
      <c r="I10" s="833"/>
      <c r="J10" s="826"/>
      <c r="K10" s="834"/>
      <c r="L10" s="68" t="s">
        <v>13</v>
      </c>
      <c r="M10" s="67" t="s">
        <v>11</v>
      </c>
      <c r="N10" s="833"/>
    </row>
    <row r="11" spans="1:17" ht="15.75">
      <c r="A11" s="832" t="s">
        <v>92</v>
      </c>
      <c r="B11" s="687" t="s">
        <v>266</v>
      </c>
      <c r="C11" s="411" t="s">
        <v>215</v>
      </c>
      <c r="D11" s="686" t="s">
        <v>1280</v>
      </c>
      <c r="E11" s="67"/>
      <c r="F11" s="67" t="s">
        <v>10</v>
      </c>
      <c r="G11" s="67" t="s">
        <v>14</v>
      </c>
      <c r="H11" s="67" t="s">
        <v>589</v>
      </c>
      <c r="I11" s="411" t="s">
        <v>12</v>
      </c>
      <c r="J11" s="67"/>
      <c r="K11" s="835" t="s">
        <v>44</v>
      </c>
      <c r="L11" s="67" t="s">
        <v>14</v>
      </c>
      <c r="M11" s="67" t="s">
        <v>589</v>
      </c>
      <c r="N11" s="411" t="s">
        <v>12</v>
      </c>
    </row>
    <row r="12" spans="1:17">
      <c r="A12" s="836" t="s">
        <v>98</v>
      </c>
      <c r="B12" s="163" t="s">
        <v>98</v>
      </c>
      <c r="C12" s="163" t="s">
        <v>294</v>
      </c>
      <c r="D12" s="836" t="s">
        <v>104</v>
      </c>
      <c r="E12" s="163" t="s">
        <v>974</v>
      </c>
      <c r="F12" s="163" t="s">
        <v>104</v>
      </c>
      <c r="G12" s="163" t="s">
        <v>622</v>
      </c>
      <c r="H12" s="163" t="s">
        <v>622</v>
      </c>
      <c r="I12" s="837" t="s">
        <v>103</v>
      </c>
      <c r="J12" s="67"/>
      <c r="K12" s="836" t="s">
        <v>97</v>
      </c>
      <c r="L12" s="163" t="s">
        <v>622</v>
      </c>
      <c r="M12" s="163" t="s">
        <v>622</v>
      </c>
      <c r="N12" s="837" t="s">
        <v>103</v>
      </c>
      <c r="P12" s="363"/>
      <c r="Q12" s="363"/>
    </row>
    <row r="13" spans="1:17">
      <c r="A13" s="67"/>
      <c r="B13" s="67"/>
      <c r="C13" s="67"/>
      <c r="D13" s="67" t="s">
        <v>743</v>
      </c>
      <c r="E13" s="67" t="s">
        <v>744</v>
      </c>
      <c r="F13" s="67" t="s">
        <v>750</v>
      </c>
      <c r="G13" s="67" t="s">
        <v>745</v>
      </c>
      <c r="H13" s="67" t="s">
        <v>746</v>
      </c>
      <c r="I13" s="67" t="s">
        <v>751</v>
      </c>
      <c r="J13" s="67"/>
      <c r="K13" s="67" t="s">
        <v>747</v>
      </c>
      <c r="L13" s="67" t="s">
        <v>748</v>
      </c>
      <c r="M13" s="67" t="s">
        <v>749</v>
      </c>
      <c r="N13" s="67" t="s">
        <v>752</v>
      </c>
    </row>
    <row r="14" spans="1:17" ht="15.75">
      <c r="B14" s="764" t="s">
        <v>6</v>
      </c>
    </row>
    <row r="15" spans="1:17">
      <c r="A15" s="687">
        <v>1</v>
      </c>
      <c r="B15" s="73"/>
      <c r="C15" s="500" t="s">
        <v>295</v>
      </c>
    </row>
    <row r="16" spans="1:17">
      <c r="A16" s="112">
        <f>A15+1</f>
        <v>2</v>
      </c>
      <c r="B16" s="855">
        <v>30100</v>
      </c>
      <c r="C16" s="80" t="s">
        <v>289</v>
      </c>
      <c r="D16" s="290">
        <f>'[4]Gross Plant'!AF112</f>
        <v>8329.7199999999993</v>
      </c>
      <c r="E16" s="839">
        <v>0</v>
      </c>
      <c r="F16" s="839">
        <f>D16+E16</f>
        <v>8329.7199999999993</v>
      </c>
      <c r="G16" s="394">
        <v>1</v>
      </c>
      <c r="H16" s="394">
        <f>$G$16</f>
        <v>1</v>
      </c>
      <c r="I16" s="304">
        <f>F16*G16*H16</f>
        <v>8329.7199999999993</v>
      </c>
      <c r="J16" s="740"/>
      <c r="K16" s="290">
        <f>'[4]Gross Plant'!D112</f>
        <v>8329.7199999999993</v>
      </c>
      <c r="L16" s="394">
        <f t="shared" ref="L16:M17" si="0">$G$16</f>
        <v>1</v>
      </c>
      <c r="M16" s="394">
        <f t="shared" si="0"/>
        <v>1</v>
      </c>
      <c r="N16" s="839">
        <f>K16*L16*M16</f>
        <v>8329.7199999999993</v>
      </c>
    </row>
    <row r="17" spans="1:14">
      <c r="A17" s="112">
        <f t="shared" ref="A17:A83" si="1">A16+1</f>
        <v>3</v>
      </c>
      <c r="B17" s="855">
        <v>30200</v>
      </c>
      <c r="C17" s="80" t="s">
        <v>152</v>
      </c>
      <c r="D17" s="364">
        <f>'[4]Gross Plant'!AF113</f>
        <v>119852.69</v>
      </c>
      <c r="E17" s="364">
        <v>0</v>
      </c>
      <c r="F17" s="364">
        <f>D17+E17</f>
        <v>119852.69</v>
      </c>
      <c r="G17" s="394">
        <f>$G$16</f>
        <v>1</v>
      </c>
      <c r="H17" s="394">
        <f>$G$16</f>
        <v>1</v>
      </c>
      <c r="I17" s="364">
        <f>F17*G17*H17</f>
        <v>119852.69</v>
      </c>
      <c r="K17" s="364">
        <f>'[4]Gross Plant'!D113</f>
        <v>119852.68999999996</v>
      </c>
      <c r="L17" s="394">
        <f t="shared" si="0"/>
        <v>1</v>
      </c>
      <c r="M17" s="394">
        <f t="shared" si="0"/>
        <v>1</v>
      </c>
      <c r="N17" s="364">
        <f>K17*L17*M17</f>
        <v>119852.68999999996</v>
      </c>
    </row>
    <row r="18" spans="1:14">
      <c r="A18" s="112">
        <f t="shared" si="1"/>
        <v>4</v>
      </c>
      <c r="B18" s="959"/>
      <c r="C18" s="80"/>
      <c r="D18" s="499"/>
      <c r="E18" s="499"/>
      <c r="F18" s="499"/>
      <c r="G18" s="394"/>
      <c r="H18" s="394"/>
      <c r="I18" s="499"/>
      <c r="K18" s="499"/>
      <c r="N18" s="499"/>
    </row>
    <row r="19" spans="1:14">
      <c r="A19" s="112">
        <f t="shared" si="1"/>
        <v>5</v>
      </c>
      <c r="B19" s="959"/>
      <c r="C19" s="80" t="s">
        <v>296</v>
      </c>
      <c r="D19" s="304">
        <f>SUM(D16:D17)</f>
        <v>128182.41</v>
      </c>
      <c r="E19" s="304">
        <f>SUM(E16:E17)</f>
        <v>0</v>
      </c>
      <c r="F19" s="304">
        <f>SUM(F16:F17)</f>
        <v>128182.41</v>
      </c>
      <c r="G19" s="841"/>
      <c r="H19" s="841"/>
      <c r="I19" s="304">
        <f>SUM(I16:I17)</f>
        <v>128182.41</v>
      </c>
      <c r="K19" s="304">
        <f>SUM(K16:K17)</f>
        <v>128182.40999999996</v>
      </c>
      <c r="N19" s="304">
        <f>SUM(N16:N17)</f>
        <v>128182.40999999996</v>
      </c>
    </row>
    <row r="20" spans="1:14">
      <c r="A20" s="112">
        <f t="shared" si="1"/>
        <v>6</v>
      </c>
      <c r="B20" s="959"/>
      <c r="C20" s="73"/>
      <c r="G20" s="394"/>
      <c r="H20" s="394"/>
    </row>
    <row r="21" spans="1:14">
      <c r="A21" s="112">
        <f t="shared" si="1"/>
        <v>7</v>
      </c>
      <c r="B21" s="959"/>
      <c r="C21" s="500" t="s">
        <v>153</v>
      </c>
      <c r="G21" s="394"/>
      <c r="H21" s="394"/>
    </row>
    <row r="22" spans="1:14">
      <c r="A22" s="112">
        <f t="shared" si="1"/>
        <v>8</v>
      </c>
      <c r="B22" s="855">
        <v>32540</v>
      </c>
      <c r="C22" s="80" t="s">
        <v>160</v>
      </c>
      <c r="D22" s="290">
        <f>'[4]Gross Plant'!AF114</f>
        <v>0</v>
      </c>
      <c r="E22" s="839">
        <v>0</v>
      </c>
      <c r="F22" s="839">
        <f t="shared" ref="F22:F24" si="2">D22+E22</f>
        <v>0</v>
      </c>
      <c r="G22" s="394">
        <f t="shared" ref="G22:H24" si="3">$G$16</f>
        <v>1</v>
      </c>
      <c r="H22" s="394">
        <f t="shared" si="3"/>
        <v>1</v>
      </c>
      <c r="I22" s="839">
        <f t="shared" ref="I22:I24" si="4">F22*G22*H22</f>
        <v>0</v>
      </c>
      <c r="K22" s="290">
        <f>'[4]Gross Plant'!D114</f>
        <v>0</v>
      </c>
      <c r="L22" s="394">
        <f t="shared" ref="L22:M24" si="5">$G$16</f>
        <v>1</v>
      </c>
      <c r="M22" s="394">
        <f t="shared" si="5"/>
        <v>1</v>
      </c>
      <c r="N22" s="839">
        <f t="shared" ref="N22:N24" si="6">K22*L22*M22</f>
        <v>0</v>
      </c>
    </row>
    <row r="23" spans="1:14">
      <c r="A23" s="112">
        <f t="shared" si="1"/>
        <v>9</v>
      </c>
      <c r="B23" s="855">
        <v>33202</v>
      </c>
      <c r="C23" s="80" t="s">
        <v>591</v>
      </c>
      <c r="D23" s="364">
        <f>'[4]Gross Plant'!AF115</f>
        <v>0</v>
      </c>
      <c r="E23" s="364">
        <v>0</v>
      </c>
      <c r="F23" s="364">
        <f t="shared" si="2"/>
        <v>0</v>
      </c>
      <c r="G23" s="394">
        <f t="shared" si="3"/>
        <v>1</v>
      </c>
      <c r="H23" s="394">
        <f t="shared" si="3"/>
        <v>1</v>
      </c>
      <c r="I23" s="364">
        <f t="shared" si="4"/>
        <v>0</v>
      </c>
      <c r="K23" s="364">
        <f>'[4]Gross Plant'!D115</f>
        <v>0</v>
      </c>
      <c r="L23" s="394">
        <f t="shared" si="5"/>
        <v>1</v>
      </c>
      <c r="M23" s="394">
        <f t="shared" si="5"/>
        <v>1</v>
      </c>
      <c r="N23" s="364">
        <f t="shared" si="6"/>
        <v>0</v>
      </c>
    </row>
    <row r="24" spans="1:14">
      <c r="A24" s="112">
        <f t="shared" si="1"/>
        <v>10</v>
      </c>
      <c r="B24" s="855">
        <v>33400</v>
      </c>
      <c r="C24" s="80" t="s">
        <v>1101</v>
      </c>
      <c r="D24" s="364">
        <f>'[4]Gross Plant'!AF116</f>
        <v>0</v>
      </c>
      <c r="E24" s="364">
        <v>0</v>
      </c>
      <c r="F24" s="364">
        <f t="shared" si="2"/>
        <v>0</v>
      </c>
      <c r="G24" s="394">
        <f t="shared" si="3"/>
        <v>1</v>
      </c>
      <c r="H24" s="394">
        <f t="shared" si="3"/>
        <v>1</v>
      </c>
      <c r="I24" s="364">
        <f t="shared" si="4"/>
        <v>0</v>
      </c>
      <c r="K24" s="364">
        <f>'[4]Gross Plant'!D116</f>
        <v>0</v>
      </c>
      <c r="L24" s="394">
        <f t="shared" si="5"/>
        <v>1</v>
      </c>
      <c r="M24" s="394">
        <f t="shared" si="5"/>
        <v>1</v>
      </c>
      <c r="N24" s="364">
        <f t="shared" si="6"/>
        <v>0</v>
      </c>
    </row>
    <row r="25" spans="1:14">
      <c r="A25" s="112">
        <f t="shared" si="1"/>
        <v>11</v>
      </c>
      <c r="B25" s="959"/>
      <c r="C25" s="73"/>
      <c r="D25" s="499"/>
      <c r="G25" s="394"/>
      <c r="H25" s="394"/>
      <c r="K25" s="499"/>
    </row>
    <row r="26" spans="1:14">
      <c r="A26" s="112">
        <f t="shared" si="1"/>
        <v>12</v>
      </c>
      <c r="B26" s="959"/>
      <c r="C26" s="73" t="s">
        <v>276</v>
      </c>
      <c r="D26" s="304">
        <f>SUM(D22:D25)</f>
        <v>0</v>
      </c>
      <c r="E26" s="304">
        <f>SUM(E22:E25)</f>
        <v>0</v>
      </c>
      <c r="F26" s="304">
        <f>SUM(F22:F25)</f>
        <v>0</v>
      </c>
      <c r="G26" s="394"/>
      <c r="H26" s="394"/>
      <c r="I26" s="304">
        <f>SUM(I22:I25)</f>
        <v>0</v>
      </c>
      <c r="K26" s="304">
        <f>SUM(K22:K25)</f>
        <v>0</v>
      </c>
      <c r="N26" s="304">
        <f>SUM(N22:N25)</f>
        <v>0</v>
      </c>
    </row>
    <row r="27" spans="1:14">
      <c r="A27" s="112">
        <f t="shared" si="1"/>
        <v>13</v>
      </c>
      <c r="B27" s="959"/>
      <c r="C27" s="80"/>
      <c r="G27" s="394"/>
      <c r="H27" s="394"/>
    </row>
    <row r="28" spans="1:14">
      <c r="A28" s="112">
        <f t="shared" si="1"/>
        <v>14</v>
      </c>
      <c r="B28" s="959"/>
      <c r="C28" s="500" t="s">
        <v>277</v>
      </c>
      <c r="G28" s="394"/>
      <c r="H28" s="394"/>
    </row>
    <row r="29" spans="1:14">
      <c r="A29" s="112">
        <f t="shared" si="1"/>
        <v>15</v>
      </c>
      <c r="B29" s="855">
        <v>35010</v>
      </c>
      <c r="C29" s="80" t="s">
        <v>290</v>
      </c>
      <c r="D29" s="290">
        <f>'[4]Gross Plant'!AF117</f>
        <v>261126.69</v>
      </c>
      <c r="E29" s="839">
        <v>0</v>
      </c>
      <c r="F29" s="839">
        <f t="shared" ref="F29:F45" si="7">D29+E29</f>
        <v>261126.69</v>
      </c>
      <c r="G29" s="394">
        <f t="shared" ref="G29:H45" si="8">$G$16</f>
        <v>1</v>
      </c>
      <c r="H29" s="394">
        <f t="shared" si="8"/>
        <v>1</v>
      </c>
      <c r="I29" s="839">
        <f t="shared" ref="I29:I45" si="9">F29*G29*H29</f>
        <v>261126.69</v>
      </c>
      <c r="K29" s="290">
        <f>'[4]Gross Plant'!D117</f>
        <v>261126.68999999997</v>
      </c>
      <c r="L29" s="394">
        <f t="shared" ref="L29:M45" si="10">$G$16</f>
        <v>1</v>
      </c>
      <c r="M29" s="394">
        <f t="shared" si="10"/>
        <v>1</v>
      </c>
      <c r="N29" s="839">
        <f t="shared" ref="N29:N45" si="11">K29*L29*M29</f>
        <v>261126.68999999997</v>
      </c>
    </row>
    <row r="30" spans="1:14">
      <c r="A30" s="112">
        <f t="shared" si="1"/>
        <v>16</v>
      </c>
      <c r="B30" s="855">
        <v>35020</v>
      </c>
      <c r="C30" s="80" t="s">
        <v>785</v>
      </c>
      <c r="D30" s="364">
        <f>'[4]Gross Plant'!AF118</f>
        <v>4681.58</v>
      </c>
      <c r="E30" s="364">
        <v>0</v>
      </c>
      <c r="F30" s="364">
        <f t="shared" si="7"/>
        <v>4681.58</v>
      </c>
      <c r="G30" s="394">
        <f t="shared" si="8"/>
        <v>1</v>
      </c>
      <c r="H30" s="394">
        <f t="shared" si="8"/>
        <v>1</v>
      </c>
      <c r="I30" s="364">
        <f t="shared" si="9"/>
        <v>4681.58</v>
      </c>
      <c r="K30" s="364">
        <f>'[4]Gross Plant'!D118</f>
        <v>4681.5800000000008</v>
      </c>
      <c r="L30" s="394">
        <f t="shared" si="10"/>
        <v>1</v>
      </c>
      <c r="M30" s="394">
        <f t="shared" si="10"/>
        <v>1</v>
      </c>
      <c r="N30" s="364">
        <f t="shared" si="11"/>
        <v>4681.5800000000008</v>
      </c>
    </row>
    <row r="31" spans="1:14">
      <c r="A31" s="112">
        <f t="shared" si="1"/>
        <v>17</v>
      </c>
      <c r="B31" s="855">
        <v>35100</v>
      </c>
      <c r="C31" s="80" t="s">
        <v>956</v>
      </c>
      <c r="D31" s="364">
        <f>'[4]Gross Plant'!AF119</f>
        <v>17916.189999999999</v>
      </c>
      <c r="E31" s="364">
        <v>0</v>
      </c>
      <c r="F31" s="364">
        <f t="shared" si="7"/>
        <v>17916.189999999999</v>
      </c>
      <c r="G31" s="394">
        <f t="shared" si="8"/>
        <v>1</v>
      </c>
      <c r="H31" s="394">
        <f t="shared" si="8"/>
        <v>1</v>
      </c>
      <c r="I31" s="364">
        <f t="shared" si="9"/>
        <v>17916.189999999999</v>
      </c>
      <c r="K31" s="364">
        <f>'[4]Gross Plant'!D119</f>
        <v>17916.189999999999</v>
      </c>
      <c r="L31" s="394">
        <f t="shared" si="10"/>
        <v>1</v>
      </c>
      <c r="M31" s="394">
        <f t="shared" si="10"/>
        <v>1</v>
      </c>
      <c r="N31" s="364">
        <f t="shared" si="11"/>
        <v>17916.189999999999</v>
      </c>
    </row>
    <row r="32" spans="1:14">
      <c r="A32" s="112">
        <f t="shared" si="1"/>
        <v>18</v>
      </c>
      <c r="B32" s="855">
        <v>35102</v>
      </c>
      <c r="C32" s="80" t="s">
        <v>278</v>
      </c>
      <c r="D32" s="364">
        <f>'[4]Gross Plant'!AF120</f>
        <v>153261.29999999999</v>
      </c>
      <c r="E32" s="364">
        <v>0</v>
      </c>
      <c r="F32" s="364">
        <f t="shared" si="7"/>
        <v>153261.29999999999</v>
      </c>
      <c r="G32" s="394">
        <f t="shared" si="8"/>
        <v>1</v>
      </c>
      <c r="H32" s="394">
        <f t="shared" si="8"/>
        <v>1</v>
      </c>
      <c r="I32" s="364">
        <f t="shared" si="9"/>
        <v>153261.29999999999</v>
      </c>
      <c r="K32" s="364">
        <f>'[4]Gross Plant'!D120</f>
        <v>153261.30000000002</v>
      </c>
      <c r="L32" s="394">
        <f t="shared" si="10"/>
        <v>1</v>
      </c>
      <c r="M32" s="394">
        <f t="shared" si="10"/>
        <v>1</v>
      </c>
      <c r="N32" s="364">
        <f t="shared" si="11"/>
        <v>153261.30000000002</v>
      </c>
    </row>
    <row r="33" spans="1:14">
      <c r="A33" s="112">
        <f t="shared" si="1"/>
        <v>19</v>
      </c>
      <c r="B33" s="855">
        <v>35103</v>
      </c>
      <c r="C33" s="80" t="s">
        <v>580</v>
      </c>
      <c r="D33" s="364">
        <f>'[4]Gross Plant'!AF121</f>
        <v>23138.38</v>
      </c>
      <c r="E33" s="364">
        <v>0</v>
      </c>
      <c r="F33" s="364">
        <f t="shared" si="7"/>
        <v>23138.38</v>
      </c>
      <c r="G33" s="394">
        <f t="shared" si="8"/>
        <v>1</v>
      </c>
      <c r="H33" s="394">
        <f t="shared" si="8"/>
        <v>1</v>
      </c>
      <c r="I33" s="364">
        <f t="shared" si="9"/>
        <v>23138.38</v>
      </c>
      <c r="K33" s="364">
        <f>'[4]Gross Plant'!D121</f>
        <v>23138.38</v>
      </c>
      <c r="L33" s="394">
        <f t="shared" si="10"/>
        <v>1</v>
      </c>
      <c r="M33" s="394">
        <f t="shared" si="10"/>
        <v>1</v>
      </c>
      <c r="N33" s="364">
        <f t="shared" si="11"/>
        <v>23138.38</v>
      </c>
    </row>
    <row r="34" spans="1:14">
      <c r="A34" s="112">
        <f t="shared" si="1"/>
        <v>20</v>
      </c>
      <c r="B34" s="855">
        <v>35104</v>
      </c>
      <c r="C34" s="80" t="s">
        <v>581</v>
      </c>
      <c r="D34" s="364">
        <f>'[4]Gross Plant'!AF122</f>
        <v>137442.53</v>
      </c>
      <c r="E34" s="364">
        <v>0</v>
      </c>
      <c r="F34" s="364">
        <f t="shared" si="7"/>
        <v>137442.53</v>
      </c>
      <c r="G34" s="394">
        <f t="shared" si="8"/>
        <v>1</v>
      </c>
      <c r="H34" s="394">
        <f t="shared" si="8"/>
        <v>1</v>
      </c>
      <c r="I34" s="364">
        <f t="shared" si="9"/>
        <v>137442.53</v>
      </c>
      <c r="K34" s="364">
        <f>'[4]Gross Plant'!D122</f>
        <v>137442.53</v>
      </c>
      <c r="L34" s="394">
        <f t="shared" si="10"/>
        <v>1</v>
      </c>
      <c r="M34" s="394">
        <f t="shared" si="10"/>
        <v>1</v>
      </c>
      <c r="N34" s="364">
        <f t="shared" si="11"/>
        <v>137442.53</v>
      </c>
    </row>
    <row r="35" spans="1:14">
      <c r="A35" s="112">
        <f t="shared" si="1"/>
        <v>21</v>
      </c>
      <c r="B35" s="855">
        <v>35200</v>
      </c>
      <c r="C35" s="80" t="s">
        <v>437</v>
      </c>
      <c r="D35" s="364">
        <f>'[4]Gross Plant'!AF123</f>
        <v>9083125.5700000003</v>
      </c>
      <c r="E35" s="364">
        <v>0</v>
      </c>
      <c r="F35" s="364">
        <f t="shared" si="7"/>
        <v>9083125.5700000003</v>
      </c>
      <c r="G35" s="394">
        <f t="shared" si="8"/>
        <v>1</v>
      </c>
      <c r="H35" s="394">
        <f t="shared" si="8"/>
        <v>1</v>
      </c>
      <c r="I35" s="364">
        <f t="shared" si="9"/>
        <v>9083125.5700000003</v>
      </c>
      <c r="K35" s="364">
        <f>'[4]Gross Plant'!D123</f>
        <v>9083125.5699999966</v>
      </c>
      <c r="L35" s="394">
        <f t="shared" si="10"/>
        <v>1</v>
      </c>
      <c r="M35" s="394">
        <f t="shared" si="10"/>
        <v>1</v>
      </c>
      <c r="N35" s="364">
        <f t="shared" si="11"/>
        <v>9083125.5699999966</v>
      </c>
    </row>
    <row r="36" spans="1:14">
      <c r="A36" s="112">
        <f t="shared" si="1"/>
        <v>22</v>
      </c>
      <c r="B36" s="855">
        <v>35201</v>
      </c>
      <c r="C36" s="80" t="s">
        <v>582</v>
      </c>
      <c r="D36" s="364">
        <f>'[4]Gross Plant'!AF124</f>
        <v>1699998.54</v>
      </c>
      <c r="E36" s="364">
        <v>0</v>
      </c>
      <c r="F36" s="364">
        <f t="shared" si="7"/>
        <v>1699998.54</v>
      </c>
      <c r="G36" s="394">
        <f t="shared" si="8"/>
        <v>1</v>
      </c>
      <c r="H36" s="394">
        <f t="shared" si="8"/>
        <v>1</v>
      </c>
      <c r="I36" s="364">
        <f t="shared" si="9"/>
        <v>1699998.54</v>
      </c>
      <c r="K36" s="364">
        <f>'[4]Gross Plant'!D124</f>
        <v>1699998.5399999993</v>
      </c>
      <c r="L36" s="394">
        <f t="shared" si="10"/>
        <v>1</v>
      </c>
      <c r="M36" s="394">
        <f t="shared" si="10"/>
        <v>1</v>
      </c>
      <c r="N36" s="364">
        <f t="shared" si="11"/>
        <v>1699998.5399999993</v>
      </c>
    </row>
    <row r="37" spans="1:14">
      <c r="A37" s="112">
        <f t="shared" si="1"/>
        <v>23</v>
      </c>
      <c r="B37" s="855">
        <v>35202</v>
      </c>
      <c r="C37" s="80" t="s">
        <v>583</v>
      </c>
      <c r="D37" s="364">
        <f>'[4]Gross Plant'!AF125</f>
        <v>449309.06</v>
      </c>
      <c r="E37" s="364">
        <v>0</v>
      </c>
      <c r="F37" s="364">
        <f t="shared" si="7"/>
        <v>449309.06</v>
      </c>
      <c r="G37" s="394">
        <f t="shared" si="8"/>
        <v>1</v>
      </c>
      <c r="H37" s="394">
        <f t="shared" si="8"/>
        <v>1</v>
      </c>
      <c r="I37" s="364">
        <f t="shared" si="9"/>
        <v>449309.06</v>
      </c>
      <c r="K37" s="364">
        <f>'[4]Gross Plant'!D125</f>
        <v>449309.05999999988</v>
      </c>
      <c r="L37" s="394">
        <f t="shared" si="10"/>
        <v>1</v>
      </c>
      <c r="M37" s="394">
        <f t="shared" si="10"/>
        <v>1</v>
      </c>
      <c r="N37" s="364">
        <f t="shared" si="11"/>
        <v>449309.05999999988</v>
      </c>
    </row>
    <row r="38" spans="1:14">
      <c r="A38" s="112">
        <f t="shared" si="1"/>
        <v>24</v>
      </c>
      <c r="B38" s="855">
        <v>35203</v>
      </c>
      <c r="C38" s="80" t="s">
        <v>341</v>
      </c>
      <c r="D38" s="364">
        <f>'[4]Gross Plant'!AF126</f>
        <v>1694832.96</v>
      </c>
      <c r="E38" s="364">
        <v>0</v>
      </c>
      <c r="F38" s="364">
        <f t="shared" si="7"/>
        <v>1694832.96</v>
      </c>
      <c r="G38" s="394">
        <f t="shared" si="8"/>
        <v>1</v>
      </c>
      <c r="H38" s="394">
        <f t="shared" si="8"/>
        <v>1</v>
      </c>
      <c r="I38" s="364">
        <f t="shared" si="9"/>
        <v>1694832.96</v>
      </c>
      <c r="K38" s="364">
        <f>'[4]Gross Plant'!D126</f>
        <v>1694832.9600000007</v>
      </c>
      <c r="L38" s="394">
        <f t="shared" si="10"/>
        <v>1</v>
      </c>
      <c r="M38" s="394">
        <f t="shared" si="10"/>
        <v>1</v>
      </c>
      <c r="N38" s="364">
        <f t="shared" si="11"/>
        <v>1694832.9600000007</v>
      </c>
    </row>
    <row r="39" spans="1:14">
      <c r="A39" s="112">
        <f t="shared" si="1"/>
        <v>25</v>
      </c>
      <c r="B39" s="855">
        <v>35210</v>
      </c>
      <c r="C39" s="80" t="s">
        <v>584</v>
      </c>
      <c r="D39" s="364">
        <f>'[4]Gross Plant'!AF127</f>
        <v>178530.09</v>
      </c>
      <c r="E39" s="364">
        <v>0</v>
      </c>
      <c r="F39" s="364">
        <f t="shared" si="7"/>
        <v>178530.09</v>
      </c>
      <c r="G39" s="394">
        <f t="shared" si="8"/>
        <v>1</v>
      </c>
      <c r="H39" s="394">
        <f t="shared" si="8"/>
        <v>1</v>
      </c>
      <c r="I39" s="364">
        <f t="shared" si="9"/>
        <v>178530.09</v>
      </c>
      <c r="K39" s="364">
        <f>'[4]Gross Plant'!D127</f>
        <v>178530.09000000003</v>
      </c>
      <c r="L39" s="394">
        <f t="shared" si="10"/>
        <v>1</v>
      </c>
      <c r="M39" s="394">
        <f t="shared" si="10"/>
        <v>1</v>
      </c>
      <c r="N39" s="364">
        <f t="shared" si="11"/>
        <v>178530.09000000003</v>
      </c>
    </row>
    <row r="40" spans="1:14">
      <c r="A40" s="112">
        <f t="shared" si="1"/>
        <v>26</v>
      </c>
      <c r="B40" s="855">
        <v>35211</v>
      </c>
      <c r="C40" s="80" t="s">
        <v>585</v>
      </c>
      <c r="D40" s="364">
        <f>'[4]Gross Plant'!AF128</f>
        <v>54614.27</v>
      </c>
      <c r="E40" s="364">
        <v>0</v>
      </c>
      <c r="F40" s="364">
        <f t="shared" si="7"/>
        <v>54614.27</v>
      </c>
      <c r="G40" s="394">
        <f t="shared" si="8"/>
        <v>1</v>
      </c>
      <c r="H40" s="394">
        <f t="shared" si="8"/>
        <v>1</v>
      </c>
      <c r="I40" s="364">
        <f t="shared" si="9"/>
        <v>54614.27</v>
      </c>
      <c r="K40" s="364">
        <f>'[4]Gross Plant'!D128</f>
        <v>54614.270000000011</v>
      </c>
      <c r="L40" s="394">
        <f t="shared" si="10"/>
        <v>1</v>
      </c>
      <c r="M40" s="394">
        <f t="shared" si="10"/>
        <v>1</v>
      </c>
      <c r="N40" s="364">
        <f t="shared" si="11"/>
        <v>54614.270000000011</v>
      </c>
    </row>
    <row r="41" spans="1:14">
      <c r="A41" s="112">
        <f t="shared" si="1"/>
        <v>27</v>
      </c>
      <c r="B41" s="855">
        <v>35301</v>
      </c>
      <c r="C41" s="73" t="s">
        <v>161</v>
      </c>
      <c r="D41" s="364">
        <f>'[4]Gross Plant'!AF129</f>
        <v>175350.37</v>
      </c>
      <c r="E41" s="364">
        <v>0</v>
      </c>
      <c r="F41" s="364">
        <f t="shared" si="7"/>
        <v>175350.37</v>
      </c>
      <c r="G41" s="394">
        <f t="shared" si="8"/>
        <v>1</v>
      </c>
      <c r="H41" s="394">
        <f t="shared" si="8"/>
        <v>1</v>
      </c>
      <c r="I41" s="364">
        <f t="shared" si="9"/>
        <v>175350.37</v>
      </c>
      <c r="K41" s="364">
        <f>'[4]Gross Plant'!D129</f>
        <v>175350.37000000005</v>
      </c>
      <c r="L41" s="394">
        <f t="shared" si="10"/>
        <v>1</v>
      </c>
      <c r="M41" s="394">
        <f t="shared" si="10"/>
        <v>1</v>
      </c>
      <c r="N41" s="364">
        <f t="shared" si="11"/>
        <v>175350.37000000005</v>
      </c>
    </row>
    <row r="42" spans="1:14">
      <c r="A42" s="112">
        <f t="shared" si="1"/>
        <v>28</v>
      </c>
      <c r="B42" s="855">
        <v>35302</v>
      </c>
      <c r="C42" s="80" t="s">
        <v>591</v>
      </c>
      <c r="D42" s="364">
        <f>'[4]Gross Plant'!AF130</f>
        <v>209318.9</v>
      </c>
      <c r="E42" s="364">
        <v>0</v>
      </c>
      <c r="F42" s="364">
        <f t="shared" si="7"/>
        <v>209318.9</v>
      </c>
      <c r="G42" s="394">
        <f t="shared" si="8"/>
        <v>1</v>
      </c>
      <c r="H42" s="394">
        <f t="shared" si="8"/>
        <v>1</v>
      </c>
      <c r="I42" s="364">
        <f t="shared" si="9"/>
        <v>209318.9</v>
      </c>
      <c r="K42" s="364">
        <f>'[4]Gross Plant'!D130</f>
        <v>209318.89999999994</v>
      </c>
      <c r="L42" s="394">
        <f t="shared" si="10"/>
        <v>1</v>
      </c>
      <c r="M42" s="394">
        <f t="shared" si="10"/>
        <v>1</v>
      </c>
      <c r="N42" s="364">
        <f t="shared" si="11"/>
        <v>209318.89999999994</v>
      </c>
    </row>
    <row r="43" spans="1:14">
      <c r="A43" s="112">
        <f t="shared" si="1"/>
        <v>29</v>
      </c>
      <c r="B43" s="855">
        <v>35400</v>
      </c>
      <c r="C43" s="80" t="s">
        <v>586</v>
      </c>
      <c r="D43" s="364">
        <f>'[4]Gross Plant'!AF131</f>
        <v>923446.05</v>
      </c>
      <c r="E43" s="364">
        <v>0</v>
      </c>
      <c r="F43" s="364">
        <f t="shared" si="7"/>
        <v>923446.05</v>
      </c>
      <c r="G43" s="394">
        <f t="shared" si="8"/>
        <v>1</v>
      </c>
      <c r="H43" s="394">
        <f t="shared" si="8"/>
        <v>1</v>
      </c>
      <c r="I43" s="364">
        <f t="shared" si="9"/>
        <v>923446.05</v>
      </c>
      <c r="K43" s="364">
        <f>'[4]Gross Plant'!D131</f>
        <v>923446.05000000016</v>
      </c>
      <c r="L43" s="394">
        <f t="shared" si="10"/>
        <v>1</v>
      </c>
      <c r="M43" s="394">
        <f t="shared" si="10"/>
        <v>1</v>
      </c>
      <c r="N43" s="364">
        <f t="shared" si="11"/>
        <v>923446.05000000016</v>
      </c>
    </row>
    <row r="44" spans="1:14">
      <c r="A44" s="112">
        <f t="shared" si="1"/>
        <v>30</v>
      </c>
      <c r="B44" s="855">
        <v>35500</v>
      </c>
      <c r="C44" s="80" t="s">
        <v>979</v>
      </c>
      <c r="D44" s="364">
        <f>'[4]Gross Plant'!AF132</f>
        <v>273084.38</v>
      </c>
      <c r="E44" s="364">
        <v>0</v>
      </c>
      <c r="F44" s="364">
        <f t="shared" si="7"/>
        <v>273084.38</v>
      </c>
      <c r="G44" s="394">
        <f t="shared" si="8"/>
        <v>1</v>
      </c>
      <c r="H44" s="394">
        <f t="shared" si="8"/>
        <v>1</v>
      </c>
      <c r="I44" s="364">
        <f t="shared" si="9"/>
        <v>273084.38</v>
      </c>
      <c r="K44" s="364">
        <f>'[4]Gross Plant'!D132</f>
        <v>273084.37999999995</v>
      </c>
      <c r="L44" s="394">
        <f t="shared" si="10"/>
        <v>1</v>
      </c>
      <c r="M44" s="394">
        <f t="shared" si="10"/>
        <v>1</v>
      </c>
      <c r="N44" s="364">
        <f t="shared" si="11"/>
        <v>273084.37999999995</v>
      </c>
    </row>
    <row r="45" spans="1:14">
      <c r="A45" s="112">
        <f t="shared" si="1"/>
        <v>31</v>
      </c>
      <c r="B45" s="855">
        <v>35600</v>
      </c>
      <c r="C45" s="80" t="s">
        <v>1024</v>
      </c>
      <c r="D45" s="364">
        <f>'[4]Gross Plant'!AF133</f>
        <v>829029.81</v>
      </c>
      <c r="E45" s="842">
        <v>0</v>
      </c>
      <c r="F45" s="842">
        <f t="shared" si="7"/>
        <v>829029.81</v>
      </c>
      <c r="G45" s="394">
        <f t="shared" si="8"/>
        <v>1</v>
      </c>
      <c r="H45" s="394">
        <f t="shared" si="8"/>
        <v>1</v>
      </c>
      <c r="I45" s="842">
        <f t="shared" si="9"/>
        <v>829029.81</v>
      </c>
      <c r="K45" s="364">
        <f>'[4]Gross Plant'!D133</f>
        <v>829029.81000000029</v>
      </c>
      <c r="L45" s="394">
        <f t="shared" si="10"/>
        <v>1</v>
      </c>
      <c r="M45" s="394">
        <f t="shared" si="10"/>
        <v>1</v>
      </c>
      <c r="N45" s="842">
        <f t="shared" si="11"/>
        <v>829029.81000000029</v>
      </c>
    </row>
    <row r="46" spans="1:14">
      <c r="A46" s="112">
        <f t="shared" si="1"/>
        <v>32</v>
      </c>
      <c r="B46" s="959"/>
      <c r="C46" s="80"/>
      <c r="D46" s="499"/>
      <c r="G46" s="394"/>
      <c r="H46" s="394"/>
      <c r="K46" s="499"/>
    </row>
    <row r="47" spans="1:14">
      <c r="A47" s="112">
        <f t="shared" si="1"/>
        <v>33</v>
      </c>
      <c r="B47" s="959"/>
      <c r="C47" s="80" t="s">
        <v>214</v>
      </c>
      <c r="D47" s="304">
        <f>SUM(D29:D46)</f>
        <v>16168206.670000002</v>
      </c>
      <c r="E47" s="304">
        <f>SUM(E29:E46)</f>
        <v>0</v>
      </c>
      <c r="F47" s="304">
        <f>SUM(F29:F46)</f>
        <v>16168206.670000002</v>
      </c>
      <c r="G47" s="394"/>
      <c r="H47" s="394"/>
      <c r="I47" s="304">
        <f>SUM(I29:I46)</f>
        <v>16168206.670000002</v>
      </c>
      <c r="K47" s="304">
        <f>SUM(K29:K46)</f>
        <v>16168206.669999998</v>
      </c>
      <c r="N47" s="304">
        <f>SUM(N29:N46)</f>
        <v>16168206.669999998</v>
      </c>
    </row>
    <row r="48" spans="1:14">
      <c r="A48" s="112">
        <f t="shared" si="1"/>
        <v>34</v>
      </c>
      <c r="B48" s="959"/>
      <c r="C48" s="80"/>
      <c r="G48" s="394"/>
      <c r="H48" s="394"/>
    </row>
    <row r="49" spans="1:27">
      <c r="A49" s="112">
        <f t="shared" si="1"/>
        <v>35</v>
      </c>
      <c r="B49" s="959"/>
      <c r="C49" s="500" t="s">
        <v>980</v>
      </c>
      <c r="G49" s="394"/>
      <c r="H49" s="394"/>
    </row>
    <row r="50" spans="1:27">
      <c r="A50" s="112">
        <f t="shared" si="1"/>
        <v>36</v>
      </c>
      <c r="B50" s="855">
        <v>36510</v>
      </c>
      <c r="C50" s="80" t="s">
        <v>290</v>
      </c>
      <c r="D50" s="290">
        <f>'[4]Gross Plant'!AF134</f>
        <v>26970.37</v>
      </c>
      <c r="E50" s="839">
        <v>0</v>
      </c>
      <c r="F50" s="839">
        <f t="shared" ref="F50:F58" si="12">D50+E50</f>
        <v>26970.37</v>
      </c>
      <c r="G50" s="394">
        <f t="shared" ref="G50:H58" si="13">$G$16</f>
        <v>1</v>
      </c>
      <c r="H50" s="394">
        <f t="shared" si="13"/>
        <v>1</v>
      </c>
      <c r="I50" s="304">
        <f t="shared" ref="I50:I58" si="14">F50*G50*H50</f>
        <v>26970.37</v>
      </c>
      <c r="K50" s="290">
        <f>'[4]Gross Plant'!D134</f>
        <v>26970.37</v>
      </c>
      <c r="L50" s="394">
        <f t="shared" ref="L50:M58" si="15">$G$16</f>
        <v>1</v>
      </c>
      <c r="M50" s="394">
        <f t="shared" si="15"/>
        <v>1</v>
      </c>
      <c r="N50" s="839">
        <f t="shared" ref="N50:N58" si="16">K50*L50*M50</f>
        <v>26970.37</v>
      </c>
    </row>
    <row r="51" spans="1:27">
      <c r="A51" s="112">
        <f t="shared" si="1"/>
        <v>37</v>
      </c>
      <c r="B51" s="855">
        <v>36520</v>
      </c>
      <c r="C51" s="80" t="s">
        <v>785</v>
      </c>
      <c r="D51" s="364">
        <f>'[4]Gross Plant'!AF135</f>
        <v>867772</v>
      </c>
      <c r="E51" s="364">
        <v>0</v>
      </c>
      <c r="F51" s="364">
        <f t="shared" si="12"/>
        <v>867772</v>
      </c>
      <c r="G51" s="394">
        <f t="shared" si="13"/>
        <v>1</v>
      </c>
      <c r="H51" s="394">
        <f t="shared" si="13"/>
        <v>1</v>
      </c>
      <c r="I51" s="364">
        <f t="shared" si="14"/>
        <v>867772</v>
      </c>
      <c r="K51" s="364">
        <f>'[4]Gross Plant'!D135</f>
        <v>867772</v>
      </c>
      <c r="L51" s="394">
        <f t="shared" si="15"/>
        <v>1</v>
      </c>
      <c r="M51" s="394">
        <f t="shared" si="15"/>
        <v>1</v>
      </c>
      <c r="N51" s="364">
        <f t="shared" si="16"/>
        <v>867772</v>
      </c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>
      <c r="A52" s="112">
        <f t="shared" si="1"/>
        <v>38</v>
      </c>
      <c r="B52" s="855">
        <v>36602</v>
      </c>
      <c r="C52" s="80" t="s">
        <v>848</v>
      </c>
      <c r="D52" s="364">
        <f>'[4]Gross Plant'!AF136</f>
        <v>49001.72</v>
      </c>
      <c r="E52" s="364">
        <v>0</v>
      </c>
      <c r="F52" s="364">
        <f t="shared" si="12"/>
        <v>49001.72</v>
      </c>
      <c r="G52" s="394">
        <f t="shared" si="13"/>
        <v>1</v>
      </c>
      <c r="H52" s="394">
        <f t="shared" si="13"/>
        <v>1</v>
      </c>
      <c r="I52" s="364">
        <f t="shared" si="14"/>
        <v>49001.72</v>
      </c>
      <c r="K52" s="364">
        <f>'[4]Gross Plant'!D136</f>
        <v>49001.719999999987</v>
      </c>
      <c r="L52" s="394">
        <f t="shared" si="15"/>
        <v>1</v>
      </c>
      <c r="M52" s="394">
        <f t="shared" si="15"/>
        <v>1</v>
      </c>
      <c r="N52" s="364">
        <f t="shared" si="16"/>
        <v>49001.719999999987</v>
      </c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>
      <c r="A53" s="112">
        <f t="shared" si="1"/>
        <v>39</v>
      </c>
      <c r="B53" s="855">
        <v>36603</v>
      </c>
      <c r="C53" s="80" t="s">
        <v>981</v>
      </c>
      <c r="D53" s="364">
        <f>'[4]Gross Plant'!AF137</f>
        <v>60826.29</v>
      </c>
      <c r="E53" s="364">
        <v>0</v>
      </c>
      <c r="F53" s="364">
        <f t="shared" si="12"/>
        <v>60826.29</v>
      </c>
      <c r="G53" s="394">
        <f t="shared" si="13"/>
        <v>1</v>
      </c>
      <c r="H53" s="394">
        <f t="shared" si="13"/>
        <v>1</v>
      </c>
      <c r="I53" s="364">
        <f t="shared" si="14"/>
        <v>60826.29</v>
      </c>
      <c r="K53" s="364">
        <f>'[4]Gross Plant'!D137</f>
        <v>60826.290000000008</v>
      </c>
      <c r="L53" s="394">
        <f t="shared" si="15"/>
        <v>1</v>
      </c>
      <c r="M53" s="394">
        <f t="shared" si="15"/>
        <v>1</v>
      </c>
      <c r="N53" s="364">
        <f t="shared" si="16"/>
        <v>60826.290000000008</v>
      </c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>
      <c r="A54" s="112">
        <f t="shared" si="1"/>
        <v>40</v>
      </c>
      <c r="B54" s="855">
        <v>36700</v>
      </c>
      <c r="C54" s="80" t="s">
        <v>836</v>
      </c>
      <c r="D54" s="364">
        <f>'[4]Gross Plant'!AF138</f>
        <v>47232.93</v>
      </c>
      <c r="E54" s="364">
        <v>0</v>
      </c>
      <c r="F54" s="364">
        <f t="shared" si="12"/>
        <v>47232.93</v>
      </c>
      <c r="G54" s="394">
        <f t="shared" si="13"/>
        <v>1</v>
      </c>
      <c r="H54" s="394">
        <f t="shared" si="13"/>
        <v>1</v>
      </c>
      <c r="I54" s="364">
        <f t="shared" si="14"/>
        <v>47232.93</v>
      </c>
      <c r="K54" s="364">
        <f>'[4]Gross Plant'!D138</f>
        <v>47232.930000000008</v>
      </c>
      <c r="L54" s="394">
        <f t="shared" si="15"/>
        <v>1</v>
      </c>
      <c r="M54" s="394">
        <f t="shared" si="15"/>
        <v>1</v>
      </c>
      <c r="N54" s="364">
        <f t="shared" si="16"/>
        <v>47232.930000000008</v>
      </c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>
      <c r="A55" s="112">
        <f t="shared" si="1"/>
        <v>41</v>
      </c>
      <c r="B55" s="855">
        <v>36701</v>
      </c>
      <c r="C55" s="80" t="s">
        <v>16</v>
      </c>
      <c r="D55" s="364">
        <f>'[4]Gross Plant'!AF139</f>
        <v>27828360.870000001</v>
      </c>
      <c r="E55" s="364">
        <v>0</v>
      </c>
      <c r="F55" s="364">
        <f t="shared" si="12"/>
        <v>27828360.870000001</v>
      </c>
      <c r="G55" s="394">
        <f t="shared" si="13"/>
        <v>1</v>
      </c>
      <c r="H55" s="394">
        <f t="shared" si="13"/>
        <v>1</v>
      </c>
      <c r="I55" s="364">
        <f t="shared" si="14"/>
        <v>27828360.870000001</v>
      </c>
      <c r="K55" s="364">
        <f>'[4]Gross Plant'!D139</f>
        <v>27828360.870000001</v>
      </c>
      <c r="L55" s="394">
        <f t="shared" si="15"/>
        <v>1</v>
      </c>
      <c r="M55" s="394">
        <f t="shared" si="15"/>
        <v>1</v>
      </c>
      <c r="N55" s="364">
        <f t="shared" si="16"/>
        <v>27828360.870000001</v>
      </c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>
      <c r="A56" s="112">
        <f t="shared" si="1"/>
        <v>42</v>
      </c>
      <c r="B56" s="855">
        <v>36703</v>
      </c>
      <c r="C56" s="205" t="s">
        <v>1529</v>
      </c>
      <c r="D56" s="364">
        <f>'[4]Gross Plant'!AF140</f>
        <v>51177.42</v>
      </c>
      <c r="E56" s="498">
        <v>0</v>
      </c>
      <c r="F56" s="364">
        <f t="shared" ref="F56" si="17">D56+E56</f>
        <v>51177.42</v>
      </c>
      <c r="G56" s="394">
        <f t="shared" si="13"/>
        <v>1</v>
      </c>
      <c r="H56" s="394">
        <f t="shared" si="13"/>
        <v>1</v>
      </c>
      <c r="I56" s="364">
        <f t="shared" ref="I56" si="18">F56*G56*H56</f>
        <v>51177.42</v>
      </c>
      <c r="K56" s="364">
        <f>'[4]Gross Plant'!D140</f>
        <v>51177.42</v>
      </c>
      <c r="L56" s="394">
        <f t="shared" si="15"/>
        <v>1</v>
      </c>
      <c r="M56" s="394">
        <f t="shared" si="15"/>
        <v>1</v>
      </c>
      <c r="N56" s="364">
        <f t="shared" ref="N56" si="19">K56*L56*M56</f>
        <v>51177.42</v>
      </c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>
      <c r="A57" s="112">
        <f t="shared" si="1"/>
        <v>43</v>
      </c>
      <c r="B57" s="855">
        <v>36900</v>
      </c>
      <c r="C57" s="80" t="s">
        <v>982</v>
      </c>
      <c r="D57" s="364">
        <f>'[4]Gross Plant'!AF141</f>
        <v>1999587.39</v>
      </c>
      <c r="E57" s="364">
        <v>0</v>
      </c>
      <c r="F57" s="364">
        <f t="shared" si="12"/>
        <v>1999587.39</v>
      </c>
      <c r="G57" s="394">
        <f t="shared" si="13"/>
        <v>1</v>
      </c>
      <c r="H57" s="394">
        <f t="shared" si="13"/>
        <v>1</v>
      </c>
      <c r="I57" s="364">
        <f t="shared" si="14"/>
        <v>1999587.39</v>
      </c>
      <c r="K57" s="364">
        <f>'[4]Gross Plant'!D141</f>
        <v>1999587.3900000004</v>
      </c>
      <c r="L57" s="394">
        <f t="shared" si="15"/>
        <v>1</v>
      </c>
      <c r="M57" s="394">
        <f t="shared" si="15"/>
        <v>1</v>
      </c>
      <c r="N57" s="364">
        <f t="shared" si="16"/>
        <v>1999587.3900000004</v>
      </c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>
      <c r="A58" s="112">
        <f t="shared" si="1"/>
        <v>44</v>
      </c>
      <c r="B58" s="855">
        <v>36901</v>
      </c>
      <c r="C58" s="80" t="s">
        <v>982</v>
      </c>
      <c r="D58" s="364">
        <f>'[4]Gross Plant'!AF142</f>
        <v>2269499.29</v>
      </c>
      <c r="E58" s="842">
        <v>0</v>
      </c>
      <c r="F58" s="842">
        <f t="shared" si="12"/>
        <v>2269499.29</v>
      </c>
      <c r="G58" s="394">
        <f t="shared" si="13"/>
        <v>1</v>
      </c>
      <c r="H58" s="394">
        <f t="shared" si="13"/>
        <v>1</v>
      </c>
      <c r="I58" s="842">
        <f t="shared" si="14"/>
        <v>2269499.29</v>
      </c>
      <c r="K58" s="364">
        <f>'[4]Gross Plant'!D142</f>
        <v>2269499.2899999996</v>
      </c>
      <c r="L58" s="394">
        <f t="shared" si="15"/>
        <v>1</v>
      </c>
      <c r="M58" s="394">
        <f t="shared" si="15"/>
        <v>1</v>
      </c>
      <c r="N58" s="842">
        <f t="shared" si="16"/>
        <v>2269499.2899999996</v>
      </c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>
      <c r="A59" s="112">
        <f t="shared" si="1"/>
        <v>45</v>
      </c>
      <c r="B59" s="959"/>
      <c r="C59" s="80"/>
      <c r="D59" s="499"/>
      <c r="G59" s="394"/>
      <c r="H59" s="394"/>
      <c r="K59" s="499"/>
      <c r="L59" s="962"/>
      <c r="M59" s="962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>
      <c r="A60" s="112">
        <f t="shared" si="1"/>
        <v>46</v>
      </c>
      <c r="B60" s="959"/>
      <c r="C60" s="80" t="s">
        <v>1301</v>
      </c>
      <c r="D60" s="304">
        <f>SUM(D50:D59)</f>
        <v>33200428.280000001</v>
      </c>
      <c r="E60" s="304">
        <f>SUM(E50:E59)</f>
        <v>0</v>
      </c>
      <c r="F60" s="304">
        <f>SUM(F50:F59)</f>
        <v>33200428.280000001</v>
      </c>
      <c r="G60" s="394"/>
      <c r="H60" s="394"/>
      <c r="I60" s="304">
        <f>SUM(I50:I59)</f>
        <v>33200428.280000001</v>
      </c>
      <c r="K60" s="304">
        <f>SUM(K50:K59)</f>
        <v>33200428.280000001</v>
      </c>
      <c r="L60" s="962"/>
      <c r="M60" s="962"/>
      <c r="N60" s="304">
        <f>SUM(N50:N59)</f>
        <v>33200428.280000001</v>
      </c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>
      <c r="A61" s="112">
        <f t="shared" si="1"/>
        <v>47</v>
      </c>
      <c r="B61" s="959"/>
      <c r="C61" s="73"/>
      <c r="G61" s="394"/>
      <c r="H61" s="394"/>
      <c r="L61" s="962"/>
      <c r="M61" s="962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>
      <c r="A62" s="112">
        <f t="shared" si="1"/>
        <v>48</v>
      </c>
      <c r="B62" s="959"/>
      <c r="C62" s="500" t="s">
        <v>297</v>
      </c>
      <c r="G62" s="394"/>
      <c r="H62" s="394"/>
      <c r="L62" s="962"/>
      <c r="M62" s="9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>
      <c r="A63" s="112">
        <f t="shared" si="1"/>
        <v>49</v>
      </c>
      <c r="B63" s="855">
        <v>37400</v>
      </c>
      <c r="C63" s="80" t="s">
        <v>1128</v>
      </c>
      <c r="D63" s="290">
        <f>'[4]Gross Plant'!AF143</f>
        <v>531166.79</v>
      </c>
      <c r="E63" s="839">
        <v>0</v>
      </c>
      <c r="F63" s="839">
        <f t="shared" ref="F63:F84" si="20">D63+E63</f>
        <v>531166.79</v>
      </c>
      <c r="G63" s="394">
        <f t="shared" ref="G63:H84" si="21">$G$16</f>
        <v>1</v>
      </c>
      <c r="H63" s="394">
        <f t="shared" si="21"/>
        <v>1</v>
      </c>
      <c r="I63" s="304">
        <f t="shared" ref="I63:I84" si="22">F63*G63*H63</f>
        <v>531166.79</v>
      </c>
      <c r="K63" s="290">
        <f>'[4]Gross Plant'!D143</f>
        <v>531166.79</v>
      </c>
      <c r="L63" s="394">
        <f t="shared" ref="L63:M84" si="23">$G$16</f>
        <v>1</v>
      </c>
      <c r="M63" s="394">
        <f t="shared" si="23"/>
        <v>1</v>
      </c>
      <c r="N63" s="839">
        <f t="shared" ref="N63:N84" si="24">K63*L63*M63</f>
        <v>531166.79</v>
      </c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>
      <c r="A64" s="112">
        <f t="shared" si="1"/>
        <v>50</v>
      </c>
      <c r="B64" s="855">
        <v>37401</v>
      </c>
      <c r="C64" s="80" t="s">
        <v>290</v>
      </c>
      <c r="D64" s="364">
        <f>'[4]Gross Plant'!AF144</f>
        <v>428640.46</v>
      </c>
      <c r="E64" s="364">
        <v>0</v>
      </c>
      <c r="F64" s="364">
        <f t="shared" si="20"/>
        <v>428640.46</v>
      </c>
      <c r="G64" s="394">
        <f t="shared" si="21"/>
        <v>1</v>
      </c>
      <c r="H64" s="394">
        <f t="shared" si="21"/>
        <v>1</v>
      </c>
      <c r="I64" s="364">
        <f t="shared" si="22"/>
        <v>428640.46</v>
      </c>
      <c r="K64" s="364">
        <f>'[4]Gross Plant'!D144</f>
        <v>428640.46</v>
      </c>
      <c r="L64" s="394">
        <f t="shared" si="23"/>
        <v>1</v>
      </c>
      <c r="M64" s="394">
        <f t="shared" si="23"/>
        <v>1</v>
      </c>
      <c r="N64" s="364">
        <f t="shared" si="24"/>
        <v>428640.46</v>
      </c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>
      <c r="A65" s="112">
        <f t="shared" si="1"/>
        <v>51</v>
      </c>
      <c r="B65" s="855">
        <v>37402</v>
      </c>
      <c r="C65" s="80" t="s">
        <v>986</v>
      </c>
      <c r="D65" s="364">
        <f>'[4]Gross Plant'!AF145</f>
        <v>3561926.33</v>
      </c>
      <c r="E65" s="364">
        <v>0</v>
      </c>
      <c r="F65" s="364">
        <f t="shared" si="20"/>
        <v>3561926.33</v>
      </c>
      <c r="G65" s="394">
        <f t="shared" si="21"/>
        <v>1</v>
      </c>
      <c r="H65" s="394">
        <f t="shared" si="21"/>
        <v>1</v>
      </c>
      <c r="I65" s="364">
        <f t="shared" si="22"/>
        <v>3561926.33</v>
      </c>
      <c r="K65" s="364">
        <f>'[4]Gross Plant'!D145</f>
        <v>3561926.3299999987</v>
      </c>
      <c r="L65" s="394">
        <f t="shared" si="23"/>
        <v>1</v>
      </c>
      <c r="M65" s="394">
        <f t="shared" si="23"/>
        <v>1</v>
      </c>
      <c r="N65" s="364">
        <f t="shared" si="24"/>
        <v>3561926.3299999987</v>
      </c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>
      <c r="A66" s="112">
        <f t="shared" si="1"/>
        <v>52</v>
      </c>
      <c r="B66" s="855">
        <v>37403</v>
      </c>
      <c r="C66" s="80" t="s">
        <v>983</v>
      </c>
      <c r="D66" s="364">
        <f>'[4]Gross Plant'!AF146</f>
        <v>2783.89</v>
      </c>
      <c r="E66" s="364">
        <v>0</v>
      </c>
      <c r="F66" s="364">
        <f t="shared" si="20"/>
        <v>2783.89</v>
      </c>
      <c r="G66" s="394">
        <f t="shared" si="21"/>
        <v>1</v>
      </c>
      <c r="H66" s="394">
        <f t="shared" si="21"/>
        <v>1</v>
      </c>
      <c r="I66" s="364">
        <f t="shared" si="22"/>
        <v>2783.89</v>
      </c>
      <c r="K66" s="364">
        <f>'[4]Gross Plant'!D146</f>
        <v>2783.89</v>
      </c>
      <c r="L66" s="394">
        <f t="shared" si="23"/>
        <v>1</v>
      </c>
      <c r="M66" s="394">
        <f t="shared" si="23"/>
        <v>1</v>
      </c>
      <c r="N66" s="364">
        <f t="shared" si="24"/>
        <v>2783.89</v>
      </c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>
      <c r="A67" s="112">
        <f t="shared" si="1"/>
        <v>53</v>
      </c>
      <c r="B67" s="855">
        <v>37500</v>
      </c>
      <c r="C67" s="80" t="s">
        <v>848</v>
      </c>
      <c r="D67" s="364">
        <f>'[4]Gross Plant'!AF147</f>
        <v>336167.54</v>
      </c>
      <c r="E67" s="364">
        <v>0</v>
      </c>
      <c r="F67" s="364">
        <f t="shared" si="20"/>
        <v>336167.54</v>
      </c>
      <c r="G67" s="394">
        <f t="shared" si="21"/>
        <v>1</v>
      </c>
      <c r="H67" s="394">
        <f t="shared" si="21"/>
        <v>1</v>
      </c>
      <c r="I67" s="364">
        <f t="shared" si="22"/>
        <v>336167.54</v>
      </c>
      <c r="K67" s="364">
        <f>'[4]Gross Plant'!D147</f>
        <v>336167.54</v>
      </c>
      <c r="L67" s="394">
        <f t="shared" si="23"/>
        <v>1</v>
      </c>
      <c r="M67" s="394">
        <f t="shared" si="23"/>
        <v>1</v>
      </c>
      <c r="N67" s="364">
        <f t="shared" si="24"/>
        <v>336167.54</v>
      </c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>
      <c r="A68" s="112">
        <f t="shared" si="1"/>
        <v>54</v>
      </c>
      <c r="B68" s="855">
        <v>37501</v>
      </c>
      <c r="C68" s="80" t="s">
        <v>984</v>
      </c>
      <c r="D68" s="364">
        <f>'[4]Gross Plant'!AF148</f>
        <v>99818.13</v>
      </c>
      <c r="E68" s="364">
        <v>0</v>
      </c>
      <c r="F68" s="364">
        <f t="shared" si="20"/>
        <v>99818.13</v>
      </c>
      <c r="G68" s="394">
        <f t="shared" si="21"/>
        <v>1</v>
      </c>
      <c r="H68" s="394">
        <f t="shared" si="21"/>
        <v>1</v>
      </c>
      <c r="I68" s="364">
        <f t="shared" si="22"/>
        <v>99818.13</v>
      </c>
      <c r="K68" s="364">
        <f>'[4]Gross Plant'!D148</f>
        <v>99818.12999999999</v>
      </c>
      <c r="L68" s="394">
        <f t="shared" si="23"/>
        <v>1</v>
      </c>
      <c r="M68" s="394">
        <f t="shared" si="23"/>
        <v>1</v>
      </c>
      <c r="N68" s="364">
        <f t="shared" si="24"/>
        <v>99818.12999999999</v>
      </c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>
      <c r="A69" s="112">
        <f t="shared" si="1"/>
        <v>55</v>
      </c>
      <c r="B69" s="855">
        <v>37502</v>
      </c>
      <c r="C69" s="80" t="s">
        <v>986</v>
      </c>
      <c r="D69" s="364">
        <f>'[4]Gross Plant'!AF149</f>
        <v>46264.19</v>
      </c>
      <c r="E69" s="364">
        <v>0</v>
      </c>
      <c r="F69" s="364">
        <f t="shared" si="20"/>
        <v>46264.19</v>
      </c>
      <c r="G69" s="394">
        <f t="shared" si="21"/>
        <v>1</v>
      </c>
      <c r="H69" s="394">
        <f t="shared" si="21"/>
        <v>1</v>
      </c>
      <c r="I69" s="364">
        <f t="shared" si="22"/>
        <v>46264.19</v>
      </c>
      <c r="K69" s="364">
        <f>'[4]Gross Plant'!D149</f>
        <v>46264.189999999995</v>
      </c>
      <c r="L69" s="394">
        <f t="shared" si="23"/>
        <v>1</v>
      </c>
      <c r="M69" s="394">
        <f t="shared" si="23"/>
        <v>1</v>
      </c>
      <c r="N69" s="364">
        <f t="shared" si="24"/>
        <v>46264.189999999995</v>
      </c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>
      <c r="A70" s="112">
        <f t="shared" si="1"/>
        <v>56</v>
      </c>
      <c r="B70" s="855">
        <v>37503</v>
      </c>
      <c r="C70" s="80" t="s">
        <v>985</v>
      </c>
      <c r="D70" s="364">
        <f>'[4]Gross Plant'!AF150</f>
        <v>4005.08</v>
      </c>
      <c r="E70" s="364">
        <v>0</v>
      </c>
      <c r="F70" s="364">
        <f t="shared" si="20"/>
        <v>4005.08</v>
      </c>
      <c r="G70" s="394">
        <f t="shared" si="21"/>
        <v>1</v>
      </c>
      <c r="H70" s="394">
        <f t="shared" si="21"/>
        <v>1</v>
      </c>
      <c r="I70" s="364">
        <f t="shared" si="22"/>
        <v>4005.08</v>
      </c>
      <c r="K70" s="364">
        <f>'[4]Gross Plant'!D150</f>
        <v>4005.0800000000013</v>
      </c>
      <c r="L70" s="394">
        <f t="shared" si="23"/>
        <v>1</v>
      </c>
      <c r="M70" s="394">
        <f t="shared" si="23"/>
        <v>1</v>
      </c>
      <c r="N70" s="364">
        <f t="shared" si="24"/>
        <v>4005.0800000000013</v>
      </c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>
      <c r="A71" s="112">
        <f t="shared" si="1"/>
        <v>57</v>
      </c>
      <c r="B71" s="855">
        <v>37600</v>
      </c>
      <c r="C71" s="80" t="s">
        <v>836</v>
      </c>
      <c r="D71" s="364">
        <f>'[4]Gross Plant'!AF151</f>
        <v>3650459.8242798918</v>
      </c>
      <c r="E71" s="364">
        <v>0</v>
      </c>
      <c r="F71" s="364">
        <f t="shared" si="20"/>
        <v>3650459.8242798918</v>
      </c>
      <c r="G71" s="394">
        <f t="shared" si="21"/>
        <v>1</v>
      </c>
      <c r="H71" s="394">
        <f t="shared" si="21"/>
        <v>1</v>
      </c>
      <c r="I71" s="364">
        <f t="shared" si="22"/>
        <v>3650459.8242798918</v>
      </c>
      <c r="K71" s="364">
        <f>'[4]Gross Plant'!D151</f>
        <v>3501544.5425740299</v>
      </c>
      <c r="L71" s="394">
        <f t="shared" si="23"/>
        <v>1</v>
      </c>
      <c r="M71" s="394">
        <f t="shared" si="23"/>
        <v>1</v>
      </c>
      <c r="N71" s="364">
        <f t="shared" si="24"/>
        <v>3501544.5425740299</v>
      </c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>
      <c r="A72" s="112">
        <f t="shared" si="1"/>
        <v>58</v>
      </c>
      <c r="B72" s="855">
        <v>37601</v>
      </c>
      <c r="C72" s="80" t="s">
        <v>16</v>
      </c>
      <c r="D72" s="364">
        <f>'[4]Gross Plant'!AF152</f>
        <v>206592279.31382313</v>
      </c>
      <c r="E72" s="364">
        <v>0</v>
      </c>
      <c r="F72" s="364">
        <f t="shared" si="20"/>
        <v>206592279.31382313</v>
      </c>
      <c r="G72" s="394">
        <f t="shared" si="21"/>
        <v>1</v>
      </c>
      <c r="H72" s="394">
        <f t="shared" si="21"/>
        <v>1</v>
      </c>
      <c r="I72" s="364">
        <f t="shared" si="22"/>
        <v>206592279.31382313</v>
      </c>
      <c r="K72" s="364">
        <f>'[4]Gross Plant'!D152</f>
        <v>206849853.81083393</v>
      </c>
      <c r="L72" s="394">
        <f t="shared" si="23"/>
        <v>1</v>
      </c>
      <c r="M72" s="394">
        <f t="shared" si="23"/>
        <v>1</v>
      </c>
      <c r="N72" s="364">
        <f t="shared" si="24"/>
        <v>206849853.81083393</v>
      </c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>
      <c r="A73" s="112">
        <f t="shared" si="1"/>
        <v>59</v>
      </c>
      <c r="B73" s="855">
        <v>37602</v>
      </c>
      <c r="C73" s="80" t="s">
        <v>837</v>
      </c>
      <c r="D73" s="364">
        <f>'[4]Gross Plant'!AF153</f>
        <v>217359435.91711915</v>
      </c>
      <c r="E73" s="364">
        <v>0</v>
      </c>
      <c r="F73" s="364">
        <f t="shared" si="20"/>
        <v>217359435.91711915</v>
      </c>
      <c r="G73" s="394">
        <f t="shared" si="21"/>
        <v>1</v>
      </c>
      <c r="H73" s="394">
        <f t="shared" si="21"/>
        <v>1</v>
      </c>
      <c r="I73" s="364">
        <f t="shared" si="22"/>
        <v>217359435.91711915</v>
      </c>
      <c r="K73" s="364">
        <f>'[4]Gross Plant'!D153</f>
        <v>208225451.31272393</v>
      </c>
      <c r="L73" s="394">
        <f t="shared" si="23"/>
        <v>1</v>
      </c>
      <c r="M73" s="394">
        <f t="shared" si="23"/>
        <v>1</v>
      </c>
      <c r="N73" s="364">
        <f t="shared" si="24"/>
        <v>208225451.31272393</v>
      </c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>
      <c r="A74" s="112">
        <f t="shared" si="1"/>
        <v>60</v>
      </c>
      <c r="B74" s="855">
        <v>37603</v>
      </c>
      <c r="C74" s="205" t="s">
        <v>1529</v>
      </c>
      <c r="D74" s="364">
        <f>'[4]Gross Plant'!AF154</f>
        <v>3501229.652626921</v>
      </c>
      <c r="E74" s="498">
        <v>0</v>
      </c>
      <c r="F74" s="364">
        <f t="shared" ref="F74:F75" si="25">D74+E74</f>
        <v>3501229.652626921</v>
      </c>
      <c r="G74" s="394">
        <f t="shared" si="21"/>
        <v>1</v>
      </c>
      <c r="H74" s="394">
        <f t="shared" si="21"/>
        <v>1</v>
      </c>
      <c r="I74" s="364">
        <f t="shared" ref="I74:I75" si="26">F74*G74*H74</f>
        <v>3501229.652626921</v>
      </c>
      <c r="K74" s="364">
        <f>'[4]Gross Plant'!D154</f>
        <v>3567921.9186763312</v>
      </c>
      <c r="L74" s="394">
        <f t="shared" si="23"/>
        <v>1</v>
      </c>
      <c r="M74" s="394">
        <f t="shared" si="23"/>
        <v>1</v>
      </c>
      <c r="N74" s="364">
        <f t="shared" ref="N74:N75" si="27">K74*L74*M74</f>
        <v>3567921.9186763312</v>
      </c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>
      <c r="A75" s="112">
        <f t="shared" si="1"/>
        <v>61</v>
      </c>
      <c r="B75" s="855">
        <v>37604</v>
      </c>
      <c r="C75" s="205" t="s">
        <v>1530</v>
      </c>
      <c r="D75" s="364">
        <f>'[4]Gross Plant'!AF155</f>
        <v>10571511.840000002</v>
      </c>
      <c r="E75" s="498">
        <v>0</v>
      </c>
      <c r="F75" s="364">
        <f t="shared" si="25"/>
        <v>10571511.840000002</v>
      </c>
      <c r="G75" s="394">
        <f t="shared" si="21"/>
        <v>1</v>
      </c>
      <c r="H75" s="394">
        <f t="shared" si="21"/>
        <v>1</v>
      </c>
      <c r="I75" s="364">
        <f t="shared" si="26"/>
        <v>10571511.840000002</v>
      </c>
      <c r="K75" s="364">
        <f>'[4]Gross Plant'!D155</f>
        <v>10571511.840000002</v>
      </c>
      <c r="L75" s="394">
        <f t="shared" si="23"/>
        <v>1</v>
      </c>
      <c r="M75" s="394">
        <f t="shared" si="23"/>
        <v>1</v>
      </c>
      <c r="N75" s="364">
        <f t="shared" si="27"/>
        <v>10571511.840000002</v>
      </c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>
      <c r="A76" s="112">
        <f t="shared" si="1"/>
        <v>62</v>
      </c>
      <c r="B76" s="855">
        <v>37800</v>
      </c>
      <c r="C76" s="80" t="s">
        <v>228</v>
      </c>
      <c r="D76" s="364">
        <f>'[4]Gross Plant'!AF156</f>
        <v>23122787.259257894</v>
      </c>
      <c r="E76" s="364">
        <v>0</v>
      </c>
      <c r="F76" s="364">
        <f t="shared" si="20"/>
        <v>23122787.259257894</v>
      </c>
      <c r="G76" s="394">
        <f t="shared" si="21"/>
        <v>1</v>
      </c>
      <c r="H76" s="394">
        <f t="shared" si="21"/>
        <v>1</v>
      </c>
      <c r="I76" s="364">
        <f t="shared" si="22"/>
        <v>23122787.259257894</v>
      </c>
      <c r="K76" s="364">
        <f>'[4]Gross Plant'!D156</f>
        <v>23019538.103403393</v>
      </c>
      <c r="L76" s="394">
        <f t="shared" si="23"/>
        <v>1</v>
      </c>
      <c r="M76" s="394">
        <f t="shared" si="23"/>
        <v>1</v>
      </c>
      <c r="N76" s="364">
        <f t="shared" si="24"/>
        <v>23019538.103403393</v>
      </c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>
      <c r="A77" s="112">
        <f t="shared" si="1"/>
        <v>63</v>
      </c>
      <c r="B77" s="855">
        <v>37900</v>
      </c>
      <c r="C77" s="80" t="s">
        <v>1171</v>
      </c>
      <c r="D77" s="364">
        <f>'[4]Gross Plant'!AF157</f>
        <v>4425949.0168110104</v>
      </c>
      <c r="E77" s="364">
        <v>0</v>
      </c>
      <c r="F77" s="364">
        <f t="shared" si="20"/>
        <v>4425949.0168110104</v>
      </c>
      <c r="G77" s="394">
        <f t="shared" si="21"/>
        <v>1</v>
      </c>
      <c r="H77" s="394">
        <f t="shared" si="21"/>
        <v>1</v>
      </c>
      <c r="I77" s="364">
        <f t="shared" si="22"/>
        <v>4425949.0168110104</v>
      </c>
      <c r="K77" s="364">
        <f>'[4]Gross Plant'!D157</f>
        <v>4548555.2487816606</v>
      </c>
      <c r="L77" s="394">
        <f t="shared" si="23"/>
        <v>1</v>
      </c>
      <c r="M77" s="394">
        <f t="shared" si="23"/>
        <v>1</v>
      </c>
      <c r="N77" s="364">
        <f t="shared" si="24"/>
        <v>4548555.2487816606</v>
      </c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>
      <c r="A78" s="112">
        <f t="shared" si="1"/>
        <v>64</v>
      </c>
      <c r="B78" s="855">
        <v>37905</v>
      </c>
      <c r="C78" s="80" t="s">
        <v>720</v>
      </c>
      <c r="D78" s="364">
        <f>'[4]Gross Plant'!AF158</f>
        <v>1720563.5032605454</v>
      </c>
      <c r="E78" s="364">
        <v>0</v>
      </c>
      <c r="F78" s="364">
        <f t="shared" si="20"/>
        <v>1720563.5032605454</v>
      </c>
      <c r="G78" s="394">
        <f t="shared" si="21"/>
        <v>1</v>
      </c>
      <c r="H78" s="394">
        <f t="shared" si="21"/>
        <v>1</v>
      </c>
      <c r="I78" s="364">
        <f t="shared" si="22"/>
        <v>1720563.5032605454</v>
      </c>
      <c r="K78" s="364">
        <f>'[4]Gross Plant'!D158</f>
        <v>1721572.8990013897</v>
      </c>
      <c r="L78" s="394">
        <f t="shared" si="23"/>
        <v>1</v>
      </c>
      <c r="M78" s="394">
        <f t="shared" si="23"/>
        <v>1</v>
      </c>
      <c r="N78" s="364">
        <f t="shared" si="24"/>
        <v>1721572.8990013897</v>
      </c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>
      <c r="A79" s="112">
        <f t="shared" si="1"/>
        <v>65</v>
      </c>
      <c r="B79" s="855">
        <v>38000</v>
      </c>
      <c r="C79" s="80" t="s">
        <v>1036</v>
      </c>
      <c r="D79" s="364">
        <f>'[4]Gross Plant'!AF159</f>
        <v>192617694.38727775</v>
      </c>
      <c r="E79" s="364">
        <v>0</v>
      </c>
      <c r="F79" s="364">
        <f t="shared" si="20"/>
        <v>192617694.38727775</v>
      </c>
      <c r="G79" s="394">
        <f t="shared" si="21"/>
        <v>1</v>
      </c>
      <c r="H79" s="394">
        <f t="shared" si="21"/>
        <v>1</v>
      </c>
      <c r="I79" s="364">
        <f t="shared" si="22"/>
        <v>192617694.38727775</v>
      </c>
      <c r="K79" s="364">
        <f>'[4]Gross Plant'!D159</f>
        <v>186094700.787117</v>
      </c>
      <c r="L79" s="394">
        <f t="shared" si="23"/>
        <v>1</v>
      </c>
      <c r="M79" s="394">
        <f t="shared" si="23"/>
        <v>1</v>
      </c>
      <c r="N79" s="364">
        <f t="shared" si="24"/>
        <v>186094700.787117</v>
      </c>
    </row>
    <row r="80" spans="1:27">
      <c r="A80" s="112">
        <f t="shared" si="1"/>
        <v>66</v>
      </c>
      <c r="B80" s="855">
        <v>38100</v>
      </c>
      <c r="C80" s="80" t="s">
        <v>838</v>
      </c>
      <c r="D80" s="364">
        <f>'[4]Gross Plant'!AF160</f>
        <v>51359554.8222849</v>
      </c>
      <c r="E80" s="364">
        <v>0</v>
      </c>
      <c r="F80" s="364">
        <f t="shared" si="20"/>
        <v>51359554.8222849</v>
      </c>
      <c r="G80" s="394">
        <f t="shared" si="21"/>
        <v>1</v>
      </c>
      <c r="H80" s="394">
        <f t="shared" si="21"/>
        <v>1</v>
      </c>
      <c r="I80" s="364">
        <f t="shared" si="22"/>
        <v>51359554.8222849</v>
      </c>
      <c r="K80" s="364">
        <f>'[4]Gross Plant'!D160</f>
        <v>50260826.223040834</v>
      </c>
      <c r="L80" s="394">
        <f t="shared" si="23"/>
        <v>1</v>
      </c>
      <c r="M80" s="394">
        <f t="shared" si="23"/>
        <v>1</v>
      </c>
      <c r="N80" s="364">
        <f t="shared" si="24"/>
        <v>50260826.223040834</v>
      </c>
    </row>
    <row r="81" spans="1:14">
      <c r="A81" s="112">
        <f t="shared" si="1"/>
        <v>67</v>
      </c>
      <c r="B81" s="855">
        <v>38200</v>
      </c>
      <c r="C81" s="80" t="s">
        <v>438</v>
      </c>
      <c r="D81" s="364">
        <f>'[4]Gross Plant'!AF161</f>
        <v>58468509.030681483</v>
      </c>
      <c r="E81" s="364">
        <v>0</v>
      </c>
      <c r="F81" s="364">
        <f t="shared" si="20"/>
        <v>58468509.030681483</v>
      </c>
      <c r="G81" s="394">
        <f t="shared" si="21"/>
        <v>1</v>
      </c>
      <c r="H81" s="394">
        <f t="shared" si="21"/>
        <v>1</v>
      </c>
      <c r="I81" s="364">
        <f t="shared" si="22"/>
        <v>58468509.030681483</v>
      </c>
      <c r="K81" s="364">
        <f>'[4]Gross Plant'!D161</f>
        <v>58099827.343816116</v>
      </c>
      <c r="L81" s="394">
        <f t="shared" si="23"/>
        <v>1</v>
      </c>
      <c r="M81" s="394">
        <f t="shared" si="23"/>
        <v>1</v>
      </c>
      <c r="N81" s="364">
        <f t="shared" si="24"/>
        <v>58099827.343816116</v>
      </c>
    </row>
    <row r="82" spans="1:14">
      <c r="A82" s="112">
        <f t="shared" si="1"/>
        <v>68</v>
      </c>
      <c r="B82" s="855">
        <v>38300</v>
      </c>
      <c r="C82" s="80" t="s">
        <v>1037</v>
      </c>
      <c r="D82" s="364">
        <f>'[4]Gross Plant'!AF162</f>
        <v>2279246.8391787852</v>
      </c>
      <c r="E82" s="364">
        <v>0</v>
      </c>
      <c r="F82" s="364">
        <f t="shared" si="20"/>
        <v>2279246.8391787852</v>
      </c>
      <c r="G82" s="394">
        <f t="shared" si="21"/>
        <v>1</v>
      </c>
      <c r="H82" s="394">
        <f t="shared" si="21"/>
        <v>1</v>
      </c>
      <c r="I82" s="364">
        <f t="shared" si="22"/>
        <v>2279246.8391787852</v>
      </c>
      <c r="K82" s="364">
        <f>'[4]Gross Plant'!D162</f>
        <v>2625436.8919019899</v>
      </c>
      <c r="L82" s="394">
        <f t="shared" si="23"/>
        <v>1</v>
      </c>
      <c r="M82" s="394">
        <f t="shared" si="23"/>
        <v>1</v>
      </c>
      <c r="N82" s="364">
        <f t="shared" si="24"/>
        <v>2625436.8919019899</v>
      </c>
    </row>
    <row r="83" spans="1:14">
      <c r="A83" s="112">
        <f t="shared" si="1"/>
        <v>69</v>
      </c>
      <c r="B83" s="855">
        <v>38400</v>
      </c>
      <c r="C83" s="80" t="s">
        <v>439</v>
      </c>
      <c r="D83" s="364">
        <f>'[4]Gross Plant'!AF163</f>
        <v>354634.50086289761</v>
      </c>
      <c r="E83" s="364">
        <v>0</v>
      </c>
      <c r="F83" s="364">
        <f t="shared" si="20"/>
        <v>354634.50086289761</v>
      </c>
      <c r="G83" s="394">
        <f t="shared" si="21"/>
        <v>1</v>
      </c>
      <c r="H83" s="394">
        <f t="shared" si="21"/>
        <v>1</v>
      </c>
      <c r="I83" s="364">
        <f t="shared" si="22"/>
        <v>354634.50086289761</v>
      </c>
      <c r="K83" s="364">
        <f>'[4]Gross Plant'!D163</f>
        <v>335834.73480208585</v>
      </c>
      <c r="L83" s="394">
        <f t="shared" si="23"/>
        <v>1</v>
      </c>
      <c r="M83" s="394">
        <f t="shared" si="23"/>
        <v>1</v>
      </c>
      <c r="N83" s="364">
        <f t="shared" si="24"/>
        <v>335834.73480208585</v>
      </c>
    </row>
    <row r="84" spans="1:14">
      <c r="A84" s="112">
        <f t="shared" ref="A84:A147" si="28">A83+1</f>
        <v>70</v>
      </c>
      <c r="B84" s="855">
        <v>38500</v>
      </c>
      <c r="C84" s="80" t="s">
        <v>440</v>
      </c>
      <c r="D84" s="364">
        <f>'[4]Gross Plant'!AF164</f>
        <v>5391371.8731510518</v>
      </c>
      <c r="E84" s="364">
        <v>0</v>
      </c>
      <c r="F84" s="364">
        <f t="shared" si="20"/>
        <v>5391371.8731510518</v>
      </c>
      <c r="G84" s="394">
        <f t="shared" si="21"/>
        <v>1</v>
      </c>
      <c r="H84" s="394">
        <f t="shared" si="21"/>
        <v>1</v>
      </c>
      <c r="I84" s="364">
        <f t="shared" si="22"/>
        <v>5391371.8731510518</v>
      </c>
      <c r="K84" s="364">
        <f>'[4]Gross Plant'!D164</f>
        <v>5367015.0566078871</v>
      </c>
      <c r="L84" s="394">
        <f t="shared" si="23"/>
        <v>1</v>
      </c>
      <c r="M84" s="394">
        <f t="shared" si="23"/>
        <v>1</v>
      </c>
      <c r="N84" s="364">
        <f t="shared" si="24"/>
        <v>5367015.0566078871</v>
      </c>
    </row>
    <row r="85" spans="1:14">
      <c r="A85" s="112">
        <f t="shared" si="28"/>
        <v>71</v>
      </c>
      <c r="B85" s="959"/>
      <c r="C85" s="80"/>
      <c r="D85" s="499"/>
      <c r="E85" s="499"/>
      <c r="F85" s="499"/>
      <c r="G85" s="394"/>
      <c r="H85" s="394"/>
      <c r="I85" s="499"/>
      <c r="K85" s="499"/>
      <c r="N85" s="499"/>
    </row>
    <row r="86" spans="1:14">
      <c r="A86" s="112">
        <f t="shared" si="28"/>
        <v>72</v>
      </c>
      <c r="B86" s="959"/>
      <c r="C86" s="80" t="s">
        <v>298</v>
      </c>
      <c r="D86" s="304">
        <f>SUM(D63:D85)</f>
        <v>786426000.19061553</v>
      </c>
      <c r="E86" s="304">
        <f>SUM(E63:E85)</f>
        <v>0</v>
      </c>
      <c r="F86" s="304">
        <f>SUM(F63:F85)</f>
        <v>786426000.19061553</v>
      </c>
      <c r="G86" s="394"/>
      <c r="H86" s="394"/>
      <c r="I86" s="304">
        <f>SUM(I63:I85)</f>
        <v>786426000.19061553</v>
      </c>
      <c r="K86" s="304">
        <f>SUM(K63:K85)</f>
        <v>769800363.12328053</v>
      </c>
      <c r="N86" s="304">
        <f>SUM(N63:N85)</f>
        <v>769800363.12328053</v>
      </c>
    </row>
    <row r="87" spans="1:14">
      <c r="A87" s="112">
        <f t="shared" si="28"/>
        <v>73</v>
      </c>
      <c r="B87" s="959"/>
      <c r="C87" s="80"/>
      <c r="G87" s="394"/>
      <c r="H87" s="394"/>
    </row>
    <row r="88" spans="1:14">
      <c r="A88" s="112">
        <f t="shared" si="28"/>
        <v>74</v>
      </c>
      <c r="B88" s="959"/>
      <c r="C88" s="500" t="s">
        <v>299</v>
      </c>
      <c r="G88" s="394"/>
      <c r="H88" s="394"/>
    </row>
    <row r="89" spans="1:14">
      <c r="A89" s="112">
        <f t="shared" si="28"/>
        <v>75</v>
      </c>
      <c r="B89" s="855">
        <v>38900</v>
      </c>
      <c r="C89" s="80" t="s">
        <v>1128</v>
      </c>
      <c r="D89" s="290">
        <f>'[4]Gross Plant'!AF165</f>
        <v>1211697.3</v>
      </c>
      <c r="E89" s="839">
        <v>0</v>
      </c>
      <c r="F89" s="839">
        <f t="shared" ref="F89:F113" si="29">D89+E89</f>
        <v>1211697.3</v>
      </c>
      <c r="G89" s="394">
        <f t="shared" ref="G89:H104" si="30">$G$16</f>
        <v>1</v>
      </c>
      <c r="H89" s="394">
        <f t="shared" si="30"/>
        <v>1</v>
      </c>
      <c r="I89" s="304">
        <f t="shared" ref="I89:I113" si="31">F89*G89*H89</f>
        <v>1211697.3</v>
      </c>
      <c r="K89" s="290">
        <f>'[4]Gross Plant'!D165</f>
        <v>1211697.3000000003</v>
      </c>
      <c r="L89" s="394">
        <f>$G$16</f>
        <v>1</v>
      </c>
      <c r="M89" s="394">
        <f>$G$16</f>
        <v>1</v>
      </c>
      <c r="N89" s="839">
        <f>K89*L89*M89</f>
        <v>1211697.3000000003</v>
      </c>
    </row>
    <row r="90" spans="1:14">
      <c r="A90" s="112">
        <f t="shared" si="28"/>
        <v>76</v>
      </c>
      <c r="B90" s="855">
        <v>39000</v>
      </c>
      <c r="C90" s="80" t="s">
        <v>848</v>
      </c>
      <c r="D90" s="364">
        <f>'[4]Gross Plant'!AF166</f>
        <v>9364824.8804033585</v>
      </c>
      <c r="E90" s="364">
        <v>0</v>
      </c>
      <c r="F90" s="364">
        <f t="shared" si="29"/>
        <v>9364824.8804033585</v>
      </c>
      <c r="G90" s="394">
        <f t="shared" si="30"/>
        <v>1</v>
      </c>
      <c r="H90" s="394">
        <f t="shared" si="30"/>
        <v>1</v>
      </c>
      <c r="I90" s="364">
        <f t="shared" si="31"/>
        <v>9364824.8804033585</v>
      </c>
      <c r="K90" s="364">
        <f>'[4]Gross Plant'!D166</f>
        <v>9181838.437586356</v>
      </c>
      <c r="L90" s="394">
        <f>$G$16</f>
        <v>1</v>
      </c>
      <c r="M90" s="394">
        <f>$G$16</f>
        <v>1</v>
      </c>
      <c r="N90" s="364">
        <f t="shared" ref="N90:N113" si="32">K90*L90*M90</f>
        <v>9181838.437586356</v>
      </c>
    </row>
    <row r="91" spans="1:14">
      <c r="A91" s="112">
        <f t="shared" si="28"/>
        <v>77</v>
      </c>
      <c r="B91" s="855">
        <v>39002</v>
      </c>
      <c r="C91" s="80" t="s">
        <v>741</v>
      </c>
      <c r="D91" s="364">
        <f>'[4]Gross Plant'!AF167</f>
        <v>173114.85</v>
      </c>
      <c r="E91" s="364">
        <v>0</v>
      </c>
      <c r="F91" s="364">
        <f t="shared" si="29"/>
        <v>173114.85</v>
      </c>
      <c r="G91" s="394">
        <f t="shared" si="30"/>
        <v>1</v>
      </c>
      <c r="H91" s="394">
        <f t="shared" si="30"/>
        <v>1</v>
      </c>
      <c r="I91" s="364">
        <f t="shared" si="31"/>
        <v>173114.85</v>
      </c>
      <c r="K91" s="364">
        <f>'[4]Gross Plant'!D167</f>
        <v>173114.85000000003</v>
      </c>
      <c r="L91" s="394">
        <f t="shared" ref="L91:M106" si="33">$G$16</f>
        <v>1</v>
      </c>
      <c r="M91" s="394">
        <f t="shared" si="33"/>
        <v>1</v>
      </c>
      <c r="N91" s="364">
        <f t="shared" si="32"/>
        <v>173114.85000000003</v>
      </c>
    </row>
    <row r="92" spans="1:14">
      <c r="A92" s="112">
        <f t="shared" si="28"/>
        <v>78</v>
      </c>
      <c r="B92" s="855">
        <v>39003</v>
      </c>
      <c r="C92" s="80" t="s">
        <v>985</v>
      </c>
      <c r="D92" s="364">
        <f>'[4]Gross Plant'!AF168</f>
        <v>709199.18</v>
      </c>
      <c r="E92" s="364">
        <v>0</v>
      </c>
      <c r="F92" s="364">
        <f t="shared" si="29"/>
        <v>709199.18</v>
      </c>
      <c r="G92" s="394">
        <f t="shared" si="30"/>
        <v>1</v>
      </c>
      <c r="H92" s="394">
        <f t="shared" si="30"/>
        <v>1</v>
      </c>
      <c r="I92" s="364">
        <f t="shared" si="31"/>
        <v>709199.18</v>
      </c>
      <c r="K92" s="364">
        <f>'[4]Gross Plant'!D168</f>
        <v>709199.17999999982</v>
      </c>
      <c r="L92" s="394">
        <f t="shared" si="33"/>
        <v>1</v>
      </c>
      <c r="M92" s="394">
        <f t="shared" si="33"/>
        <v>1</v>
      </c>
      <c r="N92" s="364">
        <f t="shared" si="32"/>
        <v>709199.17999999982</v>
      </c>
    </row>
    <row r="93" spans="1:14">
      <c r="A93" s="112">
        <f t="shared" si="28"/>
        <v>79</v>
      </c>
      <c r="B93" s="855">
        <v>39004</v>
      </c>
      <c r="C93" s="80" t="s">
        <v>441</v>
      </c>
      <c r="D93" s="364">
        <f>'[4]Gross Plant'!AF169</f>
        <v>12954.74</v>
      </c>
      <c r="E93" s="364">
        <v>0</v>
      </c>
      <c r="F93" s="364">
        <f t="shared" si="29"/>
        <v>12954.74</v>
      </c>
      <c r="G93" s="394">
        <f t="shared" si="30"/>
        <v>1</v>
      </c>
      <c r="H93" s="394">
        <f t="shared" si="30"/>
        <v>1</v>
      </c>
      <c r="I93" s="364">
        <f t="shared" si="31"/>
        <v>12954.74</v>
      </c>
      <c r="K93" s="364">
        <f>'[4]Gross Plant'!D169</f>
        <v>12954.74</v>
      </c>
      <c r="L93" s="394">
        <f t="shared" si="33"/>
        <v>1</v>
      </c>
      <c r="M93" s="394">
        <f t="shared" si="33"/>
        <v>1</v>
      </c>
      <c r="N93" s="364">
        <f t="shared" si="32"/>
        <v>12954.74</v>
      </c>
    </row>
    <row r="94" spans="1:14">
      <c r="A94" s="112">
        <f t="shared" si="28"/>
        <v>80</v>
      </c>
      <c r="B94" s="855">
        <v>39009</v>
      </c>
      <c r="C94" s="80" t="s">
        <v>1020</v>
      </c>
      <c r="D94" s="364">
        <f>'[4]Gross Plant'!AF170</f>
        <v>1246194.18</v>
      </c>
      <c r="E94" s="364">
        <v>0</v>
      </c>
      <c r="F94" s="364">
        <f t="shared" si="29"/>
        <v>1246194.18</v>
      </c>
      <c r="G94" s="394">
        <f t="shared" si="30"/>
        <v>1</v>
      </c>
      <c r="H94" s="394">
        <f t="shared" si="30"/>
        <v>1</v>
      </c>
      <c r="I94" s="364">
        <f t="shared" si="31"/>
        <v>1246194.18</v>
      </c>
      <c r="K94" s="364">
        <f>'[4]Gross Plant'!D170</f>
        <v>1246194.18</v>
      </c>
      <c r="L94" s="394">
        <f t="shared" si="33"/>
        <v>1</v>
      </c>
      <c r="M94" s="394">
        <f t="shared" si="33"/>
        <v>1</v>
      </c>
      <c r="N94" s="364">
        <f t="shared" si="32"/>
        <v>1246194.18</v>
      </c>
    </row>
    <row r="95" spans="1:14">
      <c r="A95" s="112">
        <f t="shared" si="28"/>
        <v>81</v>
      </c>
      <c r="B95" s="855">
        <v>39100</v>
      </c>
      <c r="C95" s="80" t="s">
        <v>772</v>
      </c>
      <c r="D95" s="364">
        <f>'[4]Gross Plant'!AF171</f>
        <v>1753372.73</v>
      </c>
      <c r="E95" s="364">
        <v>0</v>
      </c>
      <c r="F95" s="364">
        <f t="shared" si="29"/>
        <v>1753372.73</v>
      </c>
      <c r="G95" s="394">
        <f t="shared" si="30"/>
        <v>1</v>
      </c>
      <c r="H95" s="394">
        <f t="shared" si="30"/>
        <v>1</v>
      </c>
      <c r="I95" s="364">
        <f t="shared" si="31"/>
        <v>1753372.73</v>
      </c>
      <c r="K95" s="364">
        <f>'[4]Gross Plant'!D171</f>
        <v>1753372.7300000002</v>
      </c>
      <c r="L95" s="394">
        <f t="shared" si="33"/>
        <v>1</v>
      </c>
      <c r="M95" s="394">
        <f t="shared" si="33"/>
        <v>1</v>
      </c>
      <c r="N95" s="364">
        <f t="shared" si="32"/>
        <v>1753372.7300000002</v>
      </c>
    </row>
    <row r="96" spans="1:14">
      <c r="A96" s="112">
        <f t="shared" si="28"/>
        <v>82</v>
      </c>
      <c r="B96" s="855">
        <v>39103</v>
      </c>
      <c r="C96" s="80" t="s">
        <v>773</v>
      </c>
      <c r="D96" s="364">
        <f>'[4]Gross Plant'!AF172</f>
        <v>0</v>
      </c>
      <c r="E96" s="364">
        <v>0</v>
      </c>
      <c r="F96" s="364">
        <f t="shared" si="29"/>
        <v>0</v>
      </c>
      <c r="G96" s="394">
        <f t="shared" si="30"/>
        <v>1</v>
      </c>
      <c r="H96" s="394">
        <f t="shared" si="30"/>
        <v>1</v>
      </c>
      <c r="I96" s="364">
        <f t="shared" si="31"/>
        <v>0</v>
      </c>
      <c r="K96" s="364">
        <f>'[4]Gross Plant'!D172</f>
        <v>0</v>
      </c>
      <c r="L96" s="394">
        <f t="shared" si="33"/>
        <v>1</v>
      </c>
      <c r="M96" s="394">
        <f t="shared" si="33"/>
        <v>1</v>
      </c>
      <c r="N96" s="364">
        <f t="shared" si="32"/>
        <v>0</v>
      </c>
    </row>
    <row r="97" spans="1:14">
      <c r="A97" s="112">
        <f t="shared" si="28"/>
        <v>83</v>
      </c>
      <c r="B97" s="855">
        <v>39200</v>
      </c>
      <c r="C97" s="80" t="s">
        <v>1060</v>
      </c>
      <c r="D97" s="364">
        <f>'[4]Gross Plant'!AF173</f>
        <v>191968.61</v>
      </c>
      <c r="E97" s="364">
        <v>0</v>
      </c>
      <c r="F97" s="364">
        <f t="shared" si="29"/>
        <v>191968.61</v>
      </c>
      <c r="G97" s="394">
        <f t="shared" si="30"/>
        <v>1</v>
      </c>
      <c r="H97" s="394">
        <f t="shared" si="30"/>
        <v>1</v>
      </c>
      <c r="I97" s="364">
        <f t="shared" si="31"/>
        <v>191968.61</v>
      </c>
      <c r="K97" s="364">
        <f>'[4]Gross Plant'!D173</f>
        <v>191968.60999999993</v>
      </c>
      <c r="L97" s="394">
        <f t="shared" si="33"/>
        <v>1</v>
      </c>
      <c r="M97" s="394">
        <f t="shared" si="33"/>
        <v>1</v>
      </c>
      <c r="N97" s="364">
        <f t="shared" si="32"/>
        <v>191968.60999999993</v>
      </c>
    </row>
    <row r="98" spans="1:14">
      <c r="A98" s="112">
        <f t="shared" si="28"/>
        <v>84</v>
      </c>
      <c r="B98" s="855">
        <v>39202</v>
      </c>
      <c r="C98" s="80" t="s">
        <v>85</v>
      </c>
      <c r="D98" s="364">
        <f>'[4]Gross Plant'!AF174</f>
        <v>27063.96</v>
      </c>
      <c r="E98" s="364">
        <v>0</v>
      </c>
      <c r="F98" s="364">
        <f t="shared" si="29"/>
        <v>27063.96</v>
      </c>
      <c r="G98" s="394">
        <f t="shared" si="30"/>
        <v>1</v>
      </c>
      <c r="H98" s="394">
        <f t="shared" si="30"/>
        <v>1</v>
      </c>
      <c r="I98" s="364">
        <f t="shared" si="31"/>
        <v>27063.96</v>
      </c>
      <c r="K98" s="364">
        <f>'[4]Gross Plant'!D174</f>
        <v>27063.960000000003</v>
      </c>
      <c r="L98" s="394">
        <f t="shared" si="33"/>
        <v>1</v>
      </c>
      <c r="M98" s="394">
        <f t="shared" si="33"/>
        <v>1</v>
      </c>
      <c r="N98" s="364">
        <f t="shared" si="32"/>
        <v>27063.960000000003</v>
      </c>
    </row>
    <row r="99" spans="1:14">
      <c r="A99" s="112">
        <f t="shared" si="28"/>
        <v>85</v>
      </c>
      <c r="B99" s="855">
        <v>39400</v>
      </c>
      <c r="C99" s="80" t="s">
        <v>1019</v>
      </c>
      <c r="D99" s="364">
        <f>'[4]Gross Plant'!AF175</f>
        <v>9532937.4562058616</v>
      </c>
      <c r="E99" s="364">
        <v>0</v>
      </c>
      <c r="F99" s="364">
        <f t="shared" si="29"/>
        <v>9532937.4562058616</v>
      </c>
      <c r="G99" s="394">
        <f t="shared" si="30"/>
        <v>1</v>
      </c>
      <c r="H99" s="394">
        <f t="shared" si="30"/>
        <v>1</v>
      </c>
      <c r="I99" s="364">
        <f t="shared" si="31"/>
        <v>9532937.4562058616</v>
      </c>
      <c r="K99" s="364">
        <f>'[4]Gross Plant'!D175</f>
        <v>8593396.4055907559</v>
      </c>
      <c r="L99" s="394">
        <f t="shared" si="33"/>
        <v>1</v>
      </c>
      <c r="M99" s="394">
        <f t="shared" si="33"/>
        <v>1</v>
      </c>
      <c r="N99" s="364">
        <f t="shared" si="32"/>
        <v>8593396.4055907559</v>
      </c>
    </row>
    <row r="100" spans="1:14">
      <c r="A100" s="112">
        <f t="shared" si="28"/>
        <v>86</v>
      </c>
      <c r="B100" s="855">
        <v>39603</v>
      </c>
      <c r="C100" s="80" t="s">
        <v>86</v>
      </c>
      <c r="D100" s="364">
        <f>'[4]Gross Plant'!AF176</f>
        <v>0</v>
      </c>
      <c r="E100" s="364">
        <v>0</v>
      </c>
      <c r="F100" s="364">
        <f t="shared" si="29"/>
        <v>0</v>
      </c>
      <c r="G100" s="394">
        <f t="shared" si="30"/>
        <v>1</v>
      </c>
      <c r="H100" s="394">
        <f t="shared" si="30"/>
        <v>1</v>
      </c>
      <c r="I100" s="364">
        <f t="shared" si="31"/>
        <v>0</v>
      </c>
      <c r="K100" s="364">
        <f>'[4]Gross Plant'!D176</f>
        <v>0</v>
      </c>
      <c r="L100" s="394">
        <f t="shared" si="33"/>
        <v>1</v>
      </c>
      <c r="M100" s="394">
        <f t="shared" si="33"/>
        <v>1</v>
      </c>
      <c r="N100" s="364">
        <f t="shared" si="32"/>
        <v>0</v>
      </c>
    </row>
    <row r="101" spans="1:14">
      <c r="A101" s="112">
        <f t="shared" si="28"/>
        <v>87</v>
      </c>
      <c r="B101" s="855">
        <v>39604</v>
      </c>
      <c r="C101" s="80" t="s">
        <v>87</v>
      </c>
      <c r="D101" s="364">
        <f>'[4]Gross Plant'!AF177</f>
        <v>0</v>
      </c>
      <c r="E101" s="364">
        <v>0</v>
      </c>
      <c r="F101" s="364">
        <f t="shared" si="29"/>
        <v>0</v>
      </c>
      <c r="G101" s="394">
        <f t="shared" si="30"/>
        <v>1</v>
      </c>
      <c r="H101" s="394">
        <f t="shared" si="30"/>
        <v>1</v>
      </c>
      <c r="I101" s="364">
        <f t="shared" si="31"/>
        <v>0</v>
      </c>
      <c r="K101" s="364">
        <f>'[4]Gross Plant'!D177</f>
        <v>0</v>
      </c>
      <c r="L101" s="394">
        <f t="shared" si="33"/>
        <v>1</v>
      </c>
      <c r="M101" s="394">
        <f t="shared" si="33"/>
        <v>1</v>
      </c>
      <c r="N101" s="364">
        <f t="shared" si="32"/>
        <v>0</v>
      </c>
    </row>
    <row r="102" spans="1:14">
      <c r="A102" s="112">
        <f t="shared" si="28"/>
        <v>88</v>
      </c>
      <c r="B102" s="855">
        <v>39605</v>
      </c>
      <c r="C102" s="73" t="s">
        <v>88</v>
      </c>
      <c r="D102" s="364">
        <f>'[4]Gross Plant'!AF178</f>
        <v>0</v>
      </c>
      <c r="E102" s="364">
        <v>0</v>
      </c>
      <c r="F102" s="364">
        <f t="shared" si="29"/>
        <v>0</v>
      </c>
      <c r="G102" s="394">
        <f t="shared" si="30"/>
        <v>1</v>
      </c>
      <c r="H102" s="394">
        <f t="shared" si="30"/>
        <v>1</v>
      </c>
      <c r="I102" s="364">
        <f t="shared" si="31"/>
        <v>0</v>
      </c>
      <c r="K102" s="364">
        <f>'[4]Gross Plant'!D178</f>
        <v>0</v>
      </c>
      <c r="L102" s="394">
        <f t="shared" si="33"/>
        <v>1</v>
      </c>
      <c r="M102" s="394">
        <f t="shared" si="33"/>
        <v>1</v>
      </c>
      <c r="N102" s="364">
        <f t="shared" si="32"/>
        <v>0</v>
      </c>
    </row>
    <row r="103" spans="1:14">
      <c r="A103" s="112">
        <f t="shared" si="28"/>
        <v>89</v>
      </c>
      <c r="B103" s="855">
        <v>39700</v>
      </c>
      <c r="C103" s="80" t="s">
        <v>436</v>
      </c>
      <c r="D103" s="364">
        <f>'[4]Gross Plant'!AF179</f>
        <v>425326.37</v>
      </c>
      <c r="E103" s="364">
        <v>0</v>
      </c>
      <c r="F103" s="364">
        <f t="shared" si="29"/>
        <v>425326.37</v>
      </c>
      <c r="G103" s="394">
        <f t="shared" si="30"/>
        <v>1</v>
      </c>
      <c r="H103" s="394">
        <f t="shared" si="30"/>
        <v>1</v>
      </c>
      <c r="I103" s="364">
        <f t="shared" si="31"/>
        <v>425326.37</v>
      </c>
      <c r="K103" s="364">
        <f>'[4]Gross Plant'!D179</f>
        <v>425326.37000000005</v>
      </c>
      <c r="L103" s="394">
        <f t="shared" si="33"/>
        <v>1</v>
      </c>
      <c r="M103" s="394">
        <f t="shared" si="33"/>
        <v>1</v>
      </c>
      <c r="N103" s="364">
        <f t="shared" si="32"/>
        <v>425326.37000000005</v>
      </c>
    </row>
    <row r="104" spans="1:14">
      <c r="A104" s="112">
        <f t="shared" si="28"/>
        <v>90</v>
      </c>
      <c r="B104" s="855">
        <v>39701</v>
      </c>
      <c r="C104" s="80" t="s">
        <v>1436</v>
      </c>
      <c r="D104" s="364">
        <f>'[4]Gross Plant'!AF180</f>
        <v>0</v>
      </c>
      <c r="E104" s="364">
        <v>0</v>
      </c>
      <c r="F104" s="364">
        <f t="shared" si="29"/>
        <v>0</v>
      </c>
      <c r="G104" s="394">
        <f t="shared" si="30"/>
        <v>1</v>
      </c>
      <c r="H104" s="394">
        <f t="shared" si="30"/>
        <v>1</v>
      </c>
      <c r="I104" s="364">
        <f t="shared" si="31"/>
        <v>0</v>
      </c>
      <c r="K104" s="364">
        <f>'[4]Gross Plant'!D180</f>
        <v>0</v>
      </c>
      <c r="L104" s="394">
        <f t="shared" si="33"/>
        <v>1</v>
      </c>
      <c r="M104" s="394">
        <f t="shared" si="33"/>
        <v>1</v>
      </c>
      <c r="N104" s="364">
        <f t="shared" si="32"/>
        <v>0</v>
      </c>
    </row>
    <row r="105" spans="1:14">
      <c r="A105" s="112">
        <f t="shared" si="28"/>
        <v>91</v>
      </c>
      <c r="B105" s="855">
        <v>39702</v>
      </c>
      <c r="C105" s="80" t="s">
        <v>1436</v>
      </c>
      <c r="D105" s="364">
        <f>'[4]Gross Plant'!AF181</f>
        <v>0</v>
      </c>
      <c r="E105" s="364">
        <v>0</v>
      </c>
      <c r="F105" s="364">
        <f t="shared" si="29"/>
        <v>0</v>
      </c>
      <c r="G105" s="394">
        <f t="shared" ref="G105:H109" si="34">$G$16</f>
        <v>1</v>
      </c>
      <c r="H105" s="394">
        <f t="shared" si="34"/>
        <v>1</v>
      </c>
      <c r="I105" s="364">
        <f t="shared" si="31"/>
        <v>0</v>
      </c>
      <c r="K105" s="364">
        <f>'[4]Gross Plant'!D181</f>
        <v>0</v>
      </c>
      <c r="L105" s="394">
        <f t="shared" si="33"/>
        <v>1</v>
      </c>
      <c r="M105" s="394">
        <f t="shared" si="33"/>
        <v>1</v>
      </c>
      <c r="N105" s="364">
        <f t="shared" si="32"/>
        <v>0</v>
      </c>
    </row>
    <row r="106" spans="1:14">
      <c r="A106" s="112">
        <f t="shared" si="28"/>
        <v>92</v>
      </c>
      <c r="B106" s="855">
        <v>39705</v>
      </c>
      <c r="C106" s="80" t="s">
        <v>716</v>
      </c>
      <c r="D106" s="364">
        <f>'[4]Gross Plant'!AF182</f>
        <v>0</v>
      </c>
      <c r="E106" s="364">
        <v>0</v>
      </c>
      <c r="F106" s="364">
        <f t="shared" si="29"/>
        <v>0</v>
      </c>
      <c r="G106" s="394">
        <f t="shared" si="34"/>
        <v>1</v>
      </c>
      <c r="H106" s="394">
        <f t="shared" si="34"/>
        <v>1</v>
      </c>
      <c r="I106" s="364">
        <f t="shared" si="31"/>
        <v>0</v>
      </c>
      <c r="K106" s="364">
        <f>'[4]Gross Plant'!D182</f>
        <v>0</v>
      </c>
      <c r="L106" s="394">
        <f t="shared" si="33"/>
        <v>1</v>
      </c>
      <c r="M106" s="394">
        <f t="shared" si="33"/>
        <v>1</v>
      </c>
      <c r="N106" s="364">
        <f t="shared" si="32"/>
        <v>0</v>
      </c>
    </row>
    <row r="107" spans="1:14">
      <c r="A107" s="112">
        <f t="shared" si="28"/>
        <v>93</v>
      </c>
      <c r="B107" s="855">
        <v>39800</v>
      </c>
      <c r="C107" s="80" t="s">
        <v>645</v>
      </c>
      <c r="D107" s="364">
        <f>'[4]Gross Plant'!AF183</f>
        <v>3889123.02</v>
      </c>
      <c r="E107" s="364">
        <v>0</v>
      </c>
      <c r="F107" s="364">
        <f t="shared" si="29"/>
        <v>3889123.02</v>
      </c>
      <c r="G107" s="394">
        <f t="shared" si="34"/>
        <v>1</v>
      </c>
      <c r="H107" s="394">
        <f t="shared" si="34"/>
        <v>1</v>
      </c>
      <c r="I107" s="364">
        <f t="shared" si="31"/>
        <v>3889123.02</v>
      </c>
      <c r="K107" s="364">
        <f>'[4]Gross Plant'!D183</f>
        <v>3889123.0200000009</v>
      </c>
      <c r="L107" s="394">
        <f t="shared" ref="L107:M112" si="35">$G$16</f>
        <v>1</v>
      </c>
      <c r="M107" s="394">
        <f t="shared" si="35"/>
        <v>1</v>
      </c>
      <c r="N107" s="364">
        <f t="shared" si="32"/>
        <v>3889123.0200000009</v>
      </c>
    </row>
    <row r="108" spans="1:14">
      <c r="A108" s="112">
        <f t="shared" si="28"/>
        <v>94</v>
      </c>
      <c r="B108" s="855">
        <v>39901</v>
      </c>
      <c r="C108" s="80" t="s">
        <v>1437</v>
      </c>
      <c r="D108" s="364">
        <f>'[4]Gross Plant'!AF184</f>
        <v>35814.99</v>
      </c>
      <c r="E108" s="364">
        <v>0</v>
      </c>
      <c r="F108" s="364">
        <f t="shared" si="29"/>
        <v>35814.99</v>
      </c>
      <c r="G108" s="394">
        <f t="shared" si="34"/>
        <v>1</v>
      </c>
      <c r="H108" s="394">
        <f t="shared" si="34"/>
        <v>1</v>
      </c>
      <c r="I108" s="364">
        <f t="shared" si="31"/>
        <v>35814.99</v>
      </c>
      <c r="K108" s="364">
        <f>'[4]Gross Plant'!D184</f>
        <v>35814.99</v>
      </c>
      <c r="L108" s="394">
        <f t="shared" si="35"/>
        <v>1</v>
      </c>
      <c r="M108" s="394">
        <f t="shared" si="35"/>
        <v>1</v>
      </c>
      <c r="N108" s="364">
        <f t="shared" si="32"/>
        <v>35814.99</v>
      </c>
    </row>
    <row r="109" spans="1:14">
      <c r="A109" s="112">
        <f t="shared" si="28"/>
        <v>95</v>
      </c>
      <c r="B109" s="855">
        <v>39902</v>
      </c>
      <c r="C109" s="80" t="s">
        <v>1438</v>
      </c>
      <c r="D109" s="364">
        <f>'[4]Gross Plant'!AF185</f>
        <v>0</v>
      </c>
      <c r="E109" s="364">
        <v>0</v>
      </c>
      <c r="F109" s="364">
        <f t="shared" si="29"/>
        <v>0</v>
      </c>
      <c r="G109" s="394">
        <f t="shared" si="34"/>
        <v>1</v>
      </c>
      <c r="H109" s="394">
        <f t="shared" si="34"/>
        <v>1</v>
      </c>
      <c r="I109" s="364">
        <f t="shared" si="31"/>
        <v>0</v>
      </c>
      <c r="K109" s="364">
        <f>'[4]Gross Plant'!D185</f>
        <v>0</v>
      </c>
      <c r="L109" s="394">
        <f t="shared" si="35"/>
        <v>1</v>
      </c>
      <c r="M109" s="394">
        <f t="shared" si="35"/>
        <v>1</v>
      </c>
      <c r="N109" s="364">
        <f t="shared" si="32"/>
        <v>0</v>
      </c>
    </row>
    <row r="110" spans="1:14">
      <c r="A110" s="112">
        <f t="shared" si="28"/>
        <v>96</v>
      </c>
      <c r="B110" s="855">
        <v>39903</v>
      </c>
      <c r="C110" s="80" t="s">
        <v>990</v>
      </c>
      <c r="D110" s="364">
        <f>'[4]Gross Plant'!AF186</f>
        <v>134598.85999999999</v>
      </c>
      <c r="E110" s="364">
        <v>0</v>
      </c>
      <c r="F110" s="364">
        <f t="shared" si="29"/>
        <v>134598.85999999999</v>
      </c>
      <c r="G110" s="394">
        <f t="shared" ref="G110:H113" si="36">$G$16</f>
        <v>1</v>
      </c>
      <c r="H110" s="394">
        <f t="shared" si="36"/>
        <v>1</v>
      </c>
      <c r="I110" s="364">
        <f t="shared" si="31"/>
        <v>134598.85999999999</v>
      </c>
      <c r="K110" s="364">
        <f>'[4]Gross Plant'!D186</f>
        <v>134598.85999999993</v>
      </c>
      <c r="L110" s="394">
        <f t="shared" si="35"/>
        <v>1</v>
      </c>
      <c r="M110" s="394">
        <f t="shared" si="35"/>
        <v>1</v>
      </c>
      <c r="N110" s="364">
        <f t="shared" si="32"/>
        <v>134598.85999999993</v>
      </c>
    </row>
    <row r="111" spans="1:14">
      <c r="A111" s="112">
        <f t="shared" si="28"/>
        <v>97</v>
      </c>
      <c r="B111" s="855">
        <v>39906</v>
      </c>
      <c r="C111" s="80" t="s">
        <v>447</v>
      </c>
      <c r="D111" s="364">
        <f>'[4]Gross Plant'!AF187</f>
        <v>-191016.72583982738</v>
      </c>
      <c r="E111" s="364">
        <v>0</v>
      </c>
      <c r="F111" s="364">
        <f t="shared" si="29"/>
        <v>-191016.72583982738</v>
      </c>
      <c r="G111" s="394">
        <f t="shared" si="36"/>
        <v>1</v>
      </c>
      <c r="H111" s="394">
        <f t="shared" si="36"/>
        <v>1</v>
      </c>
      <c r="I111" s="364">
        <f t="shared" si="31"/>
        <v>-191016.72583982738</v>
      </c>
      <c r="K111" s="364">
        <f>'[4]Gross Plant'!D187</f>
        <v>38248.546473140545</v>
      </c>
      <c r="L111" s="394">
        <f t="shared" si="35"/>
        <v>1</v>
      </c>
      <c r="M111" s="394">
        <f t="shared" si="35"/>
        <v>1</v>
      </c>
      <c r="N111" s="364">
        <f t="shared" si="32"/>
        <v>38248.546473140545</v>
      </c>
    </row>
    <row r="112" spans="1:14">
      <c r="A112" s="112">
        <f t="shared" si="28"/>
        <v>98</v>
      </c>
      <c r="B112" s="855">
        <v>39907</v>
      </c>
      <c r="C112" s="80" t="s">
        <v>501</v>
      </c>
      <c r="D112" s="364">
        <f>'[4]Gross Plant'!AF188</f>
        <v>0</v>
      </c>
      <c r="E112" s="364">
        <v>0</v>
      </c>
      <c r="F112" s="364">
        <f t="shared" si="29"/>
        <v>0</v>
      </c>
      <c r="G112" s="394">
        <f t="shared" si="36"/>
        <v>1</v>
      </c>
      <c r="H112" s="394">
        <f t="shared" si="36"/>
        <v>1</v>
      </c>
      <c r="I112" s="364">
        <f t="shared" si="31"/>
        <v>0</v>
      </c>
      <c r="K112" s="364">
        <f>'[4]Gross Plant'!D188</f>
        <v>0</v>
      </c>
      <c r="L112" s="394">
        <f t="shared" si="35"/>
        <v>1</v>
      </c>
      <c r="M112" s="394">
        <f t="shared" si="35"/>
        <v>1</v>
      </c>
      <c r="N112" s="364">
        <f t="shared" si="32"/>
        <v>0</v>
      </c>
    </row>
    <row r="113" spans="1:19">
      <c r="A113" s="112">
        <f t="shared" si="28"/>
        <v>99</v>
      </c>
      <c r="B113" s="855">
        <v>39908</v>
      </c>
      <c r="C113" s="80" t="s">
        <v>178</v>
      </c>
      <c r="D113" s="364">
        <f>'[4]Gross Plant'!AF189</f>
        <v>65605.8</v>
      </c>
      <c r="E113" s="364">
        <v>0</v>
      </c>
      <c r="F113" s="364">
        <f t="shared" si="29"/>
        <v>65605.8</v>
      </c>
      <c r="G113" s="394">
        <f t="shared" si="36"/>
        <v>1</v>
      </c>
      <c r="H113" s="394">
        <f t="shared" si="36"/>
        <v>1</v>
      </c>
      <c r="I113" s="364">
        <f t="shared" si="31"/>
        <v>65605.8</v>
      </c>
      <c r="K113" s="364">
        <f>'[4]Gross Plant'!D189</f>
        <v>65605.800000000017</v>
      </c>
      <c r="L113" s="394">
        <f t="shared" ref="L113:M113" si="37">$G$16</f>
        <v>1</v>
      </c>
      <c r="M113" s="394">
        <f t="shared" si="37"/>
        <v>1</v>
      </c>
      <c r="N113" s="364">
        <f t="shared" si="32"/>
        <v>65605.800000000017</v>
      </c>
    </row>
    <row r="114" spans="1:19">
      <c r="A114" s="112">
        <f t="shared" si="28"/>
        <v>100</v>
      </c>
      <c r="B114" s="840"/>
      <c r="C114" s="80"/>
      <c r="D114" s="499"/>
      <c r="E114" s="499"/>
      <c r="F114" s="499"/>
      <c r="I114" s="499"/>
      <c r="K114" s="499"/>
      <c r="N114" s="499"/>
    </row>
    <row r="115" spans="1:19">
      <c r="A115" s="112">
        <f t="shared" si="28"/>
        <v>101</v>
      </c>
      <c r="B115" s="840"/>
      <c r="C115" s="80" t="s">
        <v>4</v>
      </c>
      <c r="D115" s="304">
        <f>SUM(D89:D114)</f>
        <v>28582780.200769391</v>
      </c>
      <c r="E115" s="304">
        <f>SUM(E89:E114)</f>
        <v>0</v>
      </c>
      <c r="F115" s="304">
        <f>SUM(F89:F114)</f>
        <v>28582780.200769391</v>
      </c>
      <c r="G115" s="394"/>
      <c r="H115" s="394"/>
      <c r="I115" s="304">
        <f>SUM(I89:I114)</f>
        <v>28582780.200769391</v>
      </c>
      <c r="K115" s="304">
        <f>SUM(K89:K114)</f>
        <v>27689517.979650255</v>
      </c>
      <c r="N115" s="304">
        <f>SUM(N89:N114)</f>
        <v>27689517.979650255</v>
      </c>
    </row>
    <row r="116" spans="1:19">
      <c r="A116" s="112">
        <f t="shared" si="28"/>
        <v>102</v>
      </c>
      <c r="B116" s="840"/>
      <c r="C116" s="80"/>
    </row>
    <row r="117" spans="1:19" ht="15.75" thickBot="1">
      <c r="A117" s="112">
        <f t="shared" si="28"/>
        <v>103</v>
      </c>
      <c r="B117" s="840"/>
      <c r="C117" s="205" t="s">
        <v>1272</v>
      </c>
      <c r="D117" s="1059">
        <f>D19+D26+D47+D60+D86+D115</f>
        <v>864505597.75138497</v>
      </c>
      <c r="E117" s="1059">
        <f>E19+E26+E47+E60+E86+E115</f>
        <v>0</v>
      </c>
      <c r="F117" s="1059">
        <f>F19+F26+F47+F60+F86+F115</f>
        <v>864505597.75138497</v>
      </c>
      <c r="I117" s="1059">
        <f>I19+I26+I47+I60+I86+I115</f>
        <v>864505597.75138497</v>
      </c>
      <c r="K117" s="1059">
        <f>K19+K26+K47+K60+K86+K115</f>
        <v>846986698.4629308</v>
      </c>
      <c r="N117" s="1059">
        <f>N19+N26+N47+N60+N86+N115</f>
        <v>846986698.4629308</v>
      </c>
    </row>
    <row r="118" spans="1:19" ht="15.75" thickTop="1">
      <c r="A118" s="112">
        <f t="shared" si="28"/>
        <v>104</v>
      </c>
      <c r="B118" s="840"/>
      <c r="C118" s="80"/>
    </row>
    <row r="119" spans="1:19">
      <c r="A119" s="112">
        <f t="shared" si="28"/>
        <v>105</v>
      </c>
      <c r="B119" s="840"/>
      <c r="C119" s="73" t="s">
        <v>1635</v>
      </c>
      <c r="D119" s="290">
        <f>'[4]Gross Plant'!$AF$223</f>
        <v>8127182.6599999992</v>
      </c>
      <c r="E119" s="290">
        <f>-D119</f>
        <v>-8127182.6599999992</v>
      </c>
      <c r="F119" s="290">
        <f>D119+E119</f>
        <v>0</v>
      </c>
      <c r="G119" s="356">
        <f>$G$16</f>
        <v>1</v>
      </c>
      <c r="H119" s="356">
        <f>$G$16</f>
        <v>1</v>
      </c>
      <c r="I119" s="290">
        <f>F119*G119*H119</f>
        <v>0</v>
      </c>
      <c r="K119" s="290">
        <f>'[4]Gross Plant'!$D$223*0</f>
        <v>0</v>
      </c>
      <c r="L119" s="394">
        <f>$G$16</f>
        <v>1</v>
      </c>
      <c r="M119" s="394">
        <f>$G$16</f>
        <v>1</v>
      </c>
      <c r="N119" s="290">
        <f>K119*L119*M119</f>
        <v>0</v>
      </c>
    </row>
    <row r="120" spans="1:19">
      <c r="A120" s="112">
        <f t="shared" si="28"/>
        <v>106</v>
      </c>
      <c r="B120" s="840"/>
      <c r="K120" s="310"/>
    </row>
    <row r="121" spans="1:19" ht="15.75">
      <c r="A121" s="112">
        <f t="shared" si="28"/>
        <v>107</v>
      </c>
      <c r="B121" s="843" t="s">
        <v>7</v>
      </c>
      <c r="K121" s="310"/>
    </row>
    <row r="122" spans="1:19">
      <c r="A122" s="112">
        <f t="shared" si="28"/>
        <v>108</v>
      </c>
      <c r="B122" s="840"/>
      <c r="K122" s="310"/>
    </row>
    <row r="123" spans="1:19">
      <c r="A123" s="112">
        <f t="shared" si="28"/>
        <v>109</v>
      </c>
      <c r="B123" s="840"/>
      <c r="C123" s="500" t="s">
        <v>295</v>
      </c>
      <c r="K123" s="310"/>
    </row>
    <row r="124" spans="1:19">
      <c r="A124" s="112">
        <f t="shared" si="28"/>
        <v>110</v>
      </c>
      <c r="B124" s="958">
        <v>30100</v>
      </c>
      <c r="C124" s="80" t="s">
        <v>289</v>
      </c>
      <c r="D124" s="290">
        <f>'[4]Gross Plant'!AF84</f>
        <v>185309.27</v>
      </c>
      <c r="E124" s="304">
        <v>0</v>
      </c>
      <c r="F124" s="304">
        <f>D124+E124</f>
        <v>185309.27</v>
      </c>
      <c r="G124" s="394">
        <f>$G$16</f>
        <v>1</v>
      </c>
      <c r="H124" s="395">
        <f>Allocation!$D$17</f>
        <v>0.50419999999999998</v>
      </c>
      <c r="I124" s="304">
        <f>F124*G124*H124</f>
        <v>93432.933933999986</v>
      </c>
      <c r="K124" s="290">
        <f>'[4]Gross Plant'!D84</f>
        <v>185309.27</v>
      </c>
      <c r="L124" s="394">
        <f t="shared" ref="L124:M125" si="38">G124</f>
        <v>1</v>
      </c>
      <c r="M124" s="395">
        <f t="shared" si="38"/>
        <v>0.50419999999999998</v>
      </c>
      <c r="N124" s="304">
        <f>K124*L124*M124</f>
        <v>93432.933933999986</v>
      </c>
      <c r="S124" s="358"/>
    </row>
    <row r="125" spans="1:19">
      <c r="A125" s="112">
        <f t="shared" si="28"/>
        <v>111</v>
      </c>
      <c r="B125" s="958">
        <v>30300</v>
      </c>
      <c r="C125" s="80" t="s">
        <v>537</v>
      </c>
      <c r="D125" s="364">
        <f>'[4]Gross Plant'!AF85</f>
        <v>1109551.68</v>
      </c>
      <c r="E125" s="842">
        <v>0</v>
      </c>
      <c r="F125" s="842">
        <f>D125+E125</f>
        <v>1109551.68</v>
      </c>
      <c r="G125" s="394">
        <f>$G$16</f>
        <v>1</v>
      </c>
      <c r="H125" s="395">
        <f>$H$124</f>
        <v>0.50419999999999998</v>
      </c>
      <c r="I125" s="842">
        <f>F125*G125*H125</f>
        <v>559435.9570559999</v>
      </c>
      <c r="K125" s="364">
        <f>'[4]Gross Plant'!D85</f>
        <v>1109551.68</v>
      </c>
      <c r="L125" s="394">
        <f t="shared" si="38"/>
        <v>1</v>
      </c>
      <c r="M125" s="395">
        <f t="shared" si="38"/>
        <v>0.50419999999999998</v>
      </c>
      <c r="N125" s="842">
        <f>K125*L125*M125</f>
        <v>559435.9570559999</v>
      </c>
      <c r="S125" s="358"/>
    </row>
    <row r="126" spans="1:19">
      <c r="A126" s="112">
        <f t="shared" si="28"/>
        <v>112</v>
      </c>
      <c r="B126" s="959"/>
      <c r="C126" s="80"/>
      <c r="D126" s="499"/>
      <c r="K126" s="499"/>
    </row>
    <row r="127" spans="1:19">
      <c r="A127" s="112">
        <f t="shared" si="28"/>
        <v>113</v>
      </c>
      <c r="B127" s="959"/>
      <c r="C127" s="80" t="s">
        <v>296</v>
      </c>
      <c r="D127" s="304">
        <f>SUM(D124:D126)</f>
        <v>1294860.95</v>
      </c>
      <c r="E127" s="304">
        <f>SUM(E124:E126)</f>
        <v>0</v>
      </c>
      <c r="F127" s="304">
        <f>SUM(F124:F126)</f>
        <v>1294860.95</v>
      </c>
      <c r="G127" s="394"/>
      <c r="H127" s="394"/>
      <c r="I127" s="304">
        <f>SUM(I124:I126)</f>
        <v>652868.89098999987</v>
      </c>
      <c r="K127" s="304">
        <f>SUM(K124:K126)</f>
        <v>1294860.95</v>
      </c>
      <c r="N127" s="304">
        <f>SUM(N124:N126)</f>
        <v>652868.89098999987</v>
      </c>
    </row>
    <row r="128" spans="1:19">
      <c r="A128" s="112">
        <f t="shared" si="28"/>
        <v>114</v>
      </c>
      <c r="B128" s="959"/>
    </row>
    <row r="129" spans="1:16">
      <c r="A129" s="112">
        <f t="shared" si="28"/>
        <v>115</v>
      </c>
      <c r="B129" s="959"/>
      <c r="C129" s="500" t="s">
        <v>297</v>
      </c>
    </row>
    <row r="130" spans="1:16">
      <c r="A130" s="112">
        <f t="shared" si="28"/>
        <v>116</v>
      </c>
      <c r="B130" s="958">
        <v>37400</v>
      </c>
      <c r="C130" s="80" t="s">
        <v>1128</v>
      </c>
      <c r="D130" s="310">
        <v>0</v>
      </c>
      <c r="E130" s="304">
        <v>0</v>
      </c>
      <c r="F130" s="304">
        <f t="shared" ref="F130:F150" si="39">D130+E130</f>
        <v>0</v>
      </c>
      <c r="G130" s="394">
        <f t="shared" ref="G130:G150" si="40">$G$16</f>
        <v>1</v>
      </c>
      <c r="H130" s="395">
        <f t="shared" ref="H130:H150" si="41">$H$124</f>
        <v>0.50419999999999998</v>
      </c>
      <c r="I130" s="304">
        <f t="shared" ref="I130:I150" si="42">F130*G130*H130</f>
        <v>0</v>
      </c>
      <c r="K130" s="310">
        <v>0</v>
      </c>
      <c r="L130" s="394">
        <f t="shared" ref="L130:L150" si="43">G130</f>
        <v>1</v>
      </c>
      <c r="M130" s="395">
        <f t="shared" ref="M130:M150" si="44">H130</f>
        <v>0.50419999999999998</v>
      </c>
      <c r="N130" s="304">
        <f t="shared" ref="N130:N150" si="45">K130*L130*M130</f>
        <v>0</v>
      </c>
      <c r="P130" s="544"/>
    </row>
    <row r="131" spans="1:16">
      <c r="A131" s="112">
        <f t="shared" si="28"/>
        <v>117</v>
      </c>
      <c r="B131" s="958">
        <v>35010</v>
      </c>
      <c r="C131" s="80" t="s">
        <v>290</v>
      </c>
      <c r="D131" s="498">
        <v>0</v>
      </c>
      <c r="E131" s="364">
        <v>0</v>
      </c>
      <c r="F131" s="364">
        <f t="shared" si="39"/>
        <v>0</v>
      </c>
      <c r="G131" s="394">
        <f t="shared" si="40"/>
        <v>1</v>
      </c>
      <c r="H131" s="395">
        <f t="shared" si="41"/>
        <v>0.50419999999999998</v>
      </c>
      <c r="I131" s="364">
        <f t="shared" si="42"/>
        <v>0</v>
      </c>
      <c r="K131" s="498">
        <v>0</v>
      </c>
      <c r="L131" s="394">
        <f t="shared" si="43"/>
        <v>1</v>
      </c>
      <c r="M131" s="395">
        <f t="shared" si="44"/>
        <v>0.50419999999999998</v>
      </c>
      <c r="N131" s="364">
        <f t="shared" si="45"/>
        <v>0</v>
      </c>
      <c r="P131" s="544"/>
    </row>
    <row r="132" spans="1:16">
      <c r="A132" s="112">
        <f t="shared" si="28"/>
        <v>118</v>
      </c>
      <c r="B132" s="958">
        <v>37402</v>
      </c>
      <c r="C132" s="80" t="s">
        <v>986</v>
      </c>
      <c r="D132" s="498">
        <v>0</v>
      </c>
      <c r="E132" s="364">
        <v>0</v>
      </c>
      <c r="F132" s="364">
        <f t="shared" si="39"/>
        <v>0</v>
      </c>
      <c r="G132" s="394">
        <f t="shared" si="40"/>
        <v>1</v>
      </c>
      <c r="H132" s="395">
        <f t="shared" si="41"/>
        <v>0.50419999999999998</v>
      </c>
      <c r="I132" s="364">
        <f t="shared" si="42"/>
        <v>0</v>
      </c>
      <c r="K132" s="498">
        <v>0</v>
      </c>
      <c r="L132" s="394">
        <f t="shared" si="43"/>
        <v>1</v>
      </c>
      <c r="M132" s="395">
        <f t="shared" si="44"/>
        <v>0.50419999999999998</v>
      </c>
      <c r="N132" s="364">
        <f t="shared" si="45"/>
        <v>0</v>
      </c>
      <c r="P132" s="544"/>
    </row>
    <row r="133" spans="1:16">
      <c r="A133" s="112">
        <f t="shared" si="28"/>
        <v>119</v>
      </c>
      <c r="B133" s="958">
        <v>37403</v>
      </c>
      <c r="C133" s="80" t="s">
        <v>983</v>
      </c>
      <c r="D133" s="498">
        <v>0</v>
      </c>
      <c r="E133" s="364">
        <v>0</v>
      </c>
      <c r="F133" s="364">
        <f t="shared" si="39"/>
        <v>0</v>
      </c>
      <c r="G133" s="394">
        <f t="shared" si="40"/>
        <v>1</v>
      </c>
      <c r="H133" s="395">
        <f t="shared" si="41"/>
        <v>0.50419999999999998</v>
      </c>
      <c r="I133" s="364">
        <f t="shared" si="42"/>
        <v>0</v>
      </c>
      <c r="K133" s="498">
        <v>0</v>
      </c>
      <c r="L133" s="394">
        <f t="shared" si="43"/>
        <v>1</v>
      </c>
      <c r="M133" s="395">
        <f t="shared" si="44"/>
        <v>0.50419999999999998</v>
      </c>
      <c r="N133" s="364">
        <f t="shared" si="45"/>
        <v>0</v>
      </c>
    </row>
    <row r="134" spans="1:16">
      <c r="A134" s="112">
        <f t="shared" si="28"/>
        <v>120</v>
      </c>
      <c r="B134" s="958">
        <v>36602</v>
      </c>
      <c r="C134" s="80" t="s">
        <v>848</v>
      </c>
      <c r="D134" s="498">
        <v>0</v>
      </c>
      <c r="E134" s="364">
        <v>0</v>
      </c>
      <c r="F134" s="364">
        <f t="shared" si="39"/>
        <v>0</v>
      </c>
      <c r="G134" s="394">
        <f t="shared" si="40"/>
        <v>1</v>
      </c>
      <c r="H134" s="395">
        <f t="shared" si="41"/>
        <v>0.50419999999999998</v>
      </c>
      <c r="I134" s="364">
        <f t="shared" si="42"/>
        <v>0</v>
      </c>
      <c r="K134" s="498">
        <v>0</v>
      </c>
      <c r="L134" s="394">
        <f t="shared" si="43"/>
        <v>1</v>
      </c>
      <c r="M134" s="395">
        <f t="shared" si="44"/>
        <v>0.50419999999999998</v>
      </c>
      <c r="N134" s="364">
        <f t="shared" si="45"/>
        <v>0</v>
      </c>
      <c r="P134" s="544"/>
    </row>
    <row r="135" spans="1:16">
      <c r="A135" s="112">
        <f t="shared" si="28"/>
        <v>121</v>
      </c>
      <c r="B135" s="958">
        <v>37402</v>
      </c>
      <c r="C135" s="80" t="s">
        <v>986</v>
      </c>
      <c r="D135" s="498">
        <v>0</v>
      </c>
      <c r="E135" s="364">
        <v>0</v>
      </c>
      <c r="F135" s="364">
        <f>D135+E135</f>
        <v>0</v>
      </c>
      <c r="G135" s="394">
        <f t="shared" si="40"/>
        <v>1</v>
      </c>
      <c r="H135" s="395">
        <f t="shared" si="41"/>
        <v>0.50419999999999998</v>
      </c>
      <c r="I135" s="364">
        <f>F135*G135*H135</f>
        <v>0</v>
      </c>
      <c r="K135" s="498">
        <v>0</v>
      </c>
      <c r="L135" s="394">
        <f>G135</f>
        <v>1</v>
      </c>
      <c r="M135" s="395">
        <f>H135</f>
        <v>0.50419999999999998</v>
      </c>
      <c r="N135" s="364">
        <f>K135*L135*M135</f>
        <v>0</v>
      </c>
    </row>
    <row r="136" spans="1:16">
      <c r="A136" s="112">
        <f t="shared" si="28"/>
        <v>122</v>
      </c>
      <c r="B136" s="958">
        <v>37501</v>
      </c>
      <c r="C136" s="80" t="s">
        <v>984</v>
      </c>
      <c r="D136" s="498">
        <v>0</v>
      </c>
      <c r="E136" s="364">
        <v>0</v>
      </c>
      <c r="F136" s="364">
        <f t="shared" si="39"/>
        <v>0</v>
      </c>
      <c r="G136" s="394">
        <f t="shared" si="40"/>
        <v>1</v>
      </c>
      <c r="H136" s="395">
        <f t="shared" si="41"/>
        <v>0.50419999999999998</v>
      </c>
      <c r="I136" s="364">
        <f t="shared" si="42"/>
        <v>0</v>
      </c>
      <c r="K136" s="498">
        <v>0</v>
      </c>
      <c r="L136" s="394">
        <f t="shared" si="43"/>
        <v>1</v>
      </c>
      <c r="M136" s="395">
        <f t="shared" si="44"/>
        <v>0.50419999999999998</v>
      </c>
      <c r="N136" s="364">
        <f t="shared" si="45"/>
        <v>0</v>
      </c>
    </row>
    <row r="137" spans="1:16">
      <c r="A137" s="112">
        <f t="shared" si="28"/>
        <v>123</v>
      </c>
      <c r="B137" s="958">
        <v>37503</v>
      </c>
      <c r="C137" s="80" t="s">
        <v>985</v>
      </c>
      <c r="D137" s="498">
        <v>0</v>
      </c>
      <c r="E137" s="364">
        <v>0</v>
      </c>
      <c r="F137" s="364">
        <f t="shared" si="39"/>
        <v>0</v>
      </c>
      <c r="G137" s="394">
        <f t="shared" si="40"/>
        <v>1</v>
      </c>
      <c r="H137" s="395">
        <f t="shared" si="41"/>
        <v>0.50419999999999998</v>
      </c>
      <c r="I137" s="364">
        <f t="shared" si="42"/>
        <v>0</v>
      </c>
      <c r="K137" s="498">
        <v>0</v>
      </c>
      <c r="L137" s="394">
        <f t="shared" si="43"/>
        <v>1</v>
      </c>
      <c r="M137" s="395">
        <f t="shared" si="44"/>
        <v>0.50419999999999998</v>
      </c>
      <c r="N137" s="364">
        <f t="shared" si="45"/>
        <v>0</v>
      </c>
    </row>
    <row r="138" spans="1:16">
      <c r="A138" s="112">
        <f t="shared" si="28"/>
        <v>124</v>
      </c>
      <c r="B138" s="958">
        <v>36700</v>
      </c>
      <c r="C138" s="80" t="s">
        <v>836</v>
      </c>
      <c r="D138" s="498">
        <v>0</v>
      </c>
      <c r="E138" s="364">
        <v>0</v>
      </c>
      <c r="F138" s="364">
        <f t="shared" si="39"/>
        <v>0</v>
      </c>
      <c r="G138" s="394">
        <f t="shared" si="40"/>
        <v>1</v>
      </c>
      <c r="H138" s="395">
        <f t="shared" si="41"/>
        <v>0.50419999999999998</v>
      </c>
      <c r="I138" s="364">
        <f t="shared" si="42"/>
        <v>0</v>
      </c>
      <c r="K138" s="498">
        <v>0</v>
      </c>
      <c r="L138" s="394">
        <f t="shared" si="43"/>
        <v>1</v>
      </c>
      <c r="M138" s="395">
        <f t="shared" si="44"/>
        <v>0.50419999999999998</v>
      </c>
      <c r="N138" s="364">
        <f t="shared" si="45"/>
        <v>0</v>
      </c>
    </row>
    <row r="139" spans="1:16">
      <c r="A139" s="112">
        <f t="shared" si="28"/>
        <v>125</v>
      </c>
      <c r="B139" s="958">
        <v>36701</v>
      </c>
      <c r="C139" s="80" t="s">
        <v>16</v>
      </c>
      <c r="D139" s="498">
        <v>0</v>
      </c>
      <c r="E139" s="364">
        <v>0</v>
      </c>
      <c r="F139" s="364">
        <f t="shared" si="39"/>
        <v>0</v>
      </c>
      <c r="G139" s="394">
        <f t="shared" si="40"/>
        <v>1</v>
      </c>
      <c r="H139" s="395">
        <f t="shared" si="41"/>
        <v>0.50419999999999998</v>
      </c>
      <c r="I139" s="364">
        <f t="shared" si="42"/>
        <v>0</v>
      </c>
      <c r="K139" s="498">
        <v>0</v>
      </c>
      <c r="L139" s="394">
        <f t="shared" si="43"/>
        <v>1</v>
      </c>
      <c r="M139" s="395">
        <f t="shared" si="44"/>
        <v>0.50419999999999998</v>
      </c>
      <c r="N139" s="364">
        <f t="shared" si="45"/>
        <v>0</v>
      </c>
    </row>
    <row r="140" spans="1:16">
      <c r="A140" s="112">
        <f t="shared" si="28"/>
        <v>126</v>
      </c>
      <c r="B140" s="958">
        <v>37602</v>
      </c>
      <c r="C140" s="80" t="s">
        <v>837</v>
      </c>
      <c r="D140" s="498">
        <v>0</v>
      </c>
      <c r="E140" s="364">
        <v>0</v>
      </c>
      <c r="F140" s="364">
        <f t="shared" si="39"/>
        <v>0</v>
      </c>
      <c r="G140" s="394">
        <f t="shared" si="40"/>
        <v>1</v>
      </c>
      <c r="H140" s="395">
        <f t="shared" si="41"/>
        <v>0.50419999999999998</v>
      </c>
      <c r="I140" s="364">
        <f t="shared" si="42"/>
        <v>0</v>
      </c>
      <c r="K140" s="498">
        <v>0</v>
      </c>
      <c r="L140" s="394">
        <f t="shared" si="43"/>
        <v>1</v>
      </c>
      <c r="M140" s="395">
        <f t="shared" si="44"/>
        <v>0.50419999999999998</v>
      </c>
      <c r="N140" s="364">
        <f t="shared" si="45"/>
        <v>0</v>
      </c>
    </row>
    <row r="141" spans="1:16">
      <c r="A141" s="112">
        <f t="shared" si="28"/>
        <v>127</v>
      </c>
      <c r="B141" s="958">
        <v>37800</v>
      </c>
      <c r="C141" s="80" t="s">
        <v>228</v>
      </c>
      <c r="D141" s="498">
        <v>0</v>
      </c>
      <c r="E141" s="364">
        <v>0</v>
      </c>
      <c r="F141" s="364">
        <f t="shared" si="39"/>
        <v>0</v>
      </c>
      <c r="G141" s="394">
        <f t="shared" si="40"/>
        <v>1</v>
      </c>
      <c r="H141" s="395">
        <f t="shared" si="41"/>
        <v>0.50419999999999998</v>
      </c>
      <c r="I141" s="364">
        <f t="shared" si="42"/>
        <v>0</v>
      </c>
      <c r="K141" s="498">
        <v>0</v>
      </c>
      <c r="L141" s="394">
        <f t="shared" si="43"/>
        <v>1</v>
      </c>
      <c r="M141" s="395">
        <f t="shared" si="44"/>
        <v>0.50419999999999998</v>
      </c>
      <c r="N141" s="364">
        <f t="shared" si="45"/>
        <v>0</v>
      </c>
    </row>
    <row r="142" spans="1:16">
      <c r="A142" s="112">
        <f t="shared" si="28"/>
        <v>128</v>
      </c>
      <c r="B142" s="958">
        <v>37900</v>
      </c>
      <c r="C142" s="80" t="s">
        <v>1171</v>
      </c>
      <c r="D142" s="498">
        <v>0</v>
      </c>
      <c r="E142" s="364">
        <v>0</v>
      </c>
      <c r="F142" s="364">
        <f t="shared" si="39"/>
        <v>0</v>
      </c>
      <c r="G142" s="394">
        <f t="shared" si="40"/>
        <v>1</v>
      </c>
      <c r="H142" s="395">
        <f t="shared" si="41"/>
        <v>0.50419999999999998</v>
      </c>
      <c r="I142" s="364">
        <f t="shared" si="42"/>
        <v>0</v>
      </c>
      <c r="K142" s="498">
        <v>0</v>
      </c>
      <c r="L142" s="394">
        <f t="shared" si="43"/>
        <v>1</v>
      </c>
      <c r="M142" s="395">
        <f t="shared" si="44"/>
        <v>0.50419999999999998</v>
      </c>
      <c r="N142" s="364">
        <f t="shared" si="45"/>
        <v>0</v>
      </c>
    </row>
    <row r="143" spans="1:16">
      <c r="A143" s="112">
        <f t="shared" si="28"/>
        <v>129</v>
      </c>
      <c r="B143" s="958">
        <v>37905</v>
      </c>
      <c r="C143" s="80" t="s">
        <v>720</v>
      </c>
      <c r="D143" s="498">
        <v>0</v>
      </c>
      <c r="E143" s="364">
        <v>0</v>
      </c>
      <c r="F143" s="364">
        <f t="shared" si="39"/>
        <v>0</v>
      </c>
      <c r="G143" s="394">
        <f t="shared" si="40"/>
        <v>1</v>
      </c>
      <c r="H143" s="395">
        <f t="shared" si="41"/>
        <v>0.50419999999999998</v>
      </c>
      <c r="I143" s="364">
        <f t="shared" si="42"/>
        <v>0</v>
      </c>
      <c r="K143" s="498">
        <v>0</v>
      </c>
      <c r="L143" s="394">
        <f t="shared" si="43"/>
        <v>1</v>
      </c>
      <c r="M143" s="395">
        <f t="shared" si="44"/>
        <v>0.50419999999999998</v>
      </c>
      <c r="N143" s="364">
        <f t="shared" si="45"/>
        <v>0</v>
      </c>
    </row>
    <row r="144" spans="1:16">
      <c r="A144" s="112">
        <f t="shared" si="28"/>
        <v>130</v>
      </c>
      <c r="B144" s="958">
        <v>38000</v>
      </c>
      <c r="C144" s="80" t="s">
        <v>1036</v>
      </c>
      <c r="D144" s="498">
        <v>0</v>
      </c>
      <c r="E144" s="364">
        <v>0</v>
      </c>
      <c r="F144" s="364">
        <f t="shared" si="39"/>
        <v>0</v>
      </c>
      <c r="G144" s="394">
        <f t="shared" si="40"/>
        <v>1</v>
      </c>
      <c r="H144" s="395">
        <f t="shared" si="41"/>
        <v>0.50419999999999998</v>
      </c>
      <c r="I144" s="364">
        <f t="shared" si="42"/>
        <v>0</v>
      </c>
      <c r="K144" s="498">
        <v>0</v>
      </c>
      <c r="L144" s="394">
        <f t="shared" si="43"/>
        <v>1</v>
      </c>
      <c r="M144" s="395">
        <f t="shared" si="44"/>
        <v>0.50419999999999998</v>
      </c>
      <c r="N144" s="364">
        <f t="shared" si="45"/>
        <v>0</v>
      </c>
    </row>
    <row r="145" spans="1:19">
      <c r="A145" s="112">
        <f t="shared" si="28"/>
        <v>131</v>
      </c>
      <c r="B145" s="958">
        <v>38100</v>
      </c>
      <c r="C145" s="80" t="s">
        <v>838</v>
      </c>
      <c r="D145" s="498">
        <v>0</v>
      </c>
      <c r="E145" s="364">
        <v>0</v>
      </c>
      <c r="F145" s="364">
        <f t="shared" si="39"/>
        <v>0</v>
      </c>
      <c r="G145" s="394">
        <f t="shared" si="40"/>
        <v>1</v>
      </c>
      <c r="H145" s="395">
        <f t="shared" si="41"/>
        <v>0.50419999999999998</v>
      </c>
      <c r="I145" s="364">
        <f t="shared" si="42"/>
        <v>0</v>
      </c>
      <c r="K145" s="498">
        <v>0</v>
      </c>
      <c r="L145" s="394">
        <f t="shared" si="43"/>
        <v>1</v>
      </c>
      <c r="M145" s="395">
        <f t="shared" si="44"/>
        <v>0.50419999999999998</v>
      </c>
      <c r="N145" s="364">
        <f t="shared" si="45"/>
        <v>0</v>
      </c>
    </row>
    <row r="146" spans="1:19">
      <c r="A146" s="112">
        <f t="shared" si="28"/>
        <v>132</v>
      </c>
      <c r="B146" s="958">
        <v>38200</v>
      </c>
      <c r="C146" s="80" t="s">
        <v>438</v>
      </c>
      <c r="D146" s="498">
        <v>0</v>
      </c>
      <c r="E146" s="364">
        <v>0</v>
      </c>
      <c r="F146" s="364">
        <f t="shared" si="39"/>
        <v>0</v>
      </c>
      <c r="G146" s="394">
        <f t="shared" si="40"/>
        <v>1</v>
      </c>
      <c r="H146" s="395">
        <f t="shared" si="41"/>
        <v>0.50419999999999998</v>
      </c>
      <c r="I146" s="364">
        <f t="shared" si="42"/>
        <v>0</v>
      </c>
      <c r="K146" s="498">
        <v>0</v>
      </c>
      <c r="L146" s="394">
        <f t="shared" si="43"/>
        <v>1</v>
      </c>
      <c r="M146" s="395">
        <f t="shared" si="44"/>
        <v>0.50419999999999998</v>
      </c>
      <c r="N146" s="364">
        <f t="shared" si="45"/>
        <v>0</v>
      </c>
    </row>
    <row r="147" spans="1:19">
      <c r="A147" s="112">
        <f t="shared" si="28"/>
        <v>133</v>
      </c>
      <c r="B147" s="958">
        <v>38300</v>
      </c>
      <c r="C147" s="80" t="s">
        <v>1037</v>
      </c>
      <c r="D147" s="498">
        <v>0</v>
      </c>
      <c r="E147" s="364">
        <v>0</v>
      </c>
      <c r="F147" s="364">
        <f t="shared" si="39"/>
        <v>0</v>
      </c>
      <c r="G147" s="394">
        <f t="shared" si="40"/>
        <v>1</v>
      </c>
      <c r="H147" s="395">
        <f t="shared" si="41"/>
        <v>0.50419999999999998</v>
      </c>
      <c r="I147" s="364">
        <f t="shared" si="42"/>
        <v>0</v>
      </c>
      <c r="K147" s="498">
        <v>0</v>
      </c>
      <c r="L147" s="394">
        <f t="shared" si="43"/>
        <v>1</v>
      </c>
      <c r="M147" s="395">
        <f t="shared" si="44"/>
        <v>0.50419999999999998</v>
      </c>
      <c r="N147" s="364">
        <f t="shared" si="45"/>
        <v>0</v>
      </c>
    </row>
    <row r="148" spans="1:19">
      <c r="A148" s="112">
        <f t="shared" ref="A148:A211" si="46">A147+1</f>
        <v>134</v>
      </c>
      <c r="B148" s="958">
        <v>38400</v>
      </c>
      <c r="C148" s="80" t="s">
        <v>439</v>
      </c>
      <c r="D148" s="498">
        <v>0</v>
      </c>
      <c r="E148" s="364">
        <v>0</v>
      </c>
      <c r="F148" s="364">
        <f t="shared" si="39"/>
        <v>0</v>
      </c>
      <c r="G148" s="394">
        <f t="shared" si="40"/>
        <v>1</v>
      </c>
      <c r="H148" s="395">
        <f t="shared" si="41"/>
        <v>0.50419999999999998</v>
      </c>
      <c r="I148" s="364">
        <f t="shared" si="42"/>
        <v>0</v>
      </c>
      <c r="K148" s="498">
        <v>0</v>
      </c>
      <c r="L148" s="394">
        <f t="shared" si="43"/>
        <v>1</v>
      </c>
      <c r="M148" s="395">
        <f t="shared" si="44"/>
        <v>0.50419999999999998</v>
      </c>
      <c r="N148" s="364">
        <f t="shared" si="45"/>
        <v>0</v>
      </c>
    </row>
    <row r="149" spans="1:19">
      <c r="A149" s="112">
        <f t="shared" si="46"/>
        <v>135</v>
      </c>
      <c r="B149" s="958">
        <v>38500</v>
      </c>
      <c r="C149" s="80" t="s">
        <v>440</v>
      </c>
      <c r="D149" s="498">
        <v>0</v>
      </c>
      <c r="E149" s="364">
        <v>0</v>
      </c>
      <c r="F149" s="364">
        <f t="shared" si="39"/>
        <v>0</v>
      </c>
      <c r="G149" s="394">
        <f t="shared" si="40"/>
        <v>1</v>
      </c>
      <c r="H149" s="395">
        <f t="shared" si="41"/>
        <v>0.50419999999999998</v>
      </c>
      <c r="I149" s="364">
        <f t="shared" si="42"/>
        <v>0</v>
      </c>
      <c r="K149" s="498">
        <v>0</v>
      </c>
      <c r="L149" s="394">
        <f t="shared" si="43"/>
        <v>1</v>
      </c>
      <c r="M149" s="395">
        <f t="shared" si="44"/>
        <v>0.50419999999999998</v>
      </c>
      <c r="N149" s="364">
        <f t="shared" si="45"/>
        <v>0</v>
      </c>
    </row>
    <row r="150" spans="1:19">
      <c r="A150" s="112">
        <f t="shared" si="46"/>
        <v>136</v>
      </c>
      <c r="B150" s="958">
        <v>38600</v>
      </c>
      <c r="C150" s="80" t="s">
        <v>105</v>
      </c>
      <c r="D150" s="844">
        <v>0</v>
      </c>
      <c r="E150" s="842">
        <v>0</v>
      </c>
      <c r="F150" s="842">
        <f t="shared" si="39"/>
        <v>0</v>
      </c>
      <c r="G150" s="394">
        <f t="shared" si="40"/>
        <v>1</v>
      </c>
      <c r="H150" s="395">
        <f t="shared" si="41"/>
        <v>0.50419999999999998</v>
      </c>
      <c r="I150" s="842">
        <f t="shared" si="42"/>
        <v>0</v>
      </c>
      <c r="K150" s="844">
        <v>0</v>
      </c>
      <c r="L150" s="394">
        <f t="shared" si="43"/>
        <v>1</v>
      </c>
      <c r="M150" s="395">
        <f t="shared" si="44"/>
        <v>0.50419999999999998</v>
      </c>
      <c r="N150" s="842">
        <f t="shared" si="45"/>
        <v>0</v>
      </c>
    </row>
    <row r="151" spans="1:19">
      <c r="A151" s="112">
        <f t="shared" si="46"/>
        <v>137</v>
      </c>
      <c r="B151" s="959"/>
      <c r="C151" s="80"/>
      <c r="M151" s="395"/>
    </row>
    <row r="152" spans="1:19">
      <c r="A152" s="112">
        <f t="shared" si="46"/>
        <v>138</v>
      </c>
      <c r="B152" s="959"/>
      <c r="C152" s="80" t="s">
        <v>298</v>
      </c>
      <c r="D152" s="304">
        <f>SUM(D130:D151)</f>
        <v>0</v>
      </c>
      <c r="E152" s="304">
        <f>SUM(E130:E151)</f>
        <v>0</v>
      </c>
      <c r="F152" s="304">
        <f>SUM(F130:F151)</f>
        <v>0</v>
      </c>
      <c r="I152" s="304">
        <f>SUM(I130:I151)</f>
        <v>0</v>
      </c>
      <c r="K152" s="304">
        <f>SUM(K130:K151)</f>
        <v>0</v>
      </c>
      <c r="M152" s="395"/>
      <c r="N152" s="304">
        <f>SUM(N130:N151)</f>
        <v>0</v>
      </c>
    </row>
    <row r="153" spans="1:19">
      <c r="A153" s="112">
        <f t="shared" si="46"/>
        <v>139</v>
      </c>
      <c r="B153" s="959"/>
      <c r="C153" s="80"/>
      <c r="M153" s="395"/>
    </row>
    <row r="154" spans="1:19">
      <c r="A154" s="112">
        <f t="shared" si="46"/>
        <v>140</v>
      </c>
      <c r="B154" s="959"/>
      <c r="C154" s="500" t="s">
        <v>1150</v>
      </c>
      <c r="M154" s="395"/>
    </row>
    <row r="155" spans="1:19">
      <c r="A155" s="112">
        <f t="shared" si="46"/>
        <v>141</v>
      </c>
      <c r="B155" s="958">
        <v>39001</v>
      </c>
      <c r="C155" s="80" t="s">
        <v>535</v>
      </c>
      <c r="D155" s="290">
        <f>'[4]Gross Plant'!AF86</f>
        <v>179338.52</v>
      </c>
      <c r="E155" s="304">
        <v>0</v>
      </c>
      <c r="F155" s="304">
        <f t="shared" ref="F155:F175" si="47">D155+E155</f>
        <v>179338.52</v>
      </c>
      <c r="G155" s="394">
        <f t="shared" ref="G155:G175" si="48">$G$16</f>
        <v>1</v>
      </c>
      <c r="H155" s="395">
        <f t="shared" ref="H155:H175" si="49">$H$124</f>
        <v>0.50419999999999998</v>
      </c>
      <c r="I155" s="304">
        <f t="shared" ref="I155:I175" si="50">F155*G155*H155</f>
        <v>90422.481783999989</v>
      </c>
      <c r="K155" s="290">
        <f>'[4]Gross Plant'!D86</f>
        <v>179338.52</v>
      </c>
      <c r="L155" s="394">
        <f t="shared" ref="L155:L175" si="51">G155</f>
        <v>1</v>
      </c>
      <c r="M155" s="395">
        <f t="shared" ref="M155:M175" si="52">H155</f>
        <v>0.50419999999999998</v>
      </c>
      <c r="N155" s="304">
        <f t="shared" ref="N155:N175" si="53">K155*L155*M155</f>
        <v>90422.481783999989</v>
      </c>
      <c r="S155" s="358"/>
    </row>
    <row r="156" spans="1:19">
      <c r="A156" s="112">
        <f t="shared" si="46"/>
        <v>142</v>
      </c>
      <c r="B156" s="958">
        <v>39004</v>
      </c>
      <c r="C156" s="80" t="s">
        <v>441</v>
      </c>
      <c r="D156" s="364">
        <f>'[4]Gross Plant'!AF87</f>
        <v>15383.91</v>
      </c>
      <c r="E156" s="364">
        <v>0</v>
      </c>
      <c r="F156" s="364">
        <f t="shared" si="47"/>
        <v>15383.91</v>
      </c>
      <c r="G156" s="394">
        <f t="shared" si="48"/>
        <v>1</v>
      </c>
      <c r="H156" s="395">
        <f t="shared" si="49"/>
        <v>0.50419999999999998</v>
      </c>
      <c r="I156" s="364">
        <f t="shared" si="50"/>
        <v>7756.5674220000001</v>
      </c>
      <c r="K156" s="364">
        <f>'[4]Gross Plant'!D87</f>
        <v>15383.910000000002</v>
      </c>
      <c r="L156" s="394">
        <f t="shared" si="51"/>
        <v>1</v>
      </c>
      <c r="M156" s="395">
        <f t="shared" si="52"/>
        <v>0.50419999999999998</v>
      </c>
      <c r="N156" s="364">
        <f t="shared" si="53"/>
        <v>7756.567422000001</v>
      </c>
      <c r="S156" s="358"/>
    </row>
    <row r="157" spans="1:19">
      <c r="A157" s="112">
        <f t="shared" si="46"/>
        <v>143</v>
      </c>
      <c r="B157" s="958">
        <v>39009</v>
      </c>
      <c r="C157" s="80" t="s">
        <v>1020</v>
      </c>
      <c r="D157" s="364">
        <f>'[4]Gross Plant'!AF88</f>
        <v>38834</v>
      </c>
      <c r="E157" s="364">
        <v>0</v>
      </c>
      <c r="F157" s="364">
        <f t="shared" si="47"/>
        <v>38834</v>
      </c>
      <c r="G157" s="394">
        <f t="shared" si="48"/>
        <v>1</v>
      </c>
      <c r="H157" s="395">
        <f t="shared" si="49"/>
        <v>0.50419999999999998</v>
      </c>
      <c r="I157" s="364">
        <f t="shared" si="50"/>
        <v>19580.102800000001</v>
      </c>
      <c r="K157" s="364">
        <f>'[4]Gross Plant'!D88</f>
        <v>38834</v>
      </c>
      <c r="L157" s="394">
        <f t="shared" si="51"/>
        <v>1</v>
      </c>
      <c r="M157" s="395">
        <f t="shared" si="52"/>
        <v>0.50419999999999998</v>
      </c>
      <c r="N157" s="364">
        <f t="shared" si="53"/>
        <v>19580.102800000001</v>
      </c>
      <c r="S157" s="358"/>
    </row>
    <row r="158" spans="1:19">
      <c r="A158" s="112">
        <f t="shared" si="46"/>
        <v>144</v>
      </c>
      <c r="B158" s="958">
        <v>39100</v>
      </c>
      <c r="C158" s="80" t="s">
        <v>772</v>
      </c>
      <c r="D158" s="364">
        <f>'[4]Gross Plant'!AF89</f>
        <v>26927.929999999997</v>
      </c>
      <c r="E158" s="364">
        <v>0</v>
      </c>
      <c r="F158" s="364">
        <f t="shared" si="47"/>
        <v>26927.929999999997</v>
      </c>
      <c r="G158" s="394">
        <f t="shared" si="48"/>
        <v>1</v>
      </c>
      <c r="H158" s="395">
        <f t="shared" si="49"/>
        <v>0.50419999999999998</v>
      </c>
      <c r="I158" s="364">
        <f t="shared" si="50"/>
        <v>13577.062305999998</v>
      </c>
      <c r="K158" s="364">
        <f>'[4]Gross Plant'!D89</f>
        <v>26927.929999999997</v>
      </c>
      <c r="L158" s="394">
        <f t="shared" si="51"/>
        <v>1</v>
      </c>
      <c r="M158" s="395">
        <f t="shared" si="52"/>
        <v>0.50419999999999998</v>
      </c>
      <c r="N158" s="364">
        <f t="shared" si="53"/>
        <v>13577.062305999998</v>
      </c>
      <c r="S158" s="358"/>
    </row>
    <row r="159" spans="1:19">
      <c r="A159" s="112">
        <f t="shared" si="46"/>
        <v>145</v>
      </c>
      <c r="B159" s="958">
        <v>39101</v>
      </c>
      <c r="C159" s="80" t="s">
        <v>1439</v>
      </c>
      <c r="D159" s="364">
        <f>'[4]Gross Plant'!AF90</f>
        <v>0</v>
      </c>
      <c r="E159" s="364">
        <v>0</v>
      </c>
      <c r="F159" s="364">
        <f t="shared" si="47"/>
        <v>0</v>
      </c>
      <c r="G159" s="394">
        <f t="shared" si="48"/>
        <v>1</v>
      </c>
      <c r="H159" s="395">
        <f t="shared" si="49"/>
        <v>0.50419999999999998</v>
      </c>
      <c r="I159" s="364">
        <f t="shared" si="50"/>
        <v>0</v>
      </c>
      <c r="K159" s="364">
        <f>'[4]Gross Plant'!D90</f>
        <v>0</v>
      </c>
      <c r="L159" s="394">
        <f t="shared" ref="L159:L170" si="54">G159</f>
        <v>1</v>
      </c>
      <c r="M159" s="395">
        <f t="shared" ref="M159:M170" si="55">H159</f>
        <v>0.50419999999999998</v>
      </c>
      <c r="N159" s="364">
        <f t="shared" ref="N159:N170" si="56">K159*L159*M159</f>
        <v>0</v>
      </c>
      <c r="S159" s="358"/>
    </row>
    <row r="160" spans="1:19">
      <c r="A160" s="112">
        <f t="shared" si="46"/>
        <v>146</v>
      </c>
      <c r="B160" s="958">
        <v>39103</v>
      </c>
      <c r="C160" s="80" t="s">
        <v>773</v>
      </c>
      <c r="D160" s="364">
        <f>'[4]Gross Plant'!AF91</f>
        <v>0</v>
      </c>
      <c r="E160" s="364">
        <v>0</v>
      </c>
      <c r="F160" s="364">
        <f t="shared" si="47"/>
        <v>0</v>
      </c>
      <c r="G160" s="394">
        <f t="shared" si="48"/>
        <v>1</v>
      </c>
      <c r="H160" s="395">
        <f t="shared" si="49"/>
        <v>0.50419999999999998</v>
      </c>
      <c r="I160" s="364">
        <f t="shared" si="50"/>
        <v>0</v>
      </c>
      <c r="K160" s="364">
        <f>'[4]Gross Plant'!D91</f>
        <v>0</v>
      </c>
      <c r="L160" s="394">
        <f t="shared" si="54"/>
        <v>1</v>
      </c>
      <c r="M160" s="395">
        <f t="shared" si="55"/>
        <v>0.50419999999999998</v>
      </c>
      <c r="N160" s="364">
        <f t="shared" si="56"/>
        <v>0</v>
      </c>
      <c r="S160" s="358"/>
    </row>
    <row r="161" spans="1:19">
      <c r="A161" s="112">
        <f t="shared" si="46"/>
        <v>147</v>
      </c>
      <c r="B161" s="958">
        <v>39200</v>
      </c>
      <c r="C161" s="80" t="s">
        <v>1060</v>
      </c>
      <c r="D161" s="364">
        <f>'[4]Gross Plant'!AF92</f>
        <v>27284.69</v>
      </c>
      <c r="E161" s="364">
        <v>0</v>
      </c>
      <c r="F161" s="364">
        <f t="shared" si="47"/>
        <v>27284.69</v>
      </c>
      <c r="G161" s="394">
        <f t="shared" si="48"/>
        <v>1</v>
      </c>
      <c r="H161" s="395">
        <f t="shared" si="49"/>
        <v>0.50419999999999998</v>
      </c>
      <c r="I161" s="364">
        <f t="shared" si="50"/>
        <v>13756.940697999999</v>
      </c>
      <c r="K161" s="364">
        <f>'[4]Gross Plant'!D92</f>
        <v>27284.69</v>
      </c>
      <c r="L161" s="394">
        <f t="shared" si="54"/>
        <v>1</v>
      </c>
      <c r="M161" s="395">
        <f t="shared" si="55"/>
        <v>0.50419999999999998</v>
      </c>
      <c r="N161" s="364">
        <f t="shared" si="56"/>
        <v>13756.940697999999</v>
      </c>
      <c r="S161" s="358"/>
    </row>
    <row r="162" spans="1:19">
      <c r="A162" s="112">
        <f t="shared" si="46"/>
        <v>148</v>
      </c>
      <c r="B162" s="958">
        <v>39300</v>
      </c>
      <c r="C162" s="80" t="s">
        <v>644</v>
      </c>
      <c r="D162" s="364">
        <f>'[4]Gross Plant'!AF93</f>
        <v>0</v>
      </c>
      <c r="E162" s="364">
        <v>0</v>
      </c>
      <c r="F162" s="364">
        <f t="shared" si="47"/>
        <v>0</v>
      </c>
      <c r="G162" s="394">
        <f t="shared" si="48"/>
        <v>1</v>
      </c>
      <c r="H162" s="395">
        <f t="shared" si="49"/>
        <v>0.50419999999999998</v>
      </c>
      <c r="I162" s="364">
        <f t="shared" si="50"/>
        <v>0</v>
      </c>
      <c r="K162" s="364">
        <f>'[4]Gross Plant'!D93</f>
        <v>0</v>
      </c>
      <c r="L162" s="394">
        <f t="shared" si="54"/>
        <v>1</v>
      </c>
      <c r="M162" s="395">
        <f t="shared" si="55"/>
        <v>0.50419999999999998</v>
      </c>
      <c r="N162" s="364">
        <f t="shared" si="56"/>
        <v>0</v>
      </c>
      <c r="S162" s="358"/>
    </row>
    <row r="163" spans="1:19">
      <c r="A163" s="112">
        <f t="shared" si="46"/>
        <v>149</v>
      </c>
      <c r="B163" s="958">
        <v>39400</v>
      </c>
      <c r="C163" s="80" t="s">
        <v>1019</v>
      </c>
      <c r="D163" s="364">
        <f>'[4]Gross Plant'!AF94</f>
        <v>170907.22999999984</v>
      </c>
      <c r="E163" s="364">
        <v>0</v>
      </c>
      <c r="F163" s="364">
        <f t="shared" si="47"/>
        <v>170907.22999999984</v>
      </c>
      <c r="G163" s="394">
        <f t="shared" si="48"/>
        <v>1</v>
      </c>
      <c r="H163" s="395">
        <f t="shared" si="49"/>
        <v>0.50419999999999998</v>
      </c>
      <c r="I163" s="364">
        <f t="shared" si="50"/>
        <v>86171.425365999909</v>
      </c>
      <c r="K163" s="364">
        <f>'[4]Gross Plant'!D94</f>
        <v>151738.97076923068</v>
      </c>
      <c r="L163" s="394">
        <f t="shared" si="54"/>
        <v>1</v>
      </c>
      <c r="M163" s="395">
        <f t="shared" si="55"/>
        <v>0.50419999999999998</v>
      </c>
      <c r="N163" s="364">
        <f t="shared" si="56"/>
        <v>76506.78906184611</v>
      </c>
      <c r="S163" s="358"/>
    </row>
    <row r="164" spans="1:19">
      <c r="A164" s="112">
        <f t="shared" si="46"/>
        <v>150</v>
      </c>
      <c r="B164" s="958">
        <v>39600</v>
      </c>
      <c r="C164" s="80" t="s">
        <v>536</v>
      </c>
      <c r="D164" s="364">
        <f>'[4]Gross Plant'!AF95</f>
        <v>20515.689999999999</v>
      </c>
      <c r="E164" s="364">
        <v>0</v>
      </c>
      <c r="F164" s="364">
        <f t="shared" si="47"/>
        <v>20515.689999999999</v>
      </c>
      <c r="G164" s="394">
        <f t="shared" si="48"/>
        <v>1</v>
      </c>
      <c r="H164" s="395">
        <f t="shared" si="49"/>
        <v>0.50419999999999998</v>
      </c>
      <c r="I164" s="364">
        <f t="shared" si="50"/>
        <v>10344.010897999999</v>
      </c>
      <c r="K164" s="364">
        <f>'[4]Gross Plant'!D95</f>
        <v>20515.689999999999</v>
      </c>
      <c r="L164" s="394">
        <f t="shared" si="54"/>
        <v>1</v>
      </c>
      <c r="M164" s="395">
        <f t="shared" si="55"/>
        <v>0.50419999999999998</v>
      </c>
      <c r="N164" s="364">
        <f t="shared" si="56"/>
        <v>10344.010897999999</v>
      </c>
      <c r="S164" s="358"/>
    </row>
    <row r="165" spans="1:19">
      <c r="A165" s="112">
        <f t="shared" si="46"/>
        <v>151</v>
      </c>
      <c r="B165" s="958">
        <v>39700</v>
      </c>
      <c r="C165" s="80" t="s">
        <v>436</v>
      </c>
      <c r="D165" s="364">
        <f>'[4]Gross Plant'!AF96</f>
        <v>0</v>
      </c>
      <c r="E165" s="364">
        <v>0</v>
      </c>
      <c r="F165" s="364">
        <f t="shared" si="47"/>
        <v>0</v>
      </c>
      <c r="G165" s="394">
        <f t="shared" si="48"/>
        <v>1</v>
      </c>
      <c r="H165" s="395">
        <f t="shared" si="49"/>
        <v>0.50419999999999998</v>
      </c>
      <c r="I165" s="364">
        <f t="shared" si="50"/>
        <v>0</v>
      </c>
      <c r="K165" s="364">
        <f>'[4]Gross Plant'!D96</f>
        <v>0</v>
      </c>
      <c r="L165" s="394">
        <f t="shared" si="54"/>
        <v>1</v>
      </c>
      <c r="M165" s="395">
        <f t="shared" si="55"/>
        <v>0.50419999999999998</v>
      </c>
      <c r="N165" s="364">
        <f t="shared" si="56"/>
        <v>0</v>
      </c>
      <c r="S165" s="358"/>
    </row>
    <row r="166" spans="1:19">
      <c r="A166" s="112">
        <f t="shared" si="46"/>
        <v>152</v>
      </c>
      <c r="B166" s="958">
        <v>39701</v>
      </c>
      <c r="C166" s="80" t="s">
        <v>1436</v>
      </c>
      <c r="D166" s="364">
        <f>'[4]Gross Plant'!AF97</f>
        <v>0</v>
      </c>
      <c r="E166" s="364">
        <v>0</v>
      </c>
      <c r="F166" s="364">
        <f t="shared" si="47"/>
        <v>0</v>
      </c>
      <c r="G166" s="394">
        <f t="shared" si="48"/>
        <v>1</v>
      </c>
      <c r="H166" s="395">
        <f t="shared" si="49"/>
        <v>0.50419999999999998</v>
      </c>
      <c r="I166" s="364">
        <f t="shared" si="50"/>
        <v>0</v>
      </c>
      <c r="K166" s="364">
        <f>'[4]Gross Plant'!D97</f>
        <v>0</v>
      </c>
      <c r="L166" s="394">
        <f t="shared" si="54"/>
        <v>1</v>
      </c>
      <c r="M166" s="395">
        <f t="shared" si="55"/>
        <v>0.50419999999999998</v>
      </c>
      <c r="N166" s="364">
        <f t="shared" si="56"/>
        <v>0</v>
      </c>
      <c r="S166" s="358"/>
    </row>
    <row r="167" spans="1:19">
      <c r="A167" s="112">
        <f t="shared" si="46"/>
        <v>153</v>
      </c>
      <c r="B167" s="958">
        <v>39702</v>
      </c>
      <c r="C167" s="80" t="s">
        <v>1436</v>
      </c>
      <c r="D167" s="364">
        <f>'[4]Gross Plant'!AF98</f>
        <v>0</v>
      </c>
      <c r="E167" s="364">
        <v>0</v>
      </c>
      <c r="F167" s="364">
        <f t="shared" si="47"/>
        <v>0</v>
      </c>
      <c r="G167" s="394">
        <f t="shared" si="48"/>
        <v>1</v>
      </c>
      <c r="H167" s="395">
        <f t="shared" si="49"/>
        <v>0.50419999999999998</v>
      </c>
      <c r="I167" s="364">
        <f t="shared" si="50"/>
        <v>0</v>
      </c>
      <c r="K167" s="364">
        <f>'[4]Gross Plant'!D98</f>
        <v>0</v>
      </c>
      <c r="L167" s="394">
        <f t="shared" si="54"/>
        <v>1</v>
      </c>
      <c r="M167" s="395">
        <f t="shared" si="55"/>
        <v>0.50419999999999998</v>
      </c>
      <c r="N167" s="364">
        <f t="shared" si="56"/>
        <v>0</v>
      </c>
      <c r="S167" s="358"/>
    </row>
    <row r="168" spans="1:19">
      <c r="A168" s="112">
        <f t="shared" si="46"/>
        <v>154</v>
      </c>
      <c r="B168" s="958">
        <v>39800</v>
      </c>
      <c r="C168" s="80" t="s">
        <v>645</v>
      </c>
      <c r="D168" s="364">
        <f>'[4]Gross Plant'!AF99</f>
        <v>0</v>
      </c>
      <c r="E168" s="364">
        <v>0</v>
      </c>
      <c r="F168" s="364">
        <f t="shared" si="47"/>
        <v>0</v>
      </c>
      <c r="G168" s="394">
        <f t="shared" si="48"/>
        <v>1</v>
      </c>
      <c r="H168" s="395">
        <f t="shared" si="49"/>
        <v>0.50419999999999998</v>
      </c>
      <c r="I168" s="364">
        <f t="shared" si="50"/>
        <v>0</v>
      </c>
      <c r="K168" s="364">
        <f>'[4]Gross Plant'!D99</f>
        <v>0</v>
      </c>
      <c r="L168" s="394">
        <f t="shared" si="54"/>
        <v>1</v>
      </c>
      <c r="M168" s="395">
        <f t="shared" si="55"/>
        <v>0.50419999999999998</v>
      </c>
      <c r="N168" s="364">
        <f t="shared" si="56"/>
        <v>0</v>
      </c>
      <c r="S168" s="358"/>
    </row>
    <row r="169" spans="1:19">
      <c r="A169" s="112">
        <f t="shared" si="46"/>
        <v>155</v>
      </c>
      <c r="B169" s="958">
        <v>39900</v>
      </c>
      <c r="C169" s="80" t="s">
        <v>1133</v>
      </c>
      <c r="D169" s="364">
        <f>'[4]Gross Plant'!AF100</f>
        <v>0</v>
      </c>
      <c r="E169" s="364">
        <v>0</v>
      </c>
      <c r="F169" s="364">
        <f t="shared" si="47"/>
        <v>0</v>
      </c>
      <c r="G169" s="394">
        <f t="shared" si="48"/>
        <v>1</v>
      </c>
      <c r="H169" s="395">
        <f t="shared" si="49"/>
        <v>0.50419999999999998</v>
      </c>
      <c r="I169" s="364">
        <f t="shared" si="50"/>
        <v>0</v>
      </c>
      <c r="K169" s="364">
        <f>'[4]Gross Plant'!D100</f>
        <v>0</v>
      </c>
      <c r="L169" s="394">
        <f t="shared" si="54"/>
        <v>1</v>
      </c>
      <c r="M169" s="395">
        <f t="shared" si="55"/>
        <v>0.50419999999999998</v>
      </c>
      <c r="N169" s="364">
        <f t="shared" si="56"/>
        <v>0</v>
      </c>
      <c r="S169" s="358"/>
    </row>
    <row r="170" spans="1:19">
      <c r="A170" s="112">
        <f t="shared" si="46"/>
        <v>156</v>
      </c>
      <c r="B170" s="958">
        <v>39901</v>
      </c>
      <c r="C170" s="80" t="s">
        <v>470</v>
      </c>
      <c r="D170" s="364">
        <f>'[4]Gross Plant'!AF101</f>
        <v>0</v>
      </c>
      <c r="E170" s="364">
        <v>0</v>
      </c>
      <c r="F170" s="364">
        <f t="shared" si="47"/>
        <v>0</v>
      </c>
      <c r="G170" s="394">
        <f t="shared" si="48"/>
        <v>1</v>
      </c>
      <c r="H170" s="395">
        <f t="shared" si="49"/>
        <v>0.50419999999999998</v>
      </c>
      <c r="I170" s="364">
        <f t="shared" si="50"/>
        <v>0</v>
      </c>
      <c r="K170" s="364">
        <f>'[4]Gross Plant'!D101</f>
        <v>0</v>
      </c>
      <c r="L170" s="394">
        <f t="shared" si="54"/>
        <v>1</v>
      </c>
      <c r="M170" s="395">
        <f t="shared" si="55"/>
        <v>0.50419999999999998</v>
      </c>
      <c r="N170" s="364">
        <f t="shared" si="56"/>
        <v>0</v>
      </c>
      <c r="S170" s="358"/>
    </row>
    <row r="171" spans="1:19">
      <c r="A171" s="112">
        <f t="shared" si="46"/>
        <v>157</v>
      </c>
      <c r="B171" s="958">
        <v>39902</v>
      </c>
      <c r="C171" s="80" t="s">
        <v>947</v>
      </c>
      <c r="D171" s="364">
        <f>'[4]Gross Plant'!AF102</f>
        <v>0</v>
      </c>
      <c r="E171" s="364">
        <v>0</v>
      </c>
      <c r="F171" s="364">
        <f t="shared" si="47"/>
        <v>0</v>
      </c>
      <c r="G171" s="394">
        <f t="shared" si="48"/>
        <v>1</v>
      </c>
      <c r="H171" s="395">
        <f t="shared" si="49"/>
        <v>0.50419999999999998</v>
      </c>
      <c r="I171" s="364">
        <f t="shared" si="50"/>
        <v>0</v>
      </c>
      <c r="K171" s="364">
        <f>'[4]Gross Plant'!D102</f>
        <v>0</v>
      </c>
      <c r="L171" s="394">
        <f t="shared" si="51"/>
        <v>1</v>
      </c>
      <c r="M171" s="395">
        <f t="shared" si="52"/>
        <v>0.50419999999999998</v>
      </c>
      <c r="N171" s="364">
        <f t="shared" si="53"/>
        <v>0</v>
      </c>
      <c r="S171" s="358"/>
    </row>
    <row r="172" spans="1:19">
      <c r="A172" s="112">
        <f t="shared" si="46"/>
        <v>158</v>
      </c>
      <c r="B172" s="958">
        <v>39903</v>
      </c>
      <c r="C172" s="80" t="s">
        <v>990</v>
      </c>
      <c r="D172" s="364">
        <f>'[4]Gross Plant'!AF103</f>
        <v>28266.44</v>
      </c>
      <c r="E172" s="364">
        <v>0</v>
      </c>
      <c r="F172" s="364">
        <f t="shared" si="47"/>
        <v>28266.44</v>
      </c>
      <c r="G172" s="394">
        <f t="shared" si="48"/>
        <v>1</v>
      </c>
      <c r="H172" s="395">
        <f t="shared" si="49"/>
        <v>0.50419999999999998</v>
      </c>
      <c r="I172" s="364">
        <f t="shared" si="50"/>
        <v>14251.939047999998</v>
      </c>
      <c r="K172" s="364">
        <f>'[4]Gross Plant'!D103</f>
        <v>28266.44</v>
      </c>
      <c r="L172" s="394">
        <f t="shared" si="51"/>
        <v>1</v>
      </c>
      <c r="M172" s="395">
        <f t="shared" si="52"/>
        <v>0.50419999999999998</v>
      </c>
      <c r="N172" s="364">
        <f t="shared" si="53"/>
        <v>14251.939047999998</v>
      </c>
      <c r="S172" s="358"/>
    </row>
    <row r="173" spans="1:19">
      <c r="A173" s="112">
        <f t="shared" si="46"/>
        <v>159</v>
      </c>
      <c r="B173" s="958">
        <v>39906</v>
      </c>
      <c r="C173" s="80" t="s">
        <v>447</v>
      </c>
      <c r="D173" s="364">
        <f>'[4]Gross Plant'!AF104</f>
        <v>0</v>
      </c>
      <c r="E173" s="364">
        <v>0</v>
      </c>
      <c r="F173" s="364">
        <f t="shared" si="47"/>
        <v>0</v>
      </c>
      <c r="G173" s="394">
        <f t="shared" si="48"/>
        <v>1</v>
      </c>
      <c r="H173" s="395">
        <f t="shared" si="49"/>
        <v>0.50419999999999998</v>
      </c>
      <c r="I173" s="364">
        <f t="shared" si="50"/>
        <v>0</v>
      </c>
      <c r="K173" s="364">
        <f>'[4]Gross Plant'!D104</f>
        <v>0</v>
      </c>
      <c r="L173" s="394">
        <f t="shared" si="51"/>
        <v>1</v>
      </c>
      <c r="M173" s="395">
        <f t="shared" si="52"/>
        <v>0.50419999999999998</v>
      </c>
      <c r="N173" s="364">
        <f t="shared" si="53"/>
        <v>0</v>
      </c>
      <c r="S173" s="358"/>
    </row>
    <row r="174" spans="1:19">
      <c r="A174" s="112">
        <f t="shared" si="46"/>
        <v>160</v>
      </c>
      <c r="B174" s="958">
        <v>39907</v>
      </c>
      <c r="C174" s="80" t="s">
        <v>501</v>
      </c>
      <c r="D174" s="364">
        <f>'[4]Gross Plant'!AF105</f>
        <v>78585.679999999993</v>
      </c>
      <c r="E174" s="364">
        <v>0</v>
      </c>
      <c r="F174" s="364">
        <f t="shared" si="47"/>
        <v>78585.679999999993</v>
      </c>
      <c r="G174" s="394">
        <f t="shared" si="48"/>
        <v>1</v>
      </c>
      <c r="H174" s="395">
        <f t="shared" si="49"/>
        <v>0.50419999999999998</v>
      </c>
      <c r="I174" s="364">
        <f t="shared" si="50"/>
        <v>39622.899855999996</v>
      </c>
      <c r="K174" s="364">
        <f>'[4]Gross Plant'!D105</f>
        <v>78585.679999999964</v>
      </c>
      <c r="L174" s="394">
        <f t="shared" si="51"/>
        <v>1</v>
      </c>
      <c r="M174" s="395">
        <f t="shared" si="52"/>
        <v>0.50419999999999998</v>
      </c>
      <c r="N174" s="364">
        <f t="shared" si="53"/>
        <v>39622.899855999982</v>
      </c>
      <c r="S174" s="358"/>
    </row>
    <row r="175" spans="1:19">
      <c r="A175" s="112">
        <f t="shared" si="46"/>
        <v>161</v>
      </c>
      <c r="B175" s="958">
        <v>39908</v>
      </c>
      <c r="C175" s="80" t="s">
        <v>178</v>
      </c>
      <c r="D175" s="364">
        <f>'[4]Gross Plant'!AF106</f>
        <v>237874.80999999994</v>
      </c>
      <c r="E175" s="364">
        <v>0</v>
      </c>
      <c r="F175" s="364">
        <f t="shared" si="47"/>
        <v>237874.80999999994</v>
      </c>
      <c r="G175" s="394">
        <f t="shared" si="48"/>
        <v>1</v>
      </c>
      <c r="H175" s="395">
        <f t="shared" si="49"/>
        <v>0.50419999999999998</v>
      </c>
      <c r="I175" s="364">
        <f t="shared" si="50"/>
        <v>119936.47920199996</v>
      </c>
      <c r="K175" s="364">
        <f>'[4]Gross Plant'!D106</f>
        <v>237874.81000000003</v>
      </c>
      <c r="L175" s="394">
        <f t="shared" si="51"/>
        <v>1</v>
      </c>
      <c r="M175" s="395">
        <f t="shared" si="52"/>
        <v>0.50419999999999998</v>
      </c>
      <c r="N175" s="364">
        <f t="shared" si="53"/>
        <v>119936.479202</v>
      </c>
      <c r="S175" s="358"/>
    </row>
    <row r="176" spans="1:19">
      <c r="A176" s="112">
        <f t="shared" si="46"/>
        <v>162</v>
      </c>
      <c r="B176" s="840"/>
      <c r="C176" s="80"/>
      <c r="D176" s="499"/>
      <c r="E176" s="499"/>
      <c r="F176" s="499"/>
      <c r="I176" s="499"/>
      <c r="K176" s="499"/>
      <c r="N176" s="499"/>
    </row>
    <row r="177" spans="1:19">
      <c r="A177" s="112">
        <f t="shared" si="46"/>
        <v>163</v>
      </c>
      <c r="B177" s="840"/>
      <c r="C177" s="80" t="s">
        <v>4</v>
      </c>
      <c r="D177" s="304">
        <f>SUM(D155:D176)</f>
        <v>823918.89999999979</v>
      </c>
      <c r="E177" s="304">
        <f>SUM(E155:E176)</f>
        <v>0</v>
      </c>
      <c r="F177" s="304">
        <f>SUM(F155:F176)</f>
        <v>823918.89999999979</v>
      </c>
      <c r="I177" s="304">
        <f>SUM(I155:I176)</f>
        <v>415419.90937999985</v>
      </c>
      <c r="K177" s="304">
        <f>SUM(K155:K176)</f>
        <v>804750.64076923067</v>
      </c>
      <c r="N177" s="304">
        <f>SUM(N155:N176)</f>
        <v>405755.27307584608</v>
      </c>
    </row>
    <row r="178" spans="1:19">
      <c r="A178" s="112">
        <f t="shared" si="46"/>
        <v>164</v>
      </c>
      <c r="B178" s="840"/>
      <c r="C178" s="80"/>
    </row>
    <row r="179" spans="1:19" ht="15.75" thickBot="1">
      <c r="A179" s="112">
        <f t="shared" si="46"/>
        <v>165</v>
      </c>
      <c r="B179" s="840"/>
      <c r="C179" s="205" t="s">
        <v>1271</v>
      </c>
      <c r="D179" s="1059">
        <f>D127+D152+D177</f>
        <v>2118779.8499999996</v>
      </c>
      <c r="E179" s="1059">
        <f>E127+E152+E177</f>
        <v>0</v>
      </c>
      <c r="F179" s="1059">
        <f>F127+F152+F177</f>
        <v>2118779.8499999996</v>
      </c>
      <c r="I179" s="1059">
        <f>I127+I152+I177</f>
        <v>1068288.8003699998</v>
      </c>
      <c r="K179" s="1059">
        <f>K127+K152+K177</f>
        <v>2099611.5907692304</v>
      </c>
      <c r="N179" s="1059">
        <f>N127+N152+N177</f>
        <v>1058624.164065846</v>
      </c>
    </row>
    <row r="180" spans="1:19" ht="15.75" thickTop="1">
      <c r="A180" s="112">
        <f t="shared" si="46"/>
        <v>166</v>
      </c>
      <c r="B180" s="840"/>
      <c r="C180" s="80"/>
      <c r="D180" s="287"/>
      <c r="E180" s="290"/>
      <c r="F180" s="290"/>
      <c r="I180" s="290"/>
    </row>
    <row r="181" spans="1:19">
      <c r="A181" s="112">
        <f t="shared" si="46"/>
        <v>167</v>
      </c>
      <c r="B181" s="840"/>
      <c r="C181" s="73" t="s">
        <v>1635</v>
      </c>
      <c r="D181" s="290">
        <f>'[4]Gross Plant'!$AF$219</f>
        <v>-36798.729999999778</v>
      </c>
      <c r="E181" s="290">
        <f>-D181</f>
        <v>36798.729999999778</v>
      </c>
      <c r="F181" s="290">
        <f>D181+E181</f>
        <v>0</v>
      </c>
      <c r="G181" s="394">
        <f>$G$16</f>
        <v>1</v>
      </c>
      <c r="H181" s="395">
        <f>$H$124</f>
        <v>0.50419999999999998</v>
      </c>
      <c r="I181" s="290">
        <f>F181*G181*H181</f>
        <v>0</v>
      </c>
      <c r="K181" s="290">
        <f>'[4]Gross Plant'!$D$219*0</f>
        <v>0</v>
      </c>
      <c r="L181" s="394">
        <f>G181</f>
        <v>1</v>
      </c>
      <c r="M181" s="395">
        <f>H181</f>
        <v>0.50419999999999998</v>
      </c>
      <c r="N181" s="290">
        <f>K181*L181*M181</f>
        <v>0</v>
      </c>
    </row>
    <row r="182" spans="1:19">
      <c r="A182" s="112">
        <f t="shared" si="46"/>
        <v>168</v>
      </c>
      <c r="B182" s="840"/>
    </row>
    <row r="183" spans="1:19" ht="15.75">
      <c r="A183" s="112">
        <f t="shared" si="46"/>
        <v>169</v>
      </c>
      <c r="B183" s="843" t="s">
        <v>8</v>
      </c>
    </row>
    <row r="184" spans="1:19">
      <c r="A184" s="112">
        <f t="shared" si="46"/>
        <v>170</v>
      </c>
      <c r="B184" s="840"/>
    </row>
    <row r="185" spans="1:19">
      <c r="A185" s="112">
        <f t="shared" si="46"/>
        <v>171</v>
      </c>
      <c r="B185" s="840"/>
      <c r="C185" s="500" t="s">
        <v>299</v>
      </c>
    </row>
    <row r="186" spans="1:19">
      <c r="A186" s="112">
        <f t="shared" si="46"/>
        <v>172</v>
      </c>
      <c r="B186" s="957">
        <v>39000</v>
      </c>
      <c r="C186" s="205" t="s">
        <v>848</v>
      </c>
      <c r="D186" s="290">
        <f>'[4]Gross Plant'!AF7</f>
        <v>13031590.317659751</v>
      </c>
      <c r="E186" s="304">
        <v>0</v>
      </c>
      <c r="F186" s="304">
        <f t="shared" ref="F186" si="57">D186+E186</f>
        <v>13031590.317659751</v>
      </c>
      <c r="G186" s="395">
        <f>Allocation!$C$14</f>
        <v>9.8599999999999993E-2</v>
      </c>
      <c r="H186" s="395">
        <f>Allocation!$D$14</f>
        <v>0.50419999999999998</v>
      </c>
      <c r="I186" s="304">
        <f t="shared" ref="I186:I223" si="58">F186*G186*H186</f>
        <v>647854.04484297486</v>
      </c>
      <c r="K186" s="290">
        <f>'[4]Gross Plant'!D7</f>
        <v>10693274.910112919</v>
      </c>
      <c r="L186" s="395">
        <f t="shared" ref="L186:L213" si="59">G186</f>
        <v>9.8599999999999993E-2</v>
      </c>
      <c r="M186" s="395">
        <f t="shared" ref="M186:M198" si="60">H186</f>
        <v>0.50419999999999998</v>
      </c>
      <c r="N186" s="304">
        <f t="shared" ref="N186" si="61">K186*L186*M186</f>
        <v>531606.7520743428</v>
      </c>
      <c r="P186" s="537"/>
      <c r="S186" s="358"/>
    </row>
    <row r="187" spans="1:19">
      <c r="A187" s="112">
        <f t="shared" si="46"/>
        <v>173</v>
      </c>
      <c r="B187" s="957">
        <v>39005</v>
      </c>
      <c r="C187" s="205" t="s">
        <v>1176</v>
      </c>
      <c r="D187" s="364">
        <f>'[4]Gross Plant'!AF8</f>
        <v>9187141.9700000007</v>
      </c>
      <c r="E187" s="502">
        <v>0</v>
      </c>
      <c r="F187" s="364">
        <f>D187+E187</f>
        <v>9187141.9700000007</v>
      </c>
      <c r="G187" s="395">
        <v>1</v>
      </c>
      <c r="H187" s="395">
        <f>Allocation!$E$20</f>
        <v>1.559576E-2</v>
      </c>
      <c r="I187" s="364">
        <f>F187*G187*H187</f>
        <v>143280.4612500472</v>
      </c>
      <c r="K187" s="364">
        <f>'[4]Gross Plant'!D8</f>
        <v>9187141.9700000007</v>
      </c>
      <c r="L187" s="395">
        <f>G187</f>
        <v>1</v>
      </c>
      <c r="M187" s="395">
        <f t="shared" si="60"/>
        <v>1.559576E-2</v>
      </c>
      <c r="N187" s="364">
        <f>K187*L187*M187</f>
        <v>143280.4612500472</v>
      </c>
      <c r="P187" s="537"/>
      <c r="S187" s="358"/>
    </row>
    <row r="188" spans="1:19">
      <c r="A188" s="112">
        <f t="shared" si="46"/>
        <v>174</v>
      </c>
      <c r="B188" s="957">
        <v>39009</v>
      </c>
      <c r="C188" s="205" t="s">
        <v>1020</v>
      </c>
      <c r="D188" s="364">
        <f>'[4]Gross Plant'!AF9</f>
        <v>9873726.9299999997</v>
      </c>
      <c r="E188" s="502">
        <v>0</v>
      </c>
      <c r="F188" s="364">
        <f t="shared" ref="F188:F223" si="62">D188+E188</f>
        <v>9873726.9299999997</v>
      </c>
      <c r="G188" s="395">
        <f t="shared" ref="G188:G207" si="63">$G$186</f>
        <v>9.8599999999999993E-2</v>
      </c>
      <c r="H188" s="395">
        <f>$H$186</f>
        <v>0.50419999999999998</v>
      </c>
      <c r="I188" s="364">
        <f t="shared" si="58"/>
        <v>490863.64544525155</v>
      </c>
      <c r="K188" s="364">
        <f>'[4]Gross Plant'!D9</f>
        <v>9873726.9300000034</v>
      </c>
      <c r="L188" s="395">
        <f t="shared" si="59"/>
        <v>9.8599999999999993E-2</v>
      </c>
      <c r="M188" s="395">
        <f t="shared" si="60"/>
        <v>0.50419999999999998</v>
      </c>
      <c r="N188" s="364">
        <f t="shared" ref="N188:N223" si="64">K188*L188*M188</f>
        <v>490863.64544525172</v>
      </c>
      <c r="P188" s="537"/>
      <c r="S188" s="358"/>
    </row>
    <row r="189" spans="1:19">
      <c r="A189" s="112">
        <f t="shared" si="46"/>
        <v>175</v>
      </c>
      <c r="B189" s="957">
        <v>39020</v>
      </c>
      <c r="C189" s="205" t="s">
        <v>1440</v>
      </c>
      <c r="D189" s="364">
        <f>'[4]Gross Plant'!AF10</f>
        <v>2116.08</v>
      </c>
      <c r="E189" s="502">
        <v>0</v>
      </c>
      <c r="F189" s="364">
        <f t="shared" si="62"/>
        <v>2116.08</v>
      </c>
      <c r="G189" s="395">
        <v>1</v>
      </c>
      <c r="H189" s="395">
        <f>Allocation!E22</f>
        <v>6.106367E-2</v>
      </c>
      <c r="I189" s="364">
        <f t="shared" si="58"/>
        <v>129.21561081359999</v>
      </c>
      <c r="K189" s="364">
        <f>'[4]Gross Plant'!D10</f>
        <v>2116.0800000000008</v>
      </c>
      <c r="L189" s="395">
        <v>1</v>
      </c>
      <c r="M189" s="395">
        <f t="shared" si="60"/>
        <v>6.106367E-2</v>
      </c>
      <c r="N189" s="364">
        <f t="shared" si="64"/>
        <v>129.21561081360005</v>
      </c>
      <c r="P189" s="537"/>
      <c r="S189" s="358"/>
    </row>
    <row r="190" spans="1:19">
      <c r="A190" s="112">
        <f t="shared" si="46"/>
        <v>176</v>
      </c>
      <c r="B190" s="957">
        <v>39029</v>
      </c>
      <c r="C190" s="205" t="s">
        <v>1441</v>
      </c>
      <c r="D190" s="364">
        <f>'[4]Gross Plant'!AF11</f>
        <v>31824.47</v>
      </c>
      <c r="E190" s="502">
        <v>0</v>
      </c>
      <c r="F190" s="364">
        <f t="shared" si="62"/>
        <v>31824.47</v>
      </c>
      <c r="G190" s="395">
        <v>1</v>
      </c>
      <c r="H190" s="395">
        <f>H189</f>
        <v>6.106367E-2</v>
      </c>
      <c r="I190" s="364">
        <f t="shared" si="58"/>
        <v>1943.3189340049</v>
      </c>
      <c r="K190" s="364">
        <f>'[4]Gross Plant'!D11</f>
        <v>31824.46999999999</v>
      </c>
      <c r="L190" s="395">
        <v>1</v>
      </c>
      <c r="M190" s="395">
        <f t="shared" si="60"/>
        <v>6.106367E-2</v>
      </c>
      <c r="N190" s="364">
        <f t="shared" si="64"/>
        <v>1943.3189340048993</v>
      </c>
      <c r="P190" s="537"/>
      <c r="S190" s="358"/>
    </row>
    <row r="191" spans="1:19">
      <c r="A191" s="112">
        <f t="shared" si="46"/>
        <v>177</v>
      </c>
      <c r="B191" s="957">
        <v>39100</v>
      </c>
      <c r="C191" s="205" t="s">
        <v>772</v>
      </c>
      <c r="D191" s="364">
        <f>'[4]Gross Plant'!AF12</f>
        <v>7612314.306641032</v>
      </c>
      <c r="E191" s="502">
        <v>0</v>
      </c>
      <c r="F191" s="364">
        <f t="shared" si="62"/>
        <v>7612314.306641032</v>
      </c>
      <c r="G191" s="395">
        <f t="shared" si="63"/>
        <v>9.8599999999999993E-2</v>
      </c>
      <c r="H191" s="395">
        <f>$H$186</f>
        <v>0.50419999999999998</v>
      </c>
      <c r="I191" s="364">
        <f t="shared" si="58"/>
        <v>378439.50691806903</v>
      </c>
      <c r="K191" s="364">
        <f>'[4]Gross Plant'!D12</f>
        <v>7100962.3026373964</v>
      </c>
      <c r="L191" s="395">
        <f t="shared" si="59"/>
        <v>9.8599999999999993E-2</v>
      </c>
      <c r="M191" s="395">
        <f t="shared" si="60"/>
        <v>0.50419999999999998</v>
      </c>
      <c r="N191" s="364">
        <f t="shared" si="64"/>
        <v>353018.09202879178</v>
      </c>
      <c r="P191" s="537"/>
      <c r="S191" s="358"/>
    </row>
    <row r="192" spans="1:19">
      <c r="A192" s="112">
        <f t="shared" si="46"/>
        <v>178</v>
      </c>
      <c r="B192" s="957">
        <v>39102</v>
      </c>
      <c r="C192" s="205" t="s">
        <v>522</v>
      </c>
      <c r="D192" s="364">
        <f>'[4]Gross Plant'!AF13</f>
        <v>0</v>
      </c>
      <c r="E192" s="502">
        <v>0</v>
      </c>
      <c r="F192" s="364">
        <f t="shared" si="62"/>
        <v>0</v>
      </c>
      <c r="G192" s="395">
        <f t="shared" si="63"/>
        <v>9.8599999999999993E-2</v>
      </c>
      <c r="H192" s="395">
        <f>$H$186</f>
        <v>0.50419999999999998</v>
      </c>
      <c r="I192" s="364">
        <f t="shared" si="58"/>
        <v>0</v>
      </c>
      <c r="K192" s="364">
        <f>'[4]Gross Plant'!D13</f>
        <v>0</v>
      </c>
      <c r="L192" s="395">
        <f t="shared" si="59"/>
        <v>9.8599999999999993E-2</v>
      </c>
      <c r="M192" s="395">
        <f t="shared" si="60"/>
        <v>0.50419999999999998</v>
      </c>
      <c r="N192" s="364">
        <f t="shared" si="64"/>
        <v>0</v>
      </c>
      <c r="P192" s="537"/>
      <c r="S192" s="358"/>
    </row>
    <row r="193" spans="1:19">
      <c r="A193" s="112">
        <f t="shared" si="46"/>
        <v>179</v>
      </c>
      <c r="B193" s="957">
        <v>39103</v>
      </c>
      <c r="C193" s="205" t="s">
        <v>773</v>
      </c>
      <c r="D193" s="364">
        <f>'[4]Gross Plant'!AF14</f>
        <v>0</v>
      </c>
      <c r="E193" s="502">
        <v>0</v>
      </c>
      <c r="F193" s="364">
        <f t="shared" si="62"/>
        <v>0</v>
      </c>
      <c r="G193" s="395">
        <f t="shared" si="63"/>
        <v>9.8599999999999993E-2</v>
      </c>
      <c r="H193" s="395">
        <f>$H$186</f>
        <v>0.50419999999999998</v>
      </c>
      <c r="I193" s="364">
        <f t="shared" si="58"/>
        <v>0</v>
      </c>
      <c r="K193" s="364">
        <f>'[4]Gross Plant'!D14</f>
        <v>0</v>
      </c>
      <c r="L193" s="395">
        <f t="shared" si="59"/>
        <v>9.8599999999999993E-2</v>
      </c>
      <c r="M193" s="395">
        <f t="shared" si="60"/>
        <v>0.50419999999999998</v>
      </c>
      <c r="N193" s="364">
        <f t="shared" si="64"/>
        <v>0</v>
      </c>
      <c r="P193" s="537"/>
      <c r="S193" s="358"/>
    </row>
    <row r="194" spans="1:19">
      <c r="A194" s="112">
        <f t="shared" si="46"/>
        <v>180</v>
      </c>
      <c r="B194" s="957">
        <v>39104</v>
      </c>
      <c r="C194" s="205" t="s">
        <v>1177</v>
      </c>
      <c r="D194" s="364">
        <f>'[4]Gross Plant'!AF15</f>
        <v>71036.47</v>
      </c>
      <c r="E194" s="502">
        <v>0</v>
      </c>
      <c r="F194" s="364">
        <f t="shared" si="62"/>
        <v>71036.47</v>
      </c>
      <c r="G194" s="395">
        <v>1</v>
      </c>
      <c r="H194" s="395">
        <f>$H$187</f>
        <v>1.559576E-2</v>
      </c>
      <c r="I194" s="364">
        <f t="shared" si="58"/>
        <v>1107.8677373672001</v>
      </c>
      <c r="K194" s="364">
        <f>'[4]Gross Plant'!D15</f>
        <v>71036.469999999987</v>
      </c>
      <c r="L194" s="395">
        <f>G194</f>
        <v>1</v>
      </c>
      <c r="M194" s="395">
        <f t="shared" si="60"/>
        <v>1.559576E-2</v>
      </c>
      <c r="N194" s="364">
        <f t="shared" si="64"/>
        <v>1107.8677373671999</v>
      </c>
      <c r="P194" s="537"/>
      <c r="S194" s="358"/>
    </row>
    <row r="195" spans="1:19">
      <c r="A195" s="112">
        <f t="shared" si="46"/>
        <v>181</v>
      </c>
      <c r="B195" s="957">
        <v>39120</v>
      </c>
      <c r="C195" s="205" t="s">
        <v>1442</v>
      </c>
      <c r="D195" s="364">
        <f>'[4]Gross Plant'!AF16</f>
        <v>263337.89</v>
      </c>
      <c r="E195" s="502">
        <v>0</v>
      </c>
      <c r="F195" s="364">
        <f t="shared" si="62"/>
        <v>263337.89</v>
      </c>
      <c r="G195" s="395">
        <v>1</v>
      </c>
      <c r="H195" s="395">
        <f>H190</f>
        <v>6.106367E-2</v>
      </c>
      <c r="I195" s="364">
        <f t="shared" si="58"/>
        <v>16080.3780134563</v>
      </c>
      <c r="K195" s="364">
        <f>'[4]Gross Plant'!D16</f>
        <v>263337.89000000007</v>
      </c>
      <c r="L195" s="395">
        <v>1</v>
      </c>
      <c r="M195" s="395">
        <f t="shared" si="60"/>
        <v>6.106367E-2</v>
      </c>
      <c r="N195" s="364">
        <f t="shared" si="64"/>
        <v>16080.378013456304</v>
      </c>
      <c r="P195" s="537"/>
      <c r="S195" s="358"/>
    </row>
    <row r="196" spans="1:19">
      <c r="A196" s="112">
        <f t="shared" si="46"/>
        <v>182</v>
      </c>
      <c r="B196" s="957">
        <v>39200</v>
      </c>
      <c r="C196" s="205" t="s">
        <v>1060</v>
      </c>
      <c r="D196" s="364">
        <f>'[4]Gross Plant'!AF17</f>
        <v>331174.51979924343</v>
      </c>
      <c r="E196" s="502">
        <v>0</v>
      </c>
      <c r="F196" s="364">
        <f t="shared" si="62"/>
        <v>331174.51979924343</v>
      </c>
      <c r="G196" s="395">
        <f t="shared" si="63"/>
        <v>9.8599999999999993E-2</v>
      </c>
      <c r="H196" s="395">
        <f t="shared" ref="H196:H218" si="65">$H$186</f>
        <v>0.50419999999999998</v>
      </c>
      <c r="I196" s="364">
        <f t="shared" si="58"/>
        <v>16464.049818241961</v>
      </c>
      <c r="K196" s="364">
        <f>'[4]Gross Plant'!D17</f>
        <v>325977.58351206628</v>
      </c>
      <c r="L196" s="395">
        <f t="shared" si="59"/>
        <v>9.8599999999999993E-2</v>
      </c>
      <c r="M196" s="395">
        <f t="shared" si="60"/>
        <v>0.50419999999999998</v>
      </c>
      <c r="N196" s="364">
        <f t="shared" si="64"/>
        <v>16205.688704028882</v>
      </c>
      <c r="P196" s="537"/>
      <c r="S196" s="358"/>
    </row>
    <row r="197" spans="1:19">
      <c r="A197" s="112">
        <f t="shared" si="46"/>
        <v>183</v>
      </c>
      <c r="B197" s="957">
        <v>39300</v>
      </c>
      <c r="C197" s="205" t="s">
        <v>644</v>
      </c>
      <c r="D197" s="364">
        <f>'[4]Gross Plant'!AF18</f>
        <v>0</v>
      </c>
      <c r="E197" s="502">
        <v>0</v>
      </c>
      <c r="F197" s="364">
        <f t="shared" si="62"/>
        <v>0</v>
      </c>
      <c r="G197" s="395">
        <f t="shared" si="63"/>
        <v>9.8599999999999993E-2</v>
      </c>
      <c r="H197" s="395">
        <f t="shared" si="65"/>
        <v>0.50419999999999998</v>
      </c>
      <c r="I197" s="364">
        <f t="shared" si="58"/>
        <v>0</v>
      </c>
      <c r="K197" s="364">
        <f>'[4]Gross Plant'!D18</f>
        <v>0</v>
      </c>
      <c r="L197" s="395">
        <f t="shared" si="59"/>
        <v>9.8599999999999993E-2</v>
      </c>
      <c r="M197" s="395">
        <f t="shared" si="60"/>
        <v>0.50419999999999998</v>
      </c>
      <c r="N197" s="364">
        <f t="shared" si="64"/>
        <v>0</v>
      </c>
      <c r="P197" s="537"/>
      <c r="S197" s="358"/>
    </row>
    <row r="198" spans="1:19">
      <c r="A198" s="112">
        <f t="shared" si="46"/>
        <v>184</v>
      </c>
      <c r="B198" s="957">
        <v>39400</v>
      </c>
      <c r="C198" s="205" t="s">
        <v>1019</v>
      </c>
      <c r="D198" s="364">
        <f>'[4]Gross Plant'!AF19</f>
        <v>76071.34</v>
      </c>
      <c r="E198" s="502">
        <v>0</v>
      </c>
      <c r="F198" s="364">
        <f t="shared" si="62"/>
        <v>76071.34</v>
      </c>
      <c r="G198" s="395">
        <f t="shared" si="63"/>
        <v>9.8599999999999993E-2</v>
      </c>
      <c r="H198" s="395">
        <f t="shared" si="65"/>
        <v>0.50419999999999998</v>
      </c>
      <c r="I198" s="364">
        <f t="shared" si="58"/>
        <v>3781.8197253207995</v>
      </c>
      <c r="K198" s="364">
        <f>'[4]Gross Plant'!D19</f>
        <v>76071.339999999982</v>
      </c>
      <c r="L198" s="395">
        <f t="shared" si="59"/>
        <v>9.8599999999999993E-2</v>
      </c>
      <c r="M198" s="395">
        <f t="shared" si="60"/>
        <v>0.50419999999999998</v>
      </c>
      <c r="N198" s="364">
        <f t="shared" si="64"/>
        <v>3781.8197253207986</v>
      </c>
      <c r="P198" s="537"/>
      <c r="S198" s="358"/>
    </row>
    <row r="199" spans="1:19">
      <c r="A199" s="112">
        <f t="shared" si="46"/>
        <v>185</v>
      </c>
      <c r="B199" s="957">
        <v>39420</v>
      </c>
      <c r="C199" s="205" t="s">
        <v>1443</v>
      </c>
      <c r="D199" s="364">
        <f>'[4]Gross Plant'!AF20</f>
        <v>0</v>
      </c>
      <c r="E199" s="502">
        <v>0</v>
      </c>
      <c r="F199" s="364">
        <f t="shared" si="62"/>
        <v>0</v>
      </c>
      <c r="G199" s="395">
        <v>1</v>
      </c>
      <c r="H199" s="395">
        <f>H195</f>
        <v>6.106367E-2</v>
      </c>
      <c r="I199" s="364">
        <f t="shared" si="58"/>
        <v>0</v>
      </c>
      <c r="K199" s="364">
        <f>'[4]Gross Plant'!D20</f>
        <v>0</v>
      </c>
      <c r="L199" s="395">
        <v>1</v>
      </c>
      <c r="M199" s="395">
        <f t="shared" ref="M199:M223" si="66">H199</f>
        <v>6.106367E-2</v>
      </c>
      <c r="N199" s="364">
        <f t="shared" si="64"/>
        <v>0</v>
      </c>
      <c r="P199" s="537"/>
      <c r="S199" s="358"/>
    </row>
    <row r="200" spans="1:19">
      <c r="A200" s="112">
        <f t="shared" si="46"/>
        <v>186</v>
      </c>
      <c r="B200" s="957">
        <v>39500</v>
      </c>
      <c r="C200" s="205" t="s">
        <v>1178</v>
      </c>
      <c r="D200" s="364">
        <f>'[4]Gross Plant'!AF21</f>
        <v>0</v>
      </c>
      <c r="E200" s="502">
        <v>0</v>
      </c>
      <c r="F200" s="364">
        <f t="shared" si="62"/>
        <v>0</v>
      </c>
      <c r="G200" s="395">
        <f t="shared" si="63"/>
        <v>9.8599999999999993E-2</v>
      </c>
      <c r="H200" s="395">
        <f t="shared" si="65"/>
        <v>0.50419999999999998</v>
      </c>
      <c r="I200" s="364">
        <f t="shared" si="58"/>
        <v>0</v>
      </c>
      <c r="K200" s="364">
        <f>'[4]Gross Plant'!D21</f>
        <v>0</v>
      </c>
      <c r="L200" s="395">
        <f t="shared" si="59"/>
        <v>9.8599999999999993E-2</v>
      </c>
      <c r="M200" s="395">
        <f t="shared" si="66"/>
        <v>0.50419999999999998</v>
      </c>
      <c r="N200" s="364">
        <f t="shared" si="64"/>
        <v>0</v>
      </c>
      <c r="P200" s="537"/>
      <c r="S200" s="358"/>
    </row>
    <row r="201" spans="1:19">
      <c r="A201" s="112">
        <f t="shared" si="46"/>
        <v>187</v>
      </c>
      <c r="B201" s="957">
        <v>39700</v>
      </c>
      <c r="C201" s="205" t="s">
        <v>436</v>
      </c>
      <c r="D201" s="364">
        <f>'[4]Gross Plant'!AF22</f>
        <v>406986.95347437501</v>
      </c>
      <c r="E201" s="502">
        <v>0</v>
      </c>
      <c r="F201" s="364">
        <f t="shared" si="62"/>
        <v>406986.95347437501</v>
      </c>
      <c r="G201" s="395">
        <f t="shared" si="63"/>
        <v>9.8599999999999993E-2</v>
      </c>
      <c r="H201" s="395">
        <f t="shared" si="65"/>
        <v>0.50419999999999998</v>
      </c>
      <c r="I201" s="364">
        <f t="shared" si="58"/>
        <v>20232.998243459493</v>
      </c>
      <c r="K201" s="364">
        <f>'[4]Gross Plant'!D22</f>
        <v>400192.75507852877</v>
      </c>
      <c r="L201" s="395">
        <f t="shared" si="59"/>
        <v>9.8599999999999993E-2</v>
      </c>
      <c r="M201" s="395">
        <f t="shared" si="66"/>
        <v>0.50419999999999998</v>
      </c>
      <c r="N201" s="364">
        <f t="shared" si="64"/>
        <v>19895.230649104586</v>
      </c>
      <c r="P201" s="537"/>
      <c r="S201" s="358"/>
    </row>
    <row r="202" spans="1:19">
      <c r="A202" s="112">
        <f t="shared" si="46"/>
        <v>188</v>
      </c>
      <c r="B202" s="957">
        <v>39720</v>
      </c>
      <c r="C202" s="205" t="s">
        <v>1444</v>
      </c>
      <c r="D202" s="364">
        <f>'[4]Gross Plant'!AF23</f>
        <v>8824.34</v>
      </c>
      <c r="E202" s="502">
        <v>0</v>
      </c>
      <c r="F202" s="364">
        <f t="shared" si="62"/>
        <v>8824.34</v>
      </c>
      <c r="G202" s="395">
        <v>1</v>
      </c>
      <c r="H202" s="395">
        <f>H199</f>
        <v>6.106367E-2</v>
      </c>
      <c r="I202" s="364">
        <f t="shared" si="58"/>
        <v>538.84658572780006</v>
      </c>
      <c r="K202" s="364">
        <f>'[4]Gross Plant'!D23</f>
        <v>8824.3399999999983</v>
      </c>
      <c r="L202" s="395">
        <v>1</v>
      </c>
      <c r="M202" s="395">
        <f t="shared" si="66"/>
        <v>6.106367E-2</v>
      </c>
      <c r="N202" s="364">
        <f t="shared" si="64"/>
        <v>538.84658572779995</v>
      </c>
      <c r="P202" s="537"/>
      <c r="S202" s="358"/>
    </row>
    <row r="203" spans="1:19">
      <c r="A203" s="112">
        <f t="shared" si="46"/>
        <v>189</v>
      </c>
      <c r="B203" s="957">
        <v>39800</v>
      </c>
      <c r="C203" s="205" t="s">
        <v>645</v>
      </c>
      <c r="D203" s="364">
        <f>'[4]Gross Plant'!AF24</f>
        <v>136509.51999999999</v>
      </c>
      <c r="E203" s="502">
        <v>0</v>
      </c>
      <c r="F203" s="364">
        <f t="shared" si="62"/>
        <v>136509.51999999999</v>
      </c>
      <c r="G203" s="395">
        <f t="shared" si="63"/>
        <v>9.8599999999999993E-2</v>
      </c>
      <c r="H203" s="395">
        <f t="shared" si="65"/>
        <v>0.50419999999999998</v>
      </c>
      <c r="I203" s="364">
        <f t="shared" si="58"/>
        <v>6786.4506584223991</v>
      </c>
      <c r="K203" s="364">
        <f>'[4]Gross Plant'!D24</f>
        <v>136509.51999999999</v>
      </c>
      <c r="L203" s="395">
        <f t="shared" si="59"/>
        <v>9.8599999999999993E-2</v>
      </c>
      <c r="M203" s="395">
        <f t="shared" si="66"/>
        <v>0.50419999999999998</v>
      </c>
      <c r="N203" s="364">
        <f t="shared" si="64"/>
        <v>6786.4506584223991</v>
      </c>
      <c r="P203" s="537"/>
      <c r="S203" s="358"/>
    </row>
    <row r="204" spans="1:19">
      <c r="A204" s="112">
        <f t="shared" si="46"/>
        <v>190</v>
      </c>
      <c r="B204" s="957">
        <v>39820</v>
      </c>
      <c r="C204" s="205" t="s">
        <v>1445</v>
      </c>
      <c r="D204" s="364">
        <f>'[4]Gross Plant'!AF25</f>
        <v>7388.39</v>
      </c>
      <c r="E204" s="502">
        <v>0</v>
      </c>
      <c r="F204" s="364">
        <f t="shared" si="62"/>
        <v>7388.39</v>
      </c>
      <c r="G204" s="395">
        <v>1</v>
      </c>
      <c r="H204" s="395">
        <f>H202</f>
        <v>6.106367E-2</v>
      </c>
      <c r="I204" s="364">
        <f t="shared" si="58"/>
        <v>451.16220879130003</v>
      </c>
      <c r="K204" s="364">
        <f>'[4]Gross Plant'!D25</f>
        <v>7388.39</v>
      </c>
      <c r="L204" s="395">
        <v>1</v>
      </c>
      <c r="M204" s="395">
        <f t="shared" si="66"/>
        <v>6.106367E-2</v>
      </c>
      <c r="N204" s="364">
        <f t="shared" si="64"/>
        <v>451.16220879130003</v>
      </c>
      <c r="P204" s="537"/>
      <c r="S204" s="358"/>
    </row>
    <row r="205" spans="1:19">
      <c r="A205" s="112">
        <f t="shared" si="46"/>
        <v>191</v>
      </c>
      <c r="B205" s="957">
        <v>39900</v>
      </c>
      <c r="C205" s="205" t="s">
        <v>1133</v>
      </c>
      <c r="D205" s="364">
        <f>'[4]Gross Plant'!AF26</f>
        <v>0</v>
      </c>
      <c r="E205" s="502">
        <v>0</v>
      </c>
      <c r="F205" s="364">
        <f t="shared" si="62"/>
        <v>0</v>
      </c>
      <c r="G205" s="395">
        <f t="shared" si="63"/>
        <v>9.8599999999999993E-2</v>
      </c>
      <c r="H205" s="395">
        <f t="shared" si="65"/>
        <v>0.50419999999999998</v>
      </c>
      <c r="I205" s="364">
        <f t="shared" si="58"/>
        <v>0</v>
      </c>
      <c r="K205" s="364">
        <f>'[4]Gross Plant'!D26</f>
        <v>0</v>
      </c>
      <c r="L205" s="395">
        <f t="shared" si="59"/>
        <v>9.8599999999999993E-2</v>
      </c>
      <c r="M205" s="395">
        <f t="shared" si="66"/>
        <v>0.50419999999999998</v>
      </c>
      <c r="N205" s="364">
        <f t="shared" si="64"/>
        <v>0</v>
      </c>
      <c r="P205" s="537"/>
      <c r="S205" s="358"/>
    </row>
    <row r="206" spans="1:19">
      <c r="A206" s="112">
        <f t="shared" si="46"/>
        <v>192</v>
      </c>
      <c r="B206" s="957">
        <v>39901</v>
      </c>
      <c r="C206" s="205" t="s">
        <v>470</v>
      </c>
      <c r="D206" s="364">
        <f>'[4]Gross Plant'!AF27</f>
        <v>54846085.979187392</v>
      </c>
      <c r="E206" s="502">
        <v>0</v>
      </c>
      <c r="F206" s="364">
        <f t="shared" si="62"/>
        <v>54846085.979187392</v>
      </c>
      <c r="G206" s="395">
        <f t="shared" si="63"/>
        <v>9.8599999999999993E-2</v>
      </c>
      <c r="H206" s="395">
        <f t="shared" si="65"/>
        <v>0.50419999999999998</v>
      </c>
      <c r="I206" s="364">
        <f t="shared" si="58"/>
        <v>2726624.8998996392</v>
      </c>
      <c r="K206" s="364">
        <f>'[4]Gross Plant'!D27</f>
        <v>45700408.94908046</v>
      </c>
      <c r="L206" s="395">
        <f t="shared" si="59"/>
        <v>9.8599999999999993E-2</v>
      </c>
      <c r="M206" s="395">
        <f t="shared" si="66"/>
        <v>0.50419999999999998</v>
      </c>
      <c r="N206" s="364">
        <f t="shared" si="64"/>
        <v>2271955.6145436596</v>
      </c>
      <c r="P206" s="537"/>
      <c r="S206" s="358"/>
    </row>
    <row r="207" spans="1:19">
      <c r="A207" s="112">
        <f t="shared" si="46"/>
        <v>193</v>
      </c>
      <c r="B207" s="957">
        <v>39902</v>
      </c>
      <c r="C207" s="205" t="s">
        <v>947</v>
      </c>
      <c r="D207" s="364">
        <f>'[4]Gross Plant'!AF28</f>
        <v>8475868.4777727202</v>
      </c>
      <c r="E207" s="502">
        <v>0</v>
      </c>
      <c r="F207" s="364">
        <f t="shared" si="62"/>
        <v>8475868.4777727202</v>
      </c>
      <c r="G207" s="395">
        <f t="shared" si="63"/>
        <v>9.8599999999999993E-2</v>
      </c>
      <c r="H207" s="395">
        <f t="shared" si="65"/>
        <v>0.50419999999999998</v>
      </c>
      <c r="I207" s="364">
        <f t="shared" si="58"/>
        <v>421370.34260821034</v>
      </c>
      <c r="K207" s="364">
        <f>'[4]Gross Plant'!D28</f>
        <v>8188351.2452536887</v>
      </c>
      <c r="L207" s="395">
        <f t="shared" si="59"/>
        <v>9.8599999999999993E-2</v>
      </c>
      <c r="M207" s="395">
        <f t="shared" si="66"/>
        <v>0.50419999999999998</v>
      </c>
      <c r="N207" s="364">
        <f t="shared" si="64"/>
        <v>407076.67640869127</v>
      </c>
      <c r="P207" s="537"/>
      <c r="S207" s="358"/>
    </row>
    <row r="208" spans="1:19">
      <c r="A208" s="112">
        <f t="shared" si="46"/>
        <v>194</v>
      </c>
      <c r="B208" s="957">
        <v>39903</v>
      </c>
      <c r="C208" s="205" t="s">
        <v>990</v>
      </c>
      <c r="D208" s="364">
        <f>'[4]Gross Plant'!AF29</f>
        <v>3898695.2778418721</v>
      </c>
      <c r="E208" s="502">
        <v>0</v>
      </c>
      <c r="F208" s="364">
        <f t="shared" si="62"/>
        <v>3898695.2778418721</v>
      </c>
      <c r="G208" s="395">
        <f t="shared" ref="G208:G218" si="67">$G$186</f>
        <v>9.8599999999999993E-2</v>
      </c>
      <c r="H208" s="395">
        <f t="shared" si="65"/>
        <v>0.50419999999999998</v>
      </c>
      <c r="I208" s="364">
        <f t="shared" si="58"/>
        <v>193820.20488606414</v>
      </c>
      <c r="K208" s="364">
        <f>'[4]Gross Plant'!D29</f>
        <v>3869910.3540864806</v>
      </c>
      <c r="L208" s="395">
        <f t="shared" si="59"/>
        <v>9.8599999999999993E-2</v>
      </c>
      <c r="M208" s="395">
        <f t="shared" si="66"/>
        <v>0.50419999999999998</v>
      </c>
      <c r="N208" s="364">
        <f t="shared" si="64"/>
        <v>192389.18773229775</v>
      </c>
      <c r="P208" s="537"/>
      <c r="S208" s="358"/>
    </row>
    <row r="209" spans="1:19">
      <c r="A209" s="112">
        <f t="shared" si="46"/>
        <v>195</v>
      </c>
      <c r="B209" s="957">
        <v>39904</v>
      </c>
      <c r="C209" s="205" t="s">
        <v>1158</v>
      </c>
      <c r="D209" s="364">
        <f>'[4]Gross Plant'!AF30</f>
        <v>0</v>
      </c>
      <c r="E209" s="502">
        <v>0</v>
      </c>
      <c r="F209" s="364">
        <f t="shared" si="62"/>
        <v>0</v>
      </c>
      <c r="G209" s="395">
        <f t="shared" si="67"/>
        <v>9.8599999999999993E-2</v>
      </c>
      <c r="H209" s="395">
        <f t="shared" si="65"/>
        <v>0.50419999999999998</v>
      </c>
      <c r="I209" s="364">
        <f t="shared" si="58"/>
        <v>0</v>
      </c>
      <c r="K209" s="364">
        <f>'[4]Gross Plant'!D30</f>
        <v>0</v>
      </c>
      <c r="L209" s="395">
        <f t="shared" si="59"/>
        <v>9.8599999999999993E-2</v>
      </c>
      <c r="M209" s="395">
        <f t="shared" si="66"/>
        <v>0.50419999999999998</v>
      </c>
      <c r="N209" s="364">
        <f t="shared" si="64"/>
        <v>0</v>
      </c>
      <c r="P209" s="537"/>
      <c r="S209" s="358"/>
    </row>
    <row r="210" spans="1:19">
      <c r="A210" s="112">
        <f t="shared" si="46"/>
        <v>196</v>
      </c>
      <c r="B210" s="957">
        <v>39905</v>
      </c>
      <c r="C210" s="205" t="s">
        <v>493</v>
      </c>
      <c r="D210" s="364">
        <f>'[4]Gross Plant'!AF31</f>
        <v>0</v>
      </c>
      <c r="E210" s="502">
        <v>0</v>
      </c>
      <c r="F210" s="364">
        <f t="shared" si="62"/>
        <v>0</v>
      </c>
      <c r="G210" s="395">
        <f t="shared" si="67"/>
        <v>9.8599999999999993E-2</v>
      </c>
      <c r="H210" s="395">
        <f t="shared" si="65"/>
        <v>0.50419999999999998</v>
      </c>
      <c r="I210" s="364">
        <f t="shared" si="58"/>
        <v>0</v>
      </c>
      <c r="K210" s="364">
        <f>'[4]Gross Plant'!D31</f>
        <v>0</v>
      </c>
      <c r="L210" s="395">
        <f t="shared" si="59"/>
        <v>9.8599999999999993E-2</v>
      </c>
      <c r="M210" s="395">
        <f t="shared" si="66"/>
        <v>0.50419999999999998</v>
      </c>
      <c r="N210" s="364">
        <f t="shared" si="64"/>
        <v>0</v>
      </c>
      <c r="P210" s="537"/>
      <c r="S210" s="358"/>
    </row>
    <row r="211" spans="1:19">
      <c r="A211" s="112">
        <f t="shared" si="46"/>
        <v>197</v>
      </c>
      <c r="B211" s="957">
        <v>39906</v>
      </c>
      <c r="C211" s="205" t="s">
        <v>447</v>
      </c>
      <c r="D211" s="364">
        <f>'[4]Gross Plant'!AF32</f>
        <v>6255970.8860574756</v>
      </c>
      <c r="E211" s="502">
        <v>0</v>
      </c>
      <c r="F211" s="364">
        <f t="shared" si="62"/>
        <v>6255970.8860574756</v>
      </c>
      <c r="G211" s="395">
        <f t="shared" si="67"/>
        <v>9.8599999999999993E-2</v>
      </c>
      <c r="H211" s="395">
        <f t="shared" si="65"/>
        <v>0.50419999999999998</v>
      </c>
      <c r="I211" s="364">
        <f t="shared" si="58"/>
        <v>311010.08734596765</v>
      </c>
      <c r="K211" s="364">
        <f>'[4]Gross Plant'!D32</f>
        <v>5156128.7535976414</v>
      </c>
      <c r="L211" s="395">
        <f t="shared" si="59"/>
        <v>9.8599999999999993E-2</v>
      </c>
      <c r="M211" s="395">
        <f t="shared" si="66"/>
        <v>0.50419999999999998</v>
      </c>
      <c r="N211" s="364">
        <f t="shared" si="64"/>
        <v>256332.40359180354</v>
      </c>
      <c r="P211" s="537"/>
      <c r="S211" s="358"/>
    </row>
    <row r="212" spans="1:19">
      <c r="A212" s="112">
        <f t="shared" ref="A212:A268" si="68">A211+1</f>
        <v>198</v>
      </c>
      <c r="B212" s="957">
        <v>39907</v>
      </c>
      <c r="C212" s="205" t="s">
        <v>501</v>
      </c>
      <c r="D212" s="364">
        <f>'[4]Gross Plant'!AF33</f>
        <v>1182201.3799999999</v>
      </c>
      <c r="E212" s="502">
        <v>0</v>
      </c>
      <c r="F212" s="364">
        <f t="shared" si="62"/>
        <v>1182201.3799999999</v>
      </c>
      <c r="G212" s="395">
        <f t="shared" si="67"/>
        <v>9.8599999999999993E-2</v>
      </c>
      <c r="H212" s="395">
        <f t="shared" si="65"/>
        <v>0.50419999999999998</v>
      </c>
      <c r="I212" s="364">
        <f t="shared" si="58"/>
        <v>58772.101269485589</v>
      </c>
      <c r="K212" s="364">
        <f>'[4]Gross Plant'!D33</f>
        <v>1182201.3799999994</v>
      </c>
      <c r="L212" s="395">
        <f t="shared" si="59"/>
        <v>9.8599999999999993E-2</v>
      </c>
      <c r="M212" s="395">
        <f t="shared" si="66"/>
        <v>0.50419999999999998</v>
      </c>
      <c r="N212" s="364">
        <f t="shared" si="64"/>
        <v>58772.101269485567</v>
      </c>
      <c r="P212" s="537"/>
      <c r="S212" s="358"/>
    </row>
    <row r="213" spans="1:19">
      <c r="A213" s="112">
        <f t="shared" si="68"/>
        <v>199</v>
      </c>
      <c r="B213" s="957">
        <v>39908</v>
      </c>
      <c r="C213" s="205" t="s">
        <v>178</v>
      </c>
      <c r="D213" s="364">
        <f>'[4]Gross Plant'!AF34</f>
        <v>110313667.10011797</v>
      </c>
      <c r="E213" s="502">
        <v>0</v>
      </c>
      <c r="F213" s="364">
        <f t="shared" si="62"/>
        <v>110313667.10011797</v>
      </c>
      <c r="G213" s="395">
        <f t="shared" si="67"/>
        <v>9.8599999999999993E-2</v>
      </c>
      <c r="H213" s="395">
        <f t="shared" si="65"/>
        <v>0.50419999999999998</v>
      </c>
      <c r="I213" s="364">
        <f t="shared" si="58"/>
        <v>5484146.8838553159</v>
      </c>
      <c r="K213" s="364">
        <f>'[4]Gross Plant'!D34</f>
        <v>101939114.22763841</v>
      </c>
      <c r="L213" s="395">
        <f t="shared" si="59"/>
        <v>9.8599999999999993E-2</v>
      </c>
      <c r="M213" s="395">
        <f t="shared" si="66"/>
        <v>0.50419999999999998</v>
      </c>
      <c r="N213" s="364">
        <f t="shared" si="64"/>
        <v>5067813.3574065221</v>
      </c>
      <c r="P213" s="537"/>
      <c r="S213" s="358"/>
    </row>
    <row r="214" spans="1:19">
      <c r="A214" s="112">
        <f t="shared" si="68"/>
        <v>200</v>
      </c>
      <c r="B214" s="957">
        <v>39909</v>
      </c>
      <c r="C214" s="205" t="s">
        <v>340</v>
      </c>
      <c r="D214" s="364">
        <f>'[4]Gross Plant'!AF35</f>
        <v>0</v>
      </c>
      <c r="E214" s="502">
        <v>0</v>
      </c>
      <c r="F214" s="364">
        <f t="shared" si="62"/>
        <v>0</v>
      </c>
      <c r="G214" s="395">
        <f t="shared" si="67"/>
        <v>9.8599999999999993E-2</v>
      </c>
      <c r="H214" s="395">
        <f t="shared" si="65"/>
        <v>0.50419999999999998</v>
      </c>
      <c r="I214" s="364">
        <f t="shared" si="58"/>
        <v>0</v>
      </c>
      <c r="K214" s="364">
        <f>'[4]Gross Plant'!D35</f>
        <v>0</v>
      </c>
      <c r="L214" s="395">
        <f t="shared" ref="L214:L218" si="69">G214</f>
        <v>9.8599999999999993E-2</v>
      </c>
      <c r="M214" s="395">
        <f t="shared" si="66"/>
        <v>0.50419999999999998</v>
      </c>
      <c r="N214" s="364">
        <f t="shared" si="64"/>
        <v>0</v>
      </c>
      <c r="P214" s="537"/>
      <c r="S214" s="358"/>
    </row>
    <row r="215" spans="1:19">
      <c r="A215" s="112">
        <f t="shared" si="68"/>
        <v>201</v>
      </c>
      <c r="B215" s="957">
        <v>39921</v>
      </c>
      <c r="C215" s="205" t="s">
        <v>1446</v>
      </c>
      <c r="D215" s="364">
        <f>'[4]Gross Plant'!AF36</f>
        <v>2462868.4552674289</v>
      </c>
      <c r="E215" s="502">
        <v>0</v>
      </c>
      <c r="F215" s="364">
        <f t="shared" si="62"/>
        <v>2462868.4552674289</v>
      </c>
      <c r="G215" s="395">
        <v>1</v>
      </c>
      <c r="H215" s="395">
        <f>$H$204</f>
        <v>6.106367E-2</v>
      </c>
      <c r="I215" s="364">
        <f t="shared" si="58"/>
        <v>150391.78660586005</v>
      </c>
      <c r="K215" s="364">
        <f>'[4]Gross Plant'!D36</f>
        <v>2089375.8612933806</v>
      </c>
      <c r="L215" s="395">
        <v>1</v>
      </c>
      <c r="M215" s="395">
        <f t="shared" si="66"/>
        <v>6.106367E-2</v>
      </c>
      <c r="N215" s="364">
        <f t="shared" si="64"/>
        <v>127584.95809998477</v>
      </c>
      <c r="P215" s="537"/>
      <c r="S215" s="358"/>
    </row>
    <row r="216" spans="1:19">
      <c r="A216" s="112">
        <f t="shared" si="68"/>
        <v>202</v>
      </c>
      <c r="B216" s="957">
        <v>39922</v>
      </c>
      <c r="C216" s="205" t="s">
        <v>1447</v>
      </c>
      <c r="D216" s="364">
        <f>'[4]Gross Plant'!AF37</f>
        <v>12255379.121971305</v>
      </c>
      <c r="E216" s="502">
        <v>0</v>
      </c>
      <c r="F216" s="364">
        <f t="shared" si="62"/>
        <v>12255379.121971305</v>
      </c>
      <c r="G216" s="395">
        <v>1</v>
      </c>
      <c r="H216" s="395">
        <f t="shared" ref="H216:H217" si="70">$H$204</f>
        <v>6.106367E-2</v>
      </c>
      <c r="I216" s="364">
        <f t="shared" si="58"/>
        <v>748358.4264289455</v>
      </c>
      <c r="K216" s="364">
        <f>'[4]Gross Plant'!D37</f>
        <v>10014221.798251178</v>
      </c>
      <c r="L216" s="395">
        <v>1</v>
      </c>
      <c r="M216" s="395">
        <f t="shared" si="66"/>
        <v>6.106367E-2</v>
      </c>
      <c r="N216" s="364">
        <f t="shared" si="64"/>
        <v>611505.13519521651</v>
      </c>
      <c r="P216" s="537"/>
      <c r="S216" s="358"/>
    </row>
    <row r="217" spans="1:19">
      <c r="A217" s="112">
        <f t="shared" si="68"/>
        <v>203</v>
      </c>
      <c r="B217" s="957">
        <v>39923</v>
      </c>
      <c r="C217" s="205" t="s">
        <v>1448</v>
      </c>
      <c r="D217" s="364">
        <f>'[4]Gross Plant'!AF38</f>
        <v>890236.04822343751</v>
      </c>
      <c r="E217" s="502">
        <v>0</v>
      </c>
      <c r="F217" s="364">
        <f t="shared" si="62"/>
        <v>890236.04822343751</v>
      </c>
      <c r="G217" s="395">
        <v>1</v>
      </c>
      <c r="H217" s="395">
        <f t="shared" si="70"/>
        <v>6.106367E-2</v>
      </c>
      <c r="I217" s="364">
        <f t="shared" si="58"/>
        <v>54361.080270820072</v>
      </c>
      <c r="K217" s="364">
        <f>'[4]Gross Plant'!D38</f>
        <v>658562.38575463369</v>
      </c>
      <c r="L217" s="395">
        <v>1</v>
      </c>
      <c r="M217" s="395">
        <f t="shared" si="66"/>
        <v>6.106367E-2</v>
      </c>
      <c r="N217" s="364">
        <f t="shared" si="64"/>
        <v>40214.236198133651</v>
      </c>
      <c r="P217" s="537"/>
      <c r="S217" s="358"/>
    </row>
    <row r="218" spans="1:19">
      <c r="A218" s="112">
        <f t="shared" si="68"/>
        <v>204</v>
      </c>
      <c r="B218" s="957">
        <v>39924</v>
      </c>
      <c r="C218" s="205" t="s">
        <v>1340</v>
      </c>
      <c r="D218" s="364">
        <f>'[4]Gross Plant'!AF39</f>
        <v>0</v>
      </c>
      <c r="E218" s="502">
        <v>0</v>
      </c>
      <c r="F218" s="364">
        <f t="shared" si="62"/>
        <v>0</v>
      </c>
      <c r="G218" s="395">
        <f t="shared" si="67"/>
        <v>9.8599999999999993E-2</v>
      </c>
      <c r="H218" s="395">
        <f t="shared" si="65"/>
        <v>0.50419999999999998</v>
      </c>
      <c r="I218" s="364">
        <f t="shared" si="58"/>
        <v>0</v>
      </c>
      <c r="K218" s="364">
        <f>'[4]Gross Plant'!D39</f>
        <v>0</v>
      </c>
      <c r="L218" s="395">
        <f t="shared" si="69"/>
        <v>9.8599999999999993E-2</v>
      </c>
      <c r="M218" s="395">
        <f t="shared" si="66"/>
        <v>0.50419999999999998</v>
      </c>
      <c r="N218" s="364">
        <f t="shared" si="64"/>
        <v>0</v>
      </c>
      <c r="P218" s="537"/>
      <c r="S218" s="358"/>
    </row>
    <row r="219" spans="1:19">
      <c r="A219" s="112">
        <f t="shared" si="68"/>
        <v>205</v>
      </c>
      <c r="B219" s="957">
        <v>39926</v>
      </c>
      <c r="C219" s="205" t="s">
        <v>1457</v>
      </c>
      <c r="D219" s="364">
        <f>'[4]Gross Plant'!AF40</f>
        <v>333278.76</v>
      </c>
      <c r="E219" s="502">
        <v>0</v>
      </c>
      <c r="F219" s="364">
        <f t="shared" si="62"/>
        <v>333278.76</v>
      </c>
      <c r="G219" s="395">
        <v>1</v>
      </c>
      <c r="H219" s="395">
        <f>$H$204</f>
        <v>6.106367E-2</v>
      </c>
      <c r="I219" s="364">
        <f t="shared" si="58"/>
        <v>20351.2242186492</v>
      </c>
      <c r="K219" s="364">
        <f>'[4]Gross Plant'!D40</f>
        <v>333278.75999999989</v>
      </c>
      <c r="L219" s="395">
        <v>1</v>
      </c>
      <c r="M219" s="395">
        <f t="shared" si="66"/>
        <v>6.106367E-2</v>
      </c>
      <c r="N219" s="364">
        <f t="shared" si="64"/>
        <v>20351.224218649193</v>
      </c>
      <c r="P219" s="537"/>
      <c r="S219" s="358"/>
    </row>
    <row r="220" spans="1:19">
      <c r="A220" s="112">
        <f t="shared" si="68"/>
        <v>206</v>
      </c>
      <c r="B220" s="957">
        <v>39928</v>
      </c>
      <c r="C220" s="205" t="s">
        <v>1458</v>
      </c>
      <c r="D220" s="364">
        <f>'[4]Gross Plant'!AF41</f>
        <v>34736007.434464946</v>
      </c>
      <c r="E220" s="502">
        <v>0</v>
      </c>
      <c r="F220" s="364">
        <f t="shared" si="62"/>
        <v>34736007.434464946</v>
      </c>
      <c r="G220" s="395">
        <v>1</v>
      </c>
      <c r="H220" s="395">
        <f t="shared" ref="H220" si="71">$H$204</f>
        <v>6.106367E-2</v>
      </c>
      <c r="I220" s="364">
        <f t="shared" si="58"/>
        <v>2121108.0950957141</v>
      </c>
      <c r="K220" s="364">
        <f>'[4]Gross Plant'!D41</f>
        <v>31516843.544329364</v>
      </c>
      <c r="L220" s="395">
        <v>1</v>
      </c>
      <c r="M220" s="395">
        <f t="shared" si="66"/>
        <v>6.106367E-2</v>
      </c>
      <c r="N220" s="364">
        <f t="shared" si="64"/>
        <v>1924534.1336325586</v>
      </c>
      <c r="P220" s="537"/>
      <c r="S220" s="358"/>
    </row>
    <row r="221" spans="1:19">
      <c r="A221" s="112">
        <f t="shared" si="68"/>
        <v>207</v>
      </c>
      <c r="B221" s="957">
        <v>39931</v>
      </c>
      <c r="C221" s="205" t="s">
        <v>1459</v>
      </c>
      <c r="D221" s="364">
        <f>'[4]Gross Plant'!AF42</f>
        <v>297266.61</v>
      </c>
      <c r="E221" s="502">
        <v>0</v>
      </c>
      <c r="F221" s="364">
        <f t="shared" si="62"/>
        <v>297266.61</v>
      </c>
      <c r="G221" s="395">
        <v>1</v>
      </c>
      <c r="H221" s="395">
        <f>Allocation!$E$23</f>
        <v>4.6370689999999999E-2</v>
      </c>
      <c r="I221" s="364">
        <f t="shared" si="58"/>
        <v>13784.4578196609</v>
      </c>
      <c r="K221" s="364">
        <f>'[4]Gross Plant'!D42</f>
        <v>297266.60999999993</v>
      </c>
      <c r="L221" s="395">
        <v>1</v>
      </c>
      <c r="M221" s="395">
        <f t="shared" si="66"/>
        <v>4.6370689999999999E-2</v>
      </c>
      <c r="N221" s="364">
        <f t="shared" si="64"/>
        <v>13784.457819660896</v>
      </c>
      <c r="P221" s="537"/>
      <c r="S221" s="358"/>
    </row>
    <row r="222" spans="1:19">
      <c r="A222" s="112">
        <f t="shared" si="68"/>
        <v>208</v>
      </c>
      <c r="B222" s="957">
        <v>39932</v>
      </c>
      <c r="C222" s="205" t="s">
        <v>1460</v>
      </c>
      <c r="D222" s="364">
        <f>'[4]Gross Plant'!AF43</f>
        <v>783916.61</v>
      </c>
      <c r="E222" s="502">
        <v>0</v>
      </c>
      <c r="F222" s="364">
        <f t="shared" si="62"/>
        <v>783916.61</v>
      </c>
      <c r="G222" s="395">
        <v>1</v>
      </c>
      <c r="H222" s="395">
        <f>Allocation!$E$23</f>
        <v>4.6370689999999999E-2</v>
      </c>
      <c r="I222" s="364">
        <f t="shared" si="58"/>
        <v>36350.754108160902</v>
      </c>
      <c r="K222" s="364">
        <f>'[4]Gross Plant'!D43</f>
        <v>783916.61</v>
      </c>
      <c r="L222" s="395">
        <v>1</v>
      </c>
      <c r="M222" s="395">
        <f t="shared" si="66"/>
        <v>4.6370689999999999E-2</v>
      </c>
      <c r="N222" s="364">
        <f t="shared" si="64"/>
        <v>36350.754108160902</v>
      </c>
      <c r="P222" s="537"/>
      <c r="S222" s="358"/>
    </row>
    <row r="223" spans="1:19">
      <c r="A223" s="112">
        <f t="shared" si="68"/>
        <v>209</v>
      </c>
      <c r="B223" s="957">
        <v>39938</v>
      </c>
      <c r="C223" s="205" t="s">
        <v>1461</v>
      </c>
      <c r="D223" s="364">
        <f>'[4]Gross Plant'!AF44</f>
        <v>22141974.069774859</v>
      </c>
      <c r="E223" s="502">
        <v>0</v>
      </c>
      <c r="F223" s="364">
        <f t="shared" si="62"/>
        <v>22141974.069774859</v>
      </c>
      <c r="G223" s="395">
        <v>1</v>
      </c>
      <c r="H223" s="395">
        <f>Allocation!$E$23</f>
        <v>4.6370689999999999E-2</v>
      </c>
      <c r="I223" s="364">
        <f t="shared" si="58"/>
        <v>1026738.6155775683</v>
      </c>
      <c r="K223" s="364">
        <f>'[4]Gross Plant'!D44</f>
        <v>21501470.062287454</v>
      </c>
      <c r="L223" s="395">
        <v>1</v>
      </c>
      <c r="M223" s="395">
        <f t="shared" si="66"/>
        <v>4.6370689999999999E-2</v>
      </c>
      <c r="N223" s="364">
        <f t="shared" si="64"/>
        <v>997038.00280261214</v>
      </c>
      <c r="P223" s="537"/>
      <c r="S223" s="358"/>
    </row>
    <row r="224" spans="1:19">
      <c r="A224" s="112">
        <f t="shared" si="68"/>
        <v>210</v>
      </c>
      <c r="B224" s="634"/>
      <c r="C224" s="671"/>
      <c r="D224" s="499"/>
      <c r="E224" s="499"/>
      <c r="F224" s="499"/>
      <c r="I224" s="499"/>
      <c r="K224" s="499"/>
      <c r="N224" s="499"/>
    </row>
    <row r="225" spans="1:19" ht="15.75" thickBot="1">
      <c r="A225" s="112">
        <f t="shared" si="68"/>
        <v>211</v>
      </c>
      <c r="B225" s="846"/>
      <c r="C225" s="205" t="s">
        <v>1273</v>
      </c>
      <c r="D225" s="1060">
        <f>SUM(D186:D223)</f>
        <v>299913459.7082538</v>
      </c>
      <c r="E225" s="1060">
        <f>SUM(E186:E223)</f>
        <v>0</v>
      </c>
      <c r="F225" s="1060">
        <f>SUM(F186:F223)</f>
        <v>299913459.7082538</v>
      </c>
      <c r="G225" s="825"/>
      <c r="H225" s="825"/>
      <c r="I225" s="1060">
        <f>SUM(I186:I223)</f>
        <v>15095142.72598201</v>
      </c>
      <c r="J225" s="650"/>
      <c r="K225" s="1060">
        <f>SUM(K186:K223)</f>
        <v>271409435.49291366</v>
      </c>
      <c r="L225" s="825"/>
      <c r="M225" s="825"/>
      <c r="N225" s="1060">
        <f>SUM(N186:N223)</f>
        <v>13611391.172652908</v>
      </c>
    </row>
    <row r="226" spans="1:19" ht="15.75" thickTop="1">
      <c r="A226" s="112">
        <f t="shared" si="68"/>
        <v>212</v>
      </c>
      <c r="B226" s="840"/>
      <c r="C226" s="80"/>
      <c r="D226" s="287"/>
      <c r="E226" s="290"/>
      <c r="F226" s="290"/>
      <c r="I226" s="290"/>
    </row>
    <row r="227" spans="1:19">
      <c r="A227" s="112">
        <f t="shared" si="68"/>
        <v>213</v>
      </c>
      <c r="B227" s="840"/>
      <c r="C227" s="73" t="s">
        <v>1635</v>
      </c>
      <c r="D227" s="290">
        <f>'[4]Gross Plant'!$AF$211</f>
        <v>9646514.3700000048</v>
      </c>
      <c r="E227" s="290">
        <f>-D227</f>
        <v>-9646514.3700000048</v>
      </c>
      <c r="F227" s="290">
        <f>D227+E227</f>
        <v>0</v>
      </c>
      <c r="G227" s="395">
        <f>$G$186</f>
        <v>9.8599999999999993E-2</v>
      </c>
      <c r="H227" s="395">
        <f>$H$186</f>
        <v>0.50419999999999998</v>
      </c>
      <c r="I227" s="290">
        <f>F227*G227*H227</f>
        <v>0</v>
      </c>
      <c r="K227" s="290">
        <f>'[4]Gross Plant'!$D$211*0</f>
        <v>0</v>
      </c>
      <c r="L227" s="395">
        <f>G227</f>
        <v>9.8599999999999993E-2</v>
      </c>
      <c r="M227" s="395">
        <f>H227</f>
        <v>0.50419999999999998</v>
      </c>
      <c r="N227" s="290">
        <f>K227*L227*M227</f>
        <v>0</v>
      </c>
    </row>
    <row r="228" spans="1:19">
      <c r="A228" s="112">
        <f t="shared" si="68"/>
        <v>214</v>
      </c>
      <c r="B228" s="840"/>
    </row>
    <row r="229" spans="1:19" ht="15.75">
      <c r="A229" s="112">
        <f t="shared" si="68"/>
        <v>215</v>
      </c>
      <c r="B229" s="843" t="s">
        <v>9</v>
      </c>
    </row>
    <row r="230" spans="1:19">
      <c r="A230" s="112">
        <f t="shared" si="68"/>
        <v>216</v>
      </c>
      <c r="B230" s="840"/>
    </row>
    <row r="231" spans="1:19">
      <c r="A231" s="112">
        <f t="shared" si="68"/>
        <v>217</v>
      </c>
      <c r="B231" s="846"/>
      <c r="C231" s="500" t="s">
        <v>299</v>
      </c>
    </row>
    <row r="232" spans="1:19">
      <c r="A232" s="112">
        <f t="shared" si="68"/>
        <v>218</v>
      </c>
      <c r="B232" s="957">
        <v>38900</v>
      </c>
      <c r="C232" s="205" t="s">
        <v>290</v>
      </c>
      <c r="D232" s="290">
        <f>'[4]Gross Plant'!AF50</f>
        <v>2874239.86</v>
      </c>
      <c r="E232" s="304">
        <v>0</v>
      </c>
      <c r="F232" s="304">
        <f t="shared" ref="F232:F260" si="72">D232+E232</f>
        <v>2874239.86</v>
      </c>
      <c r="G232" s="395">
        <f>Allocation!$C$15</f>
        <v>0.11020000000000001</v>
      </c>
      <c r="H232" s="395">
        <f>Allocation!$D$15</f>
        <v>0.50429999999999997</v>
      </c>
      <c r="I232" s="304">
        <f t="shared" ref="I232:I235" si="73">F232*G232*H232</f>
        <v>159732.60358605959</v>
      </c>
      <c r="K232" s="290">
        <f>'[4]Gross Plant'!D50</f>
        <v>2874239.86</v>
      </c>
      <c r="L232" s="395">
        <f t="shared" ref="L232:L255" si="74">G232</f>
        <v>0.11020000000000001</v>
      </c>
      <c r="M232" s="395">
        <f t="shared" ref="M232:M255" si="75">H232</f>
        <v>0.50429999999999997</v>
      </c>
      <c r="N232" s="304">
        <f t="shared" ref="N232:N260" si="76">K232*L232*M232</f>
        <v>159732.60358605959</v>
      </c>
      <c r="P232" s="537"/>
      <c r="S232" s="358"/>
    </row>
    <row r="233" spans="1:19">
      <c r="A233" s="112">
        <f t="shared" si="68"/>
        <v>219</v>
      </c>
      <c r="B233" s="957">
        <v>38910</v>
      </c>
      <c r="C233" s="205" t="s">
        <v>1179</v>
      </c>
      <c r="D233" s="364">
        <f>'[4]Gross Plant'!AF51</f>
        <v>1886442.92</v>
      </c>
      <c r="E233" s="364">
        <v>0</v>
      </c>
      <c r="F233" s="503">
        <f>D233+E233</f>
        <v>1886442.92</v>
      </c>
      <c r="G233" s="395">
        <v>1</v>
      </c>
      <c r="H233" s="395">
        <f>Allocation!$E$21</f>
        <v>2.4788790000000002E-2</v>
      </c>
      <c r="I233" s="364">
        <f>F233*G233*H233</f>
        <v>46762.637390866803</v>
      </c>
      <c r="K233" s="364">
        <f>'[4]Gross Plant'!D51</f>
        <v>1886442.9200000006</v>
      </c>
      <c r="L233" s="395">
        <f>G233</f>
        <v>1</v>
      </c>
      <c r="M233" s="395">
        <f>H233</f>
        <v>2.4788790000000002E-2</v>
      </c>
      <c r="N233" s="364">
        <f>K233*L233*M233</f>
        <v>46762.637390866817</v>
      </c>
      <c r="P233" s="537"/>
      <c r="S233" s="358"/>
    </row>
    <row r="234" spans="1:19">
      <c r="A234" s="112">
        <f t="shared" si="68"/>
        <v>220</v>
      </c>
      <c r="B234" s="957">
        <v>39000</v>
      </c>
      <c r="C234" s="205" t="s">
        <v>848</v>
      </c>
      <c r="D234" s="364">
        <f>'[4]Gross Plant'!AF52</f>
        <v>13325625.312547309</v>
      </c>
      <c r="E234" s="364">
        <v>0</v>
      </c>
      <c r="F234" s="503">
        <f t="shared" si="72"/>
        <v>13325625.312547309</v>
      </c>
      <c r="G234" s="395">
        <f>$G$232</f>
        <v>0.11020000000000001</v>
      </c>
      <c r="H234" s="395">
        <f>$H$232</f>
        <v>0.50429999999999997</v>
      </c>
      <c r="I234" s="364">
        <f t="shared" si="73"/>
        <v>740556.43553196033</v>
      </c>
      <c r="K234" s="364">
        <f>'[4]Gross Plant'!D52</f>
        <v>13290384.895116856</v>
      </c>
      <c r="L234" s="395">
        <f t="shared" si="74"/>
        <v>0.11020000000000001</v>
      </c>
      <c r="M234" s="395">
        <f t="shared" si="75"/>
        <v>0.50429999999999997</v>
      </c>
      <c r="N234" s="364">
        <f t="shared" si="76"/>
        <v>738597.98950733885</v>
      </c>
      <c r="P234" s="537"/>
      <c r="S234" s="358"/>
    </row>
    <row r="235" spans="1:19">
      <c r="A235" s="112">
        <f t="shared" si="68"/>
        <v>221</v>
      </c>
      <c r="B235" s="957">
        <v>39009</v>
      </c>
      <c r="C235" s="205" t="s">
        <v>1020</v>
      </c>
      <c r="D235" s="364">
        <f>'[4]Gross Plant'!AF53</f>
        <v>2820613.55</v>
      </c>
      <c r="E235" s="364">
        <v>0</v>
      </c>
      <c r="F235" s="503">
        <f t="shared" si="72"/>
        <v>2820613.55</v>
      </c>
      <c r="G235" s="395">
        <f>$G$232</f>
        <v>0.11020000000000001</v>
      </c>
      <c r="H235" s="395">
        <f>$H$232</f>
        <v>0.50429999999999997</v>
      </c>
      <c r="I235" s="364">
        <f t="shared" si="73"/>
        <v>156752.38254180297</v>
      </c>
      <c r="K235" s="364">
        <f>'[4]Gross Plant'!D53</f>
        <v>2820613.55</v>
      </c>
      <c r="L235" s="395">
        <f t="shared" si="74"/>
        <v>0.11020000000000001</v>
      </c>
      <c r="M235" s="395">
        <f t="shared" si="75"/>
        <v>0.50429999999999997</v>
      </c>
      <c r="N235" s="364">
        <f t="shared" si="76"/>
        <v>156752.38254180297</v>
      </c>
      <c r="P235" s="537"/>
      <c r="S235" s="358"/>
    </row>
    <row r="236" spans="1:19">
      <c r="A236" s="112">
        <f t="shared" si="68"/>
        <v>222</v>
      </c>
      <c r="B236" s="957">
        <v>39010</v>
      </c>
      <c r="C236" s="205" t="s">
        <v>1180</v>
      </c>
      <c r="D236" s="364">
        <f>'[4]Gross Plant'!AF54</f>
        <v>12562619.01</v>
      </c>
      <c r="E236" s="364">
        <v>0</v>
      </c>
      <c r="F236" s="503">
        <f>D236+E236</f>
        <v>12562619.01</v>
      </c>
      <c r="G236" s="395">
        <v>1</v>
      </c>
      <c r="H236" s="395">
        <f>$H$233</f>
        <v>2.4788790000000002E-2</v>
      </c>
      <c r="I236" s="364">
        <f>F236*G236*H236</f>
        <v>311412.12448889791</v>
      </c>
      <c r="K236" s="364">
        <f>'[4]Gross Plant'!D54</f>
        <v>12562619.01</v>
      </c>
      <c r="L236" s="395">
        <f>G236</f>
        <v>1</v>
      </c>
      <c r="M236" s="395">
        <f>H236</f>
        <v>2.4788790000000002E-2</v>
      </c>
      <c r="N236" s="364">
        <f>K236*L236*M236</f>
        <v>311412.12448889791</v>
      </c>
      <c r="P236" s="537"/>
      <c r="S236" s="358"/>
    </row>
    <row r="237" spans="1:19">
      <c r="A237" s="112">
        <f t="shared" si="68"/>
        <v>223</v>
      </c>
      <c r="B237" s="957">
        <v>39100</v>
      </c>
      <c r="C237" s="205" t="s">
        <v>772</v>
      </c>
      <c r="D237" s="364">
        <f>'[4]Gross Plant'!AF55</f>
        <v>2640949.96</v>
      </c>
      <c r="E237" s="364">
        <v>0</v>
      </c>
      <c r="F237" s="503">
        <f t="shared" si="72"/>
        <v>2640949.96</v>
      </c>
      <c r="G237" s="395">
        <f>$G$232</f>
        <v>0.11020000000000001</v>
      </c>
      <c r="H237" s="395">
        <f>$H$232</f>
        <v>0.50429999999999997</v>
      </c>
      <c r="I237" s="364">
        <f t="shared" ref="I237:I260" si="77">F237*G237*H237</f>
        <v>146767.7833440456</v>
      </c>
      <c r="K237" s="364">
        <f>'[4]Gross Plant'!D55</f>
        <v>2640949.9600000004</v>
      </c>
      <c r="L237" s="395">
        <f t="shared" si="74"/>
        <v>0.11020000000000001</v>
      </c>
      <c r="M237" s="395">
        <f t="shared" si="75"/>
        <v>0.50429999999999997</v>
      </c>
      <c r="N237" s="364">
        <f t="shared" si="76"/>
        <v>146767.78334404563</v>
      </c>
      <c r="P237" s="537"/>
      <c r="S237" s="358"/>
    </row>
    <row r="238" spans="1:19">
      <c r="A238" s="112">
        <f t="shared" si="68"/>
        <v>224</v>
      </c>
      <c r="B238" s="957">
        <v>39101</v>
      </c>
      <c r="C238" s="205" t="s">
        <v>1439</v>
      </c>
      <c r="D238" s="364">
        <f>'[4]Gross Plant'!AF56</f>
        <v>0</v>
      </c>
      <c r="E238" s="364">
        <v>0</v>
      </c>
      <c r="F238" s="503">
        <f t="shared" si="72"/>
        <v>0</v>
      </c>
      <c r="G238" s="395">
        <f>Allocation!$C$15</f>
        <v>0.11020000000000001</v>
      </c>
      <c r="H238" s="395">
        <f>Allocation!$D$15</f>
        <v>0.50429999999999997</v>
      </c>
      <c r="I238" s="364">
        <f t="shared" si="77"/>
        <v>0</v>
      </c>
      <c r="K238" s="364">
        <f>'[4]Gross Plant'!D56</f>
        <v>0</v>
      </c>
      <c r="L238" s="395">
        <f>Allocation!$C$15</f>
        <v>0.11020000000000001</v>
      </c>
      <c r="M238" s="395">
        <f>Allocation!$D$15</f>
        <v>0.50429999999999997</v>
      </c>
      <c r="N238" s="364">
        <f t="shared" si="76"/>
        <v>0</v>
      </c>
      <c r="P238" s="537"/>
      <c r="S238" s="358"/>
    </row>
    <row r="239" spans="1:19">
      <c r="A239" s="112">
        <f t="shared" si="68"/>
        <v>225</v>
      </c>
      <c r="B239" s="957">
        <v>39102</v>
      </c>
      <c r="C239" s="205" t="s">
        <v>1449</v>
      </c>
      <c r="D239" s="364">
        <f>'[4]Gross Plant'!AF57</f>
        <v>0</v>
      </c>
      <c r="E239" s="364">
        <v>0</v>
      </c>
      <c r="F239" s="503">
        <f t="shared" si="72"/>
        <v>0</v>
      </c>
      <c r="G239" s="395">
        <f>Allocation!$C$15</f>
        <v>0.11020000000000001</v>
      </c>
      <c r="H239" s="395">
        <f>Allocation!$D$15</f>
        <v>0.50429999999999997</v>
      </c>
      <c r="I239" s="364">
        <f t="shared" si="77"/>
        <v>0</v>
      </c>
      <c r="K239" s="364">
        <f>'[4]Gross Plant'!D57</f>
        <v>0</v>
      </c>
      <c r="L239" s="395">
        <f>Allocation!$C$15</f>
        <v>0.11020000000000001</v>
      </c>
      <c r="M239" s="395">
        <f>Allocation!$D$15</f>
        <v>0.50429999999999997</v>
      </c>
      <c r="N239" s="364">
        <f t="shared" si="76"/>
        <v>0</v>
      </c>
      <c r="P239" s="537"/>
      <c r="S239" s="358"/>
    </row>
    <row r="240" spans="1:19">
      <c r="A240" s="112">
        <f t="shared" si="68"/>
        <v>226</v>
      </c>
      <c r="B240" s="957">
        <v>39103</v>
      </c>
      <c r="C240" s="205" t="s">
        <v>1275</v>
      </c>
      <c r="D240" s="364">
        <f>'[4]Gross Plant'!AF58</f>
        <v>0</v>
      </c>
      <c r="E240" s="364">
        <v>0</v>
      </c>
      <c r="F240" s="503">
        <f t="shared" si="72"/>
        <v>0</v>
      </c>
      <c r="G240" s="395">
        <f>$G$232</f>
        <v>0.11020000000000001</v>
      </c>
      <c r="H240" s="395">
        <f>$H$232</f>
        <v>0.50429999999999997</v>
      </c>
      <c r="I240" s="364">
        <f t="shared" si="77"/>
        <v>0</v>
      </c>
      <c r="K240" s="364">
        <f>'[4]Gross Plant'!D58</f>
        <v>0</v>
      </c>
      <c r="L240" s="395">
        <f t="shared" ref="L240:L244" si="78">G240</f>
        <v>0.11020000000000001</v>
      </c>
      <c r="M240" s="395">
        <f t="shared" ref="M240:M244" si="79">H240</f>
        <v>0.50429999999999997</v>
      </c>
      <c r="N240" s="364">
        <f t="shared" si="76"/>
        <v>0</v>
      </c>
      <c r="P240" s="537"/>
      <c r="S240" s="358"/>
    </row>
    <row r="241" spans="1:19">
      <c r="A241" s="112">
        <f t="shared" si="68"/>
        <v>227</v>
      </c>
      <c r="B241" s="957">
        <v>39110</v>
      </c>
      <c r="C241" s="205" t="s">
        <v>1450</v>
      </c>
      <c r="D241" s="364">
        <f>'[4]Gross Plant'!AF59</f>
        <v>534049.43000000005</v>
      </c>
      <c r="E241" s="364">
        <v>0</v>
      </c>
      <c r="F241" s="503">
        <f t="shared" si="72"/>
        <v>534049.43000000005</v>
      </c>
      <c r="G241" s="395">
        <v>1</v>
      </c>
      <c r="H241" s="395">
        <f>Allocation!$E$21</f>
        <v>2.4788790000000002E-2</v>
      </c>
      <c r="I241" s="364">
        <f t="shared" si="77"/>
        <v>13238.439169889702</v>
      </c>
      <c r="K241" s="364">
        <f>'[4]Gross Plant'!D59</f>
        <v>534049.42999999993</v>
      </c>
      <c r="L241" s="395">
        <f t="shared" si="78"/>
        <v>1</v>
      </c>
      <c r="M241" s="395">
        <f t="shared" si="79"/>
        <v>2.4788790000000002E-2</v>
      </c>
      <c r="N241" s="364">
        <f t="shared" si="76"/>
        <v>13238.4391698897</v>
      </c>
      <c r="P241" s="537"/>
      <c r="S241" s="358"/>
    </row>
    <row r="242" spans="1:19">
      <c r="A242" s="112">
        <f t="shared" si="68"/>
        <v>228</v>
      </c>
      <c r="B242" s="957">
        <v>39210</v>
      </c>
      <c r="C242" s="205" t="s">
        <v>1451</v>
      </c>
      <c r="D242" s="364">
        <f>'[4]Gross Plant'!AF60</f>
        <v>96290.22</v>
      </c>
      <c r="E242" s="364">
        <v>0</v>
      </c>
      <c r="F242" s="503">
        <f t="shared" si="72"/>
        <v>96290.22</v>
      </c>
      <c r="G242" s="395">
        <v>1</v>
      </c>
      <c r="H242" s="395">
        <f>Allocation!$E$21</f>
        <v>2.4788790000000002E-2</v>
      </c>
      <c r="I242" s="364">
        <f t="shared" si="77"/>
        <v>2386.9180426338003</v>
      </c>
      <c r="K242" s="364">
        <f>'[4]Gross Plant'!D60</f>
        <v>96290.219999999987</v>
      </c>
      <c r="L242" s="395">
        <f t="shared" si="78"/>
        <v>1</v>
      </c>
      <c r="M242" s="395">
        <f t="shared" si="79"/>
        <v>2.4788790000000002E-2</v>
      </c>
      <c r="N242" s="364">
        <f t="shared" si="76"/>
        <v>2386.9180426337998</v>
      </c>
      <c r="P242" s="537"/>
      <c r="S242" s="358"/>
    </row>
    <row r="243" spans="1:19">
      <c r="A243" s="112">
        <f t="shared" si="68"/>
        <v>229</v>
      </c>
      <c r="B243" s="957">
        <v>39410</v>
      </c>
      <c r="C243" s="205" t="s">
        <v>1452</v>
      </c>
      <c r="D243" s="364">
        <f>'[4]Gross Plant'!AF61</f>
        <v>595549.02</v>
      </c>
      <c r="E243" s="364">
        <v>0</v>
      </c>
      <c r="F243" s="503">
        <f t="shared" si="72"/>
        <v>595549.02</v>
      </c>
      <c r="G243" s="395">
        <v>1</v>
      </c>
      <c r="H243" s="395">
        <f>Allocation!$E$21</f>
        <v>2.4788790000000002E-2</v>
      </c>
      <c r="I243" s="364">
        <f t="shared" si="77"/>
        <v>14762.939591485801</v>
      </c>
      <c r="K243" s="364">
        <f>'[4]Gross Plant'!D61</f>
        <v>595549.01999999979</v>
      </c>
      <c r="L243" s="395">
        <f t="shared" si="78"/>
        <v>1</v>
      </c>
      <c r="M243" s="395">
        <f t="shared" si="79"/>
        <v>2.4788790000000002E-2</v>
      </c>
      <c r="N243" s="364">
        <f t="shared" si="76"/>
        <v>14762.939591485796</v>
      </c>
      <c r="P243" s="537"/>
      <c r="S243" s="358"/>
    </row>
    <row r="244" spans="1:19">
      <c r="A244" s="112">
        <f t="shared" si="68"/>
        <v>230</v>
      </c>
      <c r="B244" s="957">
        <v>39510</v>
      </c>
      <c r="C244" s="205" t="s">
        <v>1453</v>
      </c>
      <c r="D244" s="364">
        <f>'[4]Gross Plant'!AF62</f>
        <v>23632.07</v>
      </c>
      <c r="E244" s="364">
        <v>0</v>
      </c>
      <c r="F244" s="503">
        <f t="shared" si="72"/>
        <v>23632.07</v>
      </c>
      <c r="G244" s="395">
        <v>1</v>
      </c>
      <c r="H244" s="395">
        <f>Allocation!$E$21</f>
        <v>2.4788790000000002E-2</v>
      </c>
      <c r="I244" s="364">
        <f t="shared" si="77"/>
        <v>585.81042049530004</v>
      </c>
      <c r="K244" s="364">
        <f>'[4]Gross Plant'!D62</f>
        <v>23632.070000000003</v>
      </c>
      <c r="L244" s="395">
        <f t="shared" si="78"/>
        <v>1</v>
      </c>
      <c r="M244" s="395">
        <f t="shared" si="79"/>
        <v>2.4788790000000002E-2</v>
      </c>
      <c r="N244" s="364">
        <f t="shared" si="76"/>
        <v>585.81042049530015</v>
      </c>
      <c r="P244" s="537"/>
      <c r="S244" s="358"/>
    </row>
    <row r="245" spans="1:19">
      <c r="A245" s="112">
        <f t="shared" si="68"/>
        <v>231</v>
      </c>
      <c r="B245" s="957">
        <v>39700</v>
      </c>
      <c r="C245" s="205" t="s">
        <v>436</v>
      </c>
      <c r="D245" s="364">
        <f>'[4]Gross Plant'!AF63</f>
        <v>1913117.11</v>
      </c>
      <c r="E245" s="364">
        <v>0</v>
      </c>
      <c r="F245" s="503">
        <f t="shared" si="72"/>
        <v>1913117.11</v>
      </c>
      <c r="G245" s="395">
        <f>$G$232</f>
        <v>0.11020000000000001</v>
      </c>
      <c r="H245" s="395">
        <f>$H$232</f>
        <v>0.50429999999999997</v>
      </c>
      <c r="I245" s="364">
        <f t="shared" si="77"/>
        <v>106319.3024347446</v>
      </c>
      <c r="K245" s="364">
        <f>'[4]Gross Plant'!D63</f>
        <v>1913117.1099999996</v>
      </c>
      <c r="L245" s="395">
        <f t="shared" si="74"/>
        <v>0.11020000000000001</v>
      </c>
      <c r="M245" s="395">
        <f t="shared" si="75"/>
        <v>0.50429999999999997</v>
      </c>
      <c r="N245" s="364">
        <f t="shared" si="76"/>
        <v>106319.30243474458</v>
      </c>
      <c r="P245" s="537"/>
      <c r="S245" s="358"/>
    </row>
    <row r="246" spans="1:19">
      <c r="A246" s="112">
        <f t="shared" si="68"/>
        <v>232</v>
      </c>
      <c r="B246" s="957">
        <v>39710</v>
      </c>
      <c r="C246" s="205" t="s">
        <v>1181</v>
      </c>
      <c r="D246" s="364">
        <f>'[4]Gross Plant'!AF64</f>
        <v>327905.48</v>
      </c>
      <c r="E246" s="364">
        <v>0</v>
      </c>
      <c r="F246" s="503">
        <f t="shared" si="72"/>
        <v>327905.48</v>
      </c>
      <c r="G246" s="395">
        <v>1</v>
      </c>
      <c r="H246" s="395">
        <f>$H$233</f>
        <v>2.4788790000000002E-2</v>
      </c>
      <c r="I246" s="364">
        <f t="shared" si="77"/>
        <v>8128.3800835692</v>
      </c>
      <c r="K246" s="364">
        <f>'[4]Gross Plant'!D64</f>
        <v>327905.48000000004</v>
      </c>
      <c r="L246" s="395">
        <f>G246</f>
        <v>1</v>
      </c>
      <c r="M246" s="395">
        <f>H246</f>
        <v>2.4788790000000002E-2</v>
      </c>
      <c r="N246" s="364">
        <f t="shared" si="76"/>
        <v>8128.3800835692018</v>
      </c>
      <c r="P246" s="537"/>
      <c r="S246" s="358"/>
    </row>
    <row r="247" spans="1:19">
      <c r="A247" s="112">
        <f t="shared" si="68"/>
        <v>233</v>
      </c>
      <c r="B247" s="957">
        <v>39800</v>
      </c>
      <c r="C247" s="205" t="s">
        <v>645</v>
      </c>
      <c r="D247" s="364">
        <f>'[4]Gross Plant'!AF65</f>
        <v>71376.73</v>
      </c>
      <c r="E247" s="364">
        <v>0</v>
      </c>
      <c r="F247" s="503">
        <f t="shared" si="72"/>
        <v>71376.73</v>
      </c>
      <c r="G247" s="395">
        <f t="shared" ref="G247:G255" si="80">$G$232</f>
        <v>0.11020000000000001</v>
      </c>
      <c r="H247" s="395">
        <f t="shared" ref="H247:H255" si="81">$H$232</f>
        <v>0.50429999999999997</v>
      </c>
      <c r="I247" s="364">
        <f t="shared" si="77"/>
        <v>3966.6804002777994</v>
      </c>
      <c r="K247" s="364">
        <f>'[4]Gross Plant'!D65</f>
        <v>71376.73</v>
      </c>
      <c r="L247" s="395">
        <f t="shared" si="74"/>
        <v>0.11020000000000001</v>
      </c>
      <c r="M247" s="395">
        <f t="shared" si="75"/>
        <v>0.50429999999999997</v>
      </c>
      <c r="N247" s="364">
        <f t="shared" si="76"/>
        <v>3966.6804002777994</v>
      </c>
      <c r="P247" s="537"/>
      <c r="S247" s="358"/>
    </row>
    <row r="248" spans="1:19">
      <c r="A248" s="112">
        <f t="shared" si="68"/>
        <v>234</v>
      </c>
      <c r="B248" s="957">
        <v>39810</v>
      </c>
      <c r="C248" s="205" t="s">
        <v>1454</v>
      </c>
      <c r="D248" s="364">
        <f>'[4]Gross Plant'!AF66</f>
        <v>545395.62</v>
      </c>
      <c r="E248" s="364">
        <v>0</v>
      </c>
      <c r="F248" s="503">
        <f t="shared" si="72"/>
        <v>545395.62</v>
      </c>
      <c r="G248" s="395">
        <v>1</v>
      </c>
      <c r="H248" s="395">
        <f>Allocation!$E$21</f>
        <v>2.4788790000000002E-2</v>
      </c>
      <c r="I248" s="364">
        <f t="shared" si="77"/>
        <v>13519.697491099801</v>
      </c>
      <c r="K248" s="364">
        <f>'[4]Gross Plant'!D66</f>
        <v>545395.62</v>
      </c>
      <c r="L248" s="395">
        <f t="shared" si="74"/>
        <v>1</v>
      </c>
      <c r="M248" s="395">
        <f t="shared" si="75"/>
        <v>2.4788790000000002E-2</v>
      </c>
      <c r="N248" s="364">
        <f t="shared" si="76"/>
        <v>13519.697491099801</v>
      </c>
      <c r="P248" s="537"/>
      <c r="S248" s="358"/>
    </row>
    <row r="249" spans="1:19">
      <c r="A249" s="112">
        <f t="shared" si="68"/>
        <v>235</v>
      </c>
      <c r="B249" s="957">
        <v>39900</v>
      </c>
      <c r="C249" s="205" t="s">
        <v>1133</v>
      </c>
      <c r="D249" s="364">
        <f>'[4]Gross Plant'!AF67</f>
        <v>0</v>
      </c>
      <c r="E249" s="364">
        <v>0</v>
      </c>
      <c r="F249" s="503">
        <f t="shared" si="72"/>
        <v>0</v>
      </c>
      <c r="G249" s="395">
        <f t="shared" si="80"/>
        <v>0.11020000000000001</v>
      </c>
      <c r="H249" s="395">
        <f t="shared" si="81"/>
        <v>0.50429999999999997</v>
      </c>
      <c r="I249" s="364">
        <f t="shared" si="77"/>
        <v>0</v>
      </c>
      <c r="K249" s="364">
        <f>'[4]Gross Plant'!D67</f>
        <v>0</v>
      </c>
      <c r="L249" s="395">
        <f t="shared" si="74"/>
        <v>0.11020000000000001</v>
      </c>
      <c r="M249" s="395">
        <f t="shared" si="75"/>
        <v>0.50429999999999997</v>
      </c>
      <c r="N249" s="364">
        <f t="shared" si="76"/>
        <v>0</v>
      </c>
      <c r="P249" s="537"/>
      <c r="S249" s="358"/>
    </row>
    <row r="250" spans="1:19">
      <c r="A250" s="112">
        <f t="shared" si="68"/>
        <v>236</v>
      </c>
      <c r="B250" s="957">
        <v>39901</v>
      </c>
      <c r="C250" s="205" t="s">
        <v>470</v>
      </c>
      <c r="D250" s="364">
        <f>'[4]Gross Plant'!AF68</f>
        <v>10267916.010512277</v>
      </c>
      <c r="E250" s="364">
        <v>0</v>
      </c>
      <c r="F250" s="503">
        <f t="shared" si="72"/>
        <v>10267916.010512277</v>
      </c>
      <c r="G250" s="395">
        <f t="shared" si="80"/>
        <v>0.11020000000000001</v>
      </c>
      <c r="H250" s="395">
        <f t="shared" si="81"/>
        <v>0.50429999999999997</v>
      </c>
      <c r="I250" s="364">
        <f t="shared" si="77"/>
        <v>570627.72685996781</v>
      </c>
      <c r="K250" s="364">
        <f>'[4]Gross Plant'!D68</f>
        <v>10170923.932946468</v>
      </c>
      <c r="L250" s="395">
        <f t="shared" si="74"/>
        <v>0.11020000000000001</v>
      </c>
      <c r="M250" s="395">
        <f t="shared" si="75"/>
        <v>0.50429999999999997</v>
      </c>
      <c r="N250" s="364">
        <f t="shared" si="76"/>
        <v>565237.50272021629</v>
      </c>
      <c r="P250" s="537"/>
      <c r="S250" s="358"/>
    </row>
    <row r="251" spans="1:19">
      <c r="A251" s="112">
        <f t="shared" si="68"/>
        <v>237</v>
      </c>
      <c r="B251" s="957">
        <v>39902</v>
      </c>
      <c r="C251" s="205" t="s">
        <v>947</v>
      </c>
      <c r="D251" s="364">
        <f>'[4]Gross Plant'!AF69</f>
        <v>2208691.44</v>
      </c>
      <c r="E251" s="364">
        <v>0</v>
      </c>
      <c r="F251" s="503">
        <f t="shared" si="72"/>
        <v>2208691.44</v>
      </c>
      <c r="G251" s="395">
        <f t="shared" si="80"/>
        <v>0.11020000000000001</v>
      </c>
      <c r="H251" s="395">
        <f t="shared" si="81"/>
        <v>0.50429999999999997</v>
      </c>
      <c r="I251" s="364">
        <f t="shared" si="77"/>
        <v>122745.5088697584</v>
      </c>
      <c r="K251" s="364">
        <f>'[4]Gross Plant'!D69</f>
        <v>2208691.4400000004</v>
      </c>
      <c r="L251" s="395">
        <f t="shared" si="74"/>
        <v>0.11020000000000001</v>
      </c>
      <c r="M251" s="395">
        <f t="shared" si="75"/>
        <v>0.50429999999999997</v>
      </c>
      <c r="N251" s="364">
        <f t="shared" si="76"/>
        <v>122745.50886975843</v>
      </c>
      <c r="P251" s="537"/>
      <c r="S251" s="358"/>
    </row>
    <row r="252" spans="1:19">
      <c r="A252" s="112">
        <f t="shared" si="68"/>
        <v>238</v>
      </c>
      <c r="B252" s="957">
        <v>39903</v>
      </c>
      <c r="C252" s="205" t="s">
        <v>990</v>
      </c>
      <c r="D252" s="364">
        <f>'[4]Gross Plant'!AF70</f>
        <v>338087.79</v>
      </c>
      <c r="E252" s="364">
        <v>0</v>
      </c>
      <c r="F252" s="503">
        <f t="shared" si="72"/>
        <v>338087.79</v>
      </c>
      <c r="G252" s="395">
        <f t="shared" si="80"/>
        <v>0.11020000000000001</v>
      </c>
      <c r="H252" s="395">
        <f t="shared" si="81"/>
        <v>0.50429999999999997</v>
      </c>
      <c r="I252" s="364">
        <f t="shared" si="77"/>
        <v>18788.843509169397</v>
      </c>
      <c r="K252" s="364">
        <f>'[4]Gross Plant'!D70</f>
        <v>338087.79</v>
      </c>
      <c r="L252" s="395">
        <f t="shared" si="74"/>
        <v>0.11020000000000001</v>
      </c>
      <c r="M252" s="395">
        <f t="shared" si="75"/>
        <v>0.50429999999999997</v>
      </c>
      <c r="N252" s="364">
        <f t="shared" si="76"/>
        <v>18788.843509169397</v>
      </c>
      <c r="P252" s="537"/>
      <c r="S252" s="358"/>
    </row>
    <row r="253" spans="1:19">
      <c r="A253" s="112">
        <f t="shared" si="68"/>
        <v>239</v>
      </c>
      <c r="B253" s="957">
        <v>39906</v>
      </c>
      <c r="C253" s="205" t="s">
        <v>447</v>
      </c>
      <c r="D253" s="364">
        <f>'[4]Gross Plant'!AF71</f>
        <v>1642709.0990234707</v>
      </c>
      <c r="E253" s="364">
        <v>0</v>
      </c>
      <c r="F253" s="503">
        <f t="shared" si="72"/>
        <v>1642709.0990234707</v>
      </c>
      <c r="G253" s="395">
        <f t="shared" si="80"/>
        <v>0.11020000000000001</v>
      </c>
      <c r="H253" s="395">
        <f t="shared" si="81"/>
        <v>0.50429999999999997</v>
      </c>
      <c r="I253" s="364">
        <f t="shared" si="77"/>
        <v>91291.685489856492</v>
      </c>
      <c r="K253" s="364">
        <f>'[4]Gross Plant'!D71</f>
        <v>1352730.9251759718</v>
      </c>
      <c r="L253" s="395">
        <f t="shared" si="74"/>
        <v>0.11020000000000001</v>
      </c>
      <c r="M253" s="395">
        <f t="shared" si="75"/>
        <v>0.50429999999999997</v>
      </c>
      <c r="N253" s="364">
        <f t="shared" si="76"/>
        <v>75176.479053399933</v>
      </c>
      <c r="P253" s="537"/>
      <c r="S253" s="358"/>
    </row>
    <row r="254" spans="1:19">
      <c r="A254" s="112">
        <f t="shared" si="68"/>
        <v>240</v>
      </c>
      <c r="B254" s="957">
        <v>39907</v>
      </c>
      <c r="C254" s="205" t="s">
        <v>501</v>
      </c>
      <c r="D254" s="364">
        <f>'[4]Gross Plant'!AF72</f>
        <v>0</v>
      </c>
      <c r="E254" s="364">
        <v>0</v>
      </c>
      <c r="F254" s="503">
        <f t="shared" si="72"/>
        <v>0</v>
      </c>
      <c r="G254" s="395">
        <f t="shared" si="80"/>
        <v>0.11020000000000001</v>
      </c>
      <c r="H254" s="395">
        <f t="shared" si="81"/>
        <v>0.50429999999999997</v>
      </c>
      <c r="I254" s="364">
        <f t="shared" si="77"/>
        <v>0</v>
      </c>
      <c r="K254" s="364">
        <f>'[4]Gross Plant'!D72</f>
        <v>0</v>
      </c>
      <c r="L254" s="395">
        <f t="shared" si="74"/>
        <v>0.11020000000000001</v>
      </c>
      <c r="M254" s="395">
        <f t="shared" si="75"/>
        <v>0.50429999999999997</v>
      </c>
      <c r="N254" s="364">
        <f t="shared" si="76"/>
        <v>0</v>
      </c>
      <c r="P254" s="537"/>
      <c r="S254" s="358"/>
    </row>
    <row r="255" spans="1:19">
      <c r="A255" s="112">
        <f t="shared" si="68"/>
        <v>241</v>
      </c>
      <c r="B255" s="957">
        <v>39908</v>
      </c>
      <c r="C255" s="205" t="s">
        <v>178</v>
      </c>
      <c r="D255" s="364">
        <f>'[4]Gross Plant'!AF73</f>
        <v>100082967.53791699</v>
      </c>
      <c r="E255" s="364">
        <v>0</v>
      </c>
      <c r="F255" s="503">
        <f t="shared" si="72"/>
        <v>100082967.53791699</v>
      </c>
      <c r="G255" s="395">
        <f t="shared" si="80"/>
        <v>0.11020000000000001</v>
      </c>
      <c r="H255" s="395">
        <f t="shared" si="81"/>
        <v>0.50429999999999997</v>
      </c>
      <c r="I255" s="364">
        <f t="shared" si="77"/>
        <v>5561996.8263367433</v>
      </c>
      <c r="K255" s="364">
        <f>'[4]Gross Plant'!D73</f>
        <v>99397820.40599148</v>
      </c>
      <c r="L255" s="395">
        <f t="shared" si="74"/>
        <v>0.11020000000000001</v>
      </c>
      <c r="M255" s="395">
        <f t="shared" si="75"/>
        <v>0.50429999999999997</v>
      </c>
      <c r="N255" s="364">
        <f t="shared" si="76"/>
        <v>5523920.5555477142</v>
      </c>
      <c r="P255" s="537"/>
      <c r="S255" s="358"/>
    </row>
    <row r="256" spans="1:19">
      <c r="A256" s="112">
        <f t="shared" si="68"/>
        <v>242</v>
      </c>
      <c r="B256" s="957">
        <v>39910</v>
      </c>
      <c r="C256" s="205" t="s">
        <v>1182</v>
      </c>
      <c r="D256" s="364">
        <f>'[4]Gross Plant'!AF74</f>
        <v>301110.64</v>
      </c>
      <c r="E256" s="364">
        <v>0</v>
      </c>
      <c r="F256" s="503">
        <f t="shared" si="72"/>
        <v>301110.64</v>
      </c>
      <c r="G256" s="395">
        <v>1</v>
      </c>
      <c r="H256" s="395">
        <f>$H$233</f>
        <v>2.4788790000000002E-2</v>
      </c>
      <c r="I256" s="364">
        <f t="shared" si="77"/>
        <v>7464.1684217256006</v>
      </c>
      <c r="K256" s="364">
        <f>'[4]Gross Plant'!D74</f>
        <v>301110.64000000007</v>
      </c>
      <c r="L256" s="395">
        <f t="shared" ref="L256:M258" si="82">G256</f>
        <v>1</v>
      </c>
      <c r="M256" s="395">
        <f t="shared" si="82"/>
        <v>2.4788790000000002E-2</v>
      </c>
      <c r="N256" s="364">
        <f t="shared" si="76"/>
        <v>7464.1684217256025</v>
      </c>
      <c r="P256" s="537"/>
      <c r="S256" s="358"/>
    </row>
    <row r="257" spans="1:19">
      <c r="A257" s="112">
        <f t="shared" si="68"/>
        <v>243</v>
      </c>
      <c r="B257" s="957">
        <v>39916</v>
      </c>
      <c r="C257" s="72" t="s">
        <v>1183</v>
      </c>
      <c r="D257" s="364">
        <f>'[4]Gross Plant'!AF75</f>
        <v>72356.72</v>
      </c>
      <c r="E257" s="364">
        <v>0</v>
      </c>
      <c r="F257" s="503">
        <f t="shared" si="72"/>
        <v>72356.72</v>
      </c>
      <c r="G257" s="395">
        <v>1</v>
      </c>
      <c r="H257" s="395">
        <f>$H$233</f>
        <v>2.4788790000000002E-2</v>
      </c>
      <c r="I257" s="364">
        <f t="shared" si="77"/>
        <v>1793.6355371688001</v>
      </c>
      <c r="K257" s="364">
        <f>'[4]Gross Plant'!D75</f>
        <v>72356.719999999987</v>
      </c>
      <c r="L257" s="395">
        <f t="shared" si="82"/>
        <v>1</v>
      </c>
      <c r="M257" s="395">
        <f t="shared" si="82"/>
        <v>2.4788790000000002E-2</v>
      </c>
      <c r="N257" s="364">
        <f t="shared" si="76"/>
        <v>1793.6355371687998</v>
      </c>
      <c r="P257" s="537"/>
      <c r="S257" s="358"/>
    </row>
    <row r="258" spans="1:19">
      <c r="A258" s="112">
        <f t="shared" si="68"/>
        <v>244</v>
      </c>
      <c r="B258" s="957">
        <v>39917</v>
      </c>
      <c r="C258" s="72" t="s">
        <v>1184</v>
      </c>
      <c r="D258" s="364">
        <f>'[4]Gross Plant'!AF76</f>
        <v>3299.04</v>
      </c>
      <c r="E258" s="364">
        <v>0</v>
      </c>
      <c r="F258" s="503">
        <f t="shared" si="72"/>
        <v>3299.04</v>
      </c>
      <c r="G258" s="395">
        <v>1</v>
      </c>
      <c r="H258" s="395">
        <f>$H$233</f>
        <v>2.4788790000000002E-2</v>
      </c>
      <c r="I258" s="364">
        <f t="shared" si="77"/>
        <v>81.779209761600001</v>
      </c>
      <c r="K258" s="364">
        <f>'[4]Gross Plant'!D76</f>
        <v>3299.0400000000004</v>
      </c>
      <c r="L258" s="395">
        <f t="shared" si="82"/>
        <v>1</v>
      </c>
      <c r="M258" s="395">
        <f t="shared" si="82"/>
        <v>2.4788790000000002E-2</v>
      </c>
      <c r="N258" s="364">
        <f t="shared" si="76"/>
        <v>81.779209761600015</v>
      </c>
      <c r="P258" s="537"/>
      <c r="S258" s="358"/>
    </row>
    <row r="259" spans="1:19">
      <c r="A259" s="112">
        <f t="shared" si="68"/>
        <v>245</v>
      </c>
      <c r="B259" s="957">
        <v>39918</v>
      </c>
      <c r="C259" s="72" t="s">
        <v>1455</v>
      </c>
      <c r="D259" s="364">
        <f>'[4]Gross Plant'!AF77</f>
        <v>0</v>
      </c>
      <c r="E259" s="364">
        <v>0</v>
      </c>
      <c r="F259" s="503">
        <f t="shared" si="72"/>
        <v>0</v>
      </c>
      <c r="G259" s="395">
        <v>1</v>
      </c>
      <c r="H259" s="395">
        <f>Allocation!$E$21</f>
        <v>2.4788790000000002E-2</v>
      </c>
      <c r="I259" s="364">
        <f t="shared" si="77"/>
        <v>0</v>
      </c>
      <c r="K259" s="364">
        <f>'[4]Gross Plant'!D77</f>
        <v>0</v>
      </c>
      <c r="L259" s="395">
        <f t="shared" ref="L259" si="83">G259</f>
        <v>1</v>
      </c>
      <c r="M259" s="395">
        <f t="shared" ref="M259" si="84">H259</f>
        <v>2.4788790000000002E-2</v>
      </c>
      <c r="N259" s="364">
        <f t="shared" si="76"/>
        <v>0</v>
      </c>
      <c r="P259" s="537"/>
      <c r="S259" s="358"/>
    </row>
    <row r="260" spans="1:19">
      <c r="A260" s="112">
        <f t="shared" si="68"/>
        <v>246</v>
      </c>
      <c r="B260" s="957">
        <v>39924</v>
      </c>
      <c r="C260" s="72" t="s">
        <v>1456</v>
      </c>
      <c r="D260" s="364">
        <f>'[4]Gross Plant'!AF78</f>
        <v>0</v>
      </c>
      <c r="E260" s="364">
        <v>0</v>
      </c>
      <c r="F260" s="503">
        <f t="shared" si="72"/>
        <v>0</v>
      </c>
      <c r="G260" s="395">
        <f>Allocation!$C$15</f>
        <v>0.11020000000000001</v>
      </c>
      <c r="H260" s="395">
        <f>Allocation!$D$15</f>
        <v>0.50429999999999997</v>
      </c>
      <c r="I260" s="364">
        <f t="shared" si="77"/>
        <v>0</v>
      </c>
      <c r="K260" s="364">
        <f>'[4]Gross Plant'!D78</f>
        <v>0</v>
      </c>
      <c r="L260" s="395">
        <f>Allocation!$C$15</f>
        <v>0.11020000000000001</v>
      </c>
      <c r="M260" s="395">
        <f>Allocation!$D$15</f>
        <v>0.50429999999999997</v>
      </c>
      <c r="N260" s="364">
        <f t="shared" si="76"/>
        <v>0</v>
      </c>
      <c r="P260" s="537"/>
      <c r="S260" s="358"/>
    </row>
    <row r="261" spans="1:19">
      <c r="A261" s="112">
        <f t="shared" si="68"/>
        <v>247</v>
      </c>
      <c r="B261" s="73"/>
      <c r="C261" s="205"/>
      <c r="D261" s="499"/>
      <c r="E261" s="499"/>
      <c r="F261" s="499"/>
      <c r="I261" s="499"/>
      <c r="K261" s="499"/>
      <c r="N261" s="499"/>
    </row>
    <row r="262" spans="1:19" ht="15.75" thickBot="1">
      <c r="A262" s="112">
        <f t="shared" si="68"/>
        <v>248</v>
      </c>
      <c r="B262" s="73"/>
      <c r="C262" s="205" t="s">
        <v>1274</v>
      </c>
      <c r="D262" s="1060">
        <f>SUM(D232:D260)</f>
        <v>155134944.56999999</v>
      </c>
      <c r="E262" s="1060">
        <f>SUM(E232:E260)</f>
        <v>0</v>
      </c>
      <c r="F262" s="1060">
        <f>SUM(F232:F260)</f>
        <v>155134944.56999999</v>
      </c>
      <c r="G262" s="825"/>
      <c r="H262" s="825"/>
      <c r="I262" s="1060">
        <f>SUM(I232:I260)</f>
        <v>8099682.3087519808</v>
      </c>
      <c r="J262" s="650"/>
      <c r="K262" s="1060">
        <f>SUM(K232:K260)</f>
        <v>154027586.76923072</v>
      </c>
      <c r="L262" s="825"/>
      <c r="M262" s="825"/>
      <c r="N262" s="1060">
        <f>SUM(N232:N260)</f>
        <v>8038142.1613621227</v>
      </c>
    </row>
    <row r="263" spans="1:19" ht="15.75" thickTop="1">
      <c r="A263" s="112">
        <f t="shared" si="68"/>
        <v>249</v>
      </c>
      <c r="B263" s="73"/>
      <c r="C263" s="80"/>
      <c r="D263" s="290"/>
      <c r="E263" s="290"/>
      <c r="F263" s="290"/>
      <c r="I263" s="290"/>
      <c r="K263" s="290"/>
      <c r="N263" s="290"/>
    </row>
    <row r="264" spans="1:19">
      <c r="A264" s="112">
        <f t="shared" si="68"/>
        <v>250</v>
      </c>
      <c r="B264" s="73"/>
      <c r="C264" s="73" t="s">
        <v>1635</v>
      </c>
      <c r="D264" s="290">
        <f>'[4]Gross Plant'!$AF$215</f>
        <v>463343.83999999997</v>
      </c>
      <c r="E264" s="290">
        <f>-D264</f>
        <v>-463343.83999999997</v>
      </c>
      <c r="F264" s="290">
        <f>D264+E264</f>
        <v>0</v>
      </c>
      <c r="G264" s="395">
        <f>$G$232</f>
        <v>0.11020000000000001</v>
      </c>
      <c r="H264" s="395">
        <f>$H$232</f>
        <v>0.50429999999999997</v>
      </c>
      <c r="I264" s="290">
        <f>F264*G264*H264</f>
        <v>0</v>
      </c>
      <c r="K264" s="290">
        <f>'[4]Gross Plant'!$D$215*0</f>
        <v>0</v>
      </c>
      <c r="L264" s="395">
        <f>G264</f>
        <v>0.11020000000000001</v>
      </c>
      <c r="M264" s="395">
        <f>H264</f>
        <v>0.50429999999999997</v>
      </c>
      <c r="N264" s="290">
        <f>K264*L264*M264</f>
        <v>0</v>
      </c>
    </row>
    <row r="265" spans="1:19">
      <c r="A265" s="112">
        <f t="shared" si="68"/>
        <v>251</v>
      </c>
    </row>
    <row r="266" spans="1:19" ht="15.75" thickBot="1">
      <c r="A266" s="112">
        <f t="shared" si="68"/>
        <v>252</v>
      </c>
      <c r="C266" s="80" t="s">
        <v>742</v>
      </c>
      <c r="D266" s="1060">
        <f>D262+D225+D179+D117</f>
        <v>1321672781.8796387</v>
      </c>
      <c r="E266" s="1060">
        <f>E262+E225+E179+E117</f>
        <v>0</v>
      </c>
      <c r="F266" s="1060">
        <f>F262+F225+F179+F117</f>
        <v>1321672781.8796387</v>
      </c>
      <c r="I266" s="1060">
        <f>I262+I225+I179+I117</f>
        <v>888768711.58648896</v>
      </c>
      <c r="K266" s="1060">
        <f>K262+K225+K179+K117</f>
        <v>1274523332.3158445</v>
      </c>
      <c r="N266" s="1060">
        <f>N262+N225+N179+N117</f>
        <v>869694855.96101165</v>
      </c>
      <c r="P266" s="544"/>
    </row>
    <row r="267" spans="1:19" ht="15.75" thickTop="1">
      <c r="A267" s="112">
        <f t="shared" si="68"/>
        <v>253</v>
      </c>
    </row>
    <row r="268" spans="1:19" ht="30.75" thickBot="1">
      <c r="A268" s="112">
        <f t="shared" si="68"/>
        <v>254</v>
      </c>
      <c r="C268" s="496" t="s">
        <v>5</v>
      </c>
      <c r="D268" s="1060">
        <f>D264+D227+D181+D119</f>
        <v>18200242.140000004</v>
      </c>
      <c r="E268" s="1060">
        <f>E264+E227+E181+E119</f>
        <v>-18200242.140000004</v>
      </c>
      <c r="F268" s="1060">
        <f>F264+F227+F181+F119</f>
        <v>0</v>
      </c>
      <c r="I268" s="1060">
        <f>I264+I227+I181+I119</f>
        <v>0</v>
      </c>
      <c r="K268" s="1060">
        <f>K264+K227+K181+K119</f>
        <v>0</v>
      </c>
      <c r="N268" s="1060">
        <f>N264+N227+N181+N119</f>
        <v>0</v>
      </c>
    </row>
    <row r="269" spans="1:19" ht="15.75" thickTop="1">
      <c r="A269" s="938"/>
    </row>
    <row r="270" spans="1:19">
      <c r="A270" s="938"/>
    </row>
    <row r="271" spans="1:19">
      <c r="A271" s="938"/>
    </row>
    <row r="272" spans="1:19">
      <c r="A272" s="938"/>
      <c r="C272" s="72" t="s">
        <v>514</v>
      </c>
    </row>
    <row r="273" spans="1:3">
      <c r="A273" s="938"/>
      <c r="C273" s="72" t="s">
        <v>1577</v>
      </c>
    </row>
    <row r="275" spans="1:3">
      <c r="C275" s="1010" t="s">
        <v>1636</v>
      </c>
    </row>
  </sheetData>
  <mergeCells count="4">
    <mergeCell ref="A1:N1"/>
    <mergeCell ref="A2:N2"/>
    <mergeCell ref="A3:N3"/>
    <mergeCell ref="A4:N4"/>
  </mergeCells>
  <phoneticPr fontId="21" type="noConversion"/>
  <pageMargins left="0.52" right="0.34" top="0.96" bottom="1" header="0.5" footer="0.42"/>
  <pageSetup scale="53" orientation="landscape" r:id="rId1"/>
  <headerFooter alignWithMargins="0">
    <oddFooter>&amp;RSchedule &amp;A
Page &amp;P of &amp;N</oddFooter>
  </headerFooter>
  <rowBreaks count="6" manualBreakCount="6">
    <brk id="47" max="13" man="1"/>
    <brk id="86" max="13" man="1"/>
    <brk id="119" max="13" man="1"/>
    <brk id="152" max="13" man="1"/>
    <brk id="181" max="13" man="1"/>
    <brk id="22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84</vt:i4>
      </vt:variant>
      <vt:variant>
        <vt:lpstr>Named Ranges</vt:lpstr>
      </vt:variant>
      <vt:variant>
        <vt:i4>116</vt:i4>
      </vt:variant>
    </vt:vector>
  </HeadingPairs>
  <TitlesOfParts>
    <vt:vector size="200" baseType="lpstr">
      <vt:lpstr>Table of Contents</vt:lpstr>
      <vt:lpstr>Allocation</vt:lpstr>
      <vt:lpstr>Cover A</vt:lpstr>
      <vt:lpstr>A.1</vt:lpstr>
      <vt:lpstr>Cover B</vt:lpstr>
      <vt:lpstr>B.1 B</vt:lpstr>
      <vt:lpstr>B.1 F </vt:lpstr>
      <vt:lpstr>B.2 B</vt:lpstr>
      <vt:lpstr>B.2 F</vt:lpstr>
      <vt:lpstr>B.3 B</vt:lpstr>
      <vt:lpstr>B.3 F</vt:lpstr>
      <vt:lpstr>B.3.1 F</vt:lpstr>
      <vt:lpstr>B.4 B</vt:lpstr>
      <vt:lpstr>B.4 F</vt:lpstr>
      <vt:lpstr>B.4.1 B</vt:lpstr>
      <vt:lpstr>B.4.1 F</vt:lpstr>
      <vt:lpstr>B.4.2 B</vt:lpstr>
      <vt:lpstr>B.4.2 F</vt:lpstr>
      <vt:lpstr>B.5 B</vt:lpstr>
      <vt:lpstr>B.5 F</vt:lpstr>
      <vt:lpstr>B.6 B</vt:lpstr>
      <vt:lpstr>B.6 F</vt:lpstr>
      <vt:lpstr>WP B.4.1B</vt:lpstr>
      <vt:lpstr>WP B.4.1F</vt:lpstr>
      <vt:lpstr>WP B.5 B</vt:lpstr>
      <vt:lpstr>WP B.5 B1</vt:lpstr>
      <vt:lpstr>WP B.5 F</vt:lpstr>
      <vt:lpstr>WP B.5 F1</vt:lpstr>
      <vt:lpstr>WP B.6 B</vt:lpstr>
      <vt:lpstr>WP B.6 F</vt:lpstr>
      <vt:lpstr>Cover C</vt:lpstr>
      <vt:lpstr>C.1</vt:lpstr>
      <vt:lpstr>C.2</vt:lpstr>
      <vt:lpstr>C.2.1 B</vt:lpstr>
      <vt:lpstr>C.2.1 F</vt:lpstr>
      <vt:lpstr>C.2.2 B 09</vt:lpstr>
      <vt:lpstr>C.2.2 B 02</vt:lpstr>
      <vt:lpstr>C.2.2 B 12</vt:lpstr>
      <vt:lpstr>C.2.2 B 91</vt:lpstr>
      <vt:lpstr>C.2.2-F 09</vt:lpstr>
      <vt:lpstr>C.2.2-F 02</vt:lpstr>
      <vt:lpstr>C.2.2-F 12</vt:lpstr>
      <vt:lpstr>C.2.2-F 91</vt:lpstr>
      <vt:lpstr>C.2.3 B</vt:lpstr>
      <vt:lpstr>C.2.3 F</vt:lpstr>
      <vt:lpstr>Cover D</vt:lpstr>
      <vt:lpstr>D.1</vt:lpstr>
      <vt:lpstr>D.2.1</vt:lpstr>
      <vt:lpstr>D.2.2</vt:lpstr>
      <vt:lpstr>D.2.3</vt:lpstr>
      <vt:lpstr>Cover E</vt:lpstr>
      <vt:lpstr>E</vt:lpstr>
      <vt:lpstr>Cover F</vt:lpstr>
      <vt:lpstr>F.1</vt:lpstr>
      <vt:lpstr>F.2.1</vt:lpstr>
      <vt:lpstr>F.2.2</vt:lpstr>
      <vt:lpstr>F.2.3</vt:lpstr>
      <vt:lpstr>F.3</vt:lpstr>
      <vt:lpstr>F.4</vt:lpstr>
      <vt:lpstr>F.5</vt:lpstr>
      <vt:lpstr>F.6</vt:lpstr>
      <vt:lpstr>F.7</vt:lpstr>
      <vt:lpstr>F.8</vt:lpstr>
      <vt:lpstr>F.9</vt:lpstr>
      <vt:lpstr>F.10</vt:lpstr>
      <vt:lpstr>F.11</vt:lpstr>
      <vt:lpstr>F.12</vt:lpstr>
      <vt:lpstr>WP F.12</vt:lpstr>
      <vt:lpstr>G.1</vt:lpstr>
      <vt:lpstr>G.2</vt:lpstr>
      <vt:lpstr>G.3</vt:lpstr>
      <vt:lpstr>H.1</vt:lpstr>
      <vt:lpstr>I.1</vt:lpstr>
      <vt:lpstr>I.2</vt:lpstr>
      <vt:lpstr>I.3</vt:lpstr>
      <vt:lpstr>J-1 Base</vt:lpstr>
      <vt:lpstr>J.1</vt:lpstr>
      <vt:lpstr>J-2 B</vt:lpstr>
      <vt:lpstr>J-3 B</vt:lpstr>
      <vt:lpstr>J-4</vt:lpstr>
      <vt:lpstr>J-1 F</vt:lpstr>
      <vt:lpstr>J-3 F</vt:lpstr>
      <vt:lpstr>J-2 F</vt:lpstr>
      <vt:lpstr>K</vt:lpstr>
      <vt:lpstr>\p</vt:lpstr>
      <vt:lpstr>A.1!Print_Area</vt:lpstr>
      <vt:lpstr>Allocation!Print_Area</vt:lpstr>
      <vt:lpstr>'B.1 B'!Print_Area</vt:lpstr>
      <vt:lpstr>'B.1 F '!Print_Area</vt:lpstr>
      <vt:lpstr>'B.2 B'!Print_Area</vt:lpstr>
      <vt:lpstr>'B.2 F'!Print_Area</vt:lpstr>
      <vt:lpstr>'B.3 B'!Print_Area</vt:lpstr>
      <vt:lpstr>'B.3 F'!Print_Area</vt:lpstr>
      <vt:lpstr>'B.3.1 F'!Print_Area</vt:lpstr>
      <vt:lpstr>'B.4 B'!Print_Area</vt:lpstr>
      <vt:lpstr>'B.4 F'!Print_Area</vt:lpstr>
      <vt:lpstr>'B.4.1 B'!Print_Area</vt:lpstr>
      <vt:lpstr>'B.4.1 F'!Print_Area</vt:lpstr>
      <vt:lpstr>'B.4.2 B'!Print_Area</vt:lpstr>
      <vt:lpstr>'B.4.2 F'!Print_Area</vt:lpstr>
      <vt:lpstr>'B.5 B'!Print_Area</vt:lpstr>
      <vt:lpstr>'B.5 F'!Print_Area</vt:lpstr>
      <vt:lpstr>'B.6 B'!Print_Area</vt:lpstr>
      <vt:lpstr>'B.6 F'!Print_Area</vt:lpstr>
      <vt:lpstr>C.1!Print_Area</vt:lpstr>
      <vt:lpstr>C.2!Print_Area</vt:lpstr>
      <vt:lpstr>'C.2.1 B'!Print_Area</vt:lpstr>
      <vt:lpstr>'C.2.1 F'!Print_Area</vt:lpstr>
      <vt:lpstr>'C.2.2 B 02'!Print_Area</vt:lpstr>
      <vt:lpstr>'C.2.2 B 09'!Print_Area</vt:lpstr>
      <vt:lpstr>'C.2.2 B 12'!Print_Area</vt:lpstr>
      <vt:lpstr>'C.2.2 B 91'!Print_Area</vt:lpstr>
      <vt:lpstr>'C.2.2-F 02'!Print_Area</vt:lpstr>
      <vt:lpstr>'C.2.2-F 09'!Print_Area</vt:lpstr>
      <vt:lpstr>'C.2.2-F 12'!Print_Area</vt:lpstr>
      <vt:lpstr>'C.2.2-F 91'!Print_Area</vt:lpstr>
      <vt:lpstr>'C.2.3 B'!Print_Area</vt:lpstr>
      <vt:lpstr>'C.2.3 F'!Print_Area</vt:lpstr>
      <vt:lpstr>'Cover B'!Print_Area</vt:lpstr>
      <vt:lpstr>'Cover C'!Print_Area</vt:lpstr>
      <vt:lpstr>'Cover D'!Print_Area</vt:lpstr>
      <vt:lpstr>'Cover E'!Print_Area</vt:lpstr>
      <vt:lpstr>'Cover F'!Print_Area</vt:lpstr>
      <vt:lpstr>D.1!Print_Area</vt:lpstr>
      <vt:lpstr>D.2.1!Print_Area</vt:lpstr>
      <vt:lpstr>D.2.2!Print_Area</vt:lpstr>
      <vt:lpstr>D.2.3!Print_Area</vt:lpstr>
      <vt:lpstr>E!Print_Area</vt:lpstr>
      <vt:lpstr>F.1!Print_Area</vt:lpstr>
      <vt:lpstr>F.10!Print_Area</vt:lpstr>
      <vt:lpstr>F.11!Print_Area</vt:lpstr>
      <vt:lpstr>F.12!Print_Area</vt:lpstr>
      <vt:lpstr>F.2.1!Print_Area</vt:lpstr>
      <vt:lpstr>F.2.2!Print_Area</vt:lpstr>
      <vt:lpstr>F.2.3!Print_Area</vt:lpstr>
      <vt:lpstr>F.3!Print_Area</vt:lpstr>
      <vt:lpstr>F.4!Print_Area</vt:lpstr>
      <vt:lpstr>F.5!Print_Area</vt:lpstr>
      <vt:lpstr>F.6!Print_Area</vt:lpstr>
      <vt:lpstr>F.7!Print_Area</vt:lpstr>
      <vt:lpstr>F.8!Print_Area</vt:lpstr>
      <vt:lpstr>F.9!Print_Area</vt:lpstr>
      <vt:lpstr>G.1!Print_Area</vt:lpstr>
      <vt:lpstr>G.2!Print_Area</vt:lpstr>
      <vt:lpstr>G.3!Print_Area</vt:lpstr>
      <vt:lpstr>H.1!Print_Area</vt:lpstr>
      <vt:lpstr>I.1!Print_Area</vt:lpstr>
      <vt:lpstr>I.2!Print_Area</vt:lpstr>
      <vt:lpstr>I.3!Print_Area</vt:lpstr>
      <vt:lpstr>J.1!Print_Area</vt:lpstr>
      <vt:lpstr>'J-1 Base'!Print_Area</vt:lpstr>
      <vt:lpstr>'J-1 F'!Print_Area</vt:lpstr>
      <vt:lpstr>'J-2 B'!Print_Area</vt:lpstr>
      <vt:lpstr>'J-2 F'!Print_Area</vt:lpstr>
      <vt:lpstr>'J-3 B'!Print_Area</vt:lpstr>
      <vt:lpstr>'J-3 F'!Print_Area</vt:lpstr>
      <vt:lpstr>'J-4'!Print_Area</vt:lpstr>
      <vt:lpstr>K!Print_Area</vt:lpstr>
      <vt:lpstr>'WP B.4.1B'!Print_Area</vt:lpstr>
      <vt:lpstr>'WP B.4.1F'!Print_Area</vt:lpstr>
      <vt:lpstr>'WP B.5 B'!Print_Area</vt:lpstr>
      <vt:lpstr>'WP B.5 B1'!Print_Area</vt:lpstr>
      <vt:lpstr>'WP B.5 F'!Print_Area</vt:lpstr>
      <vt:lpstr>'WP B.5 F1'!Print_Area</vt:lpstr>
      <vt:lpstr>'WP B.6 B'!Print_Area</vt:lpstr>
      <vt:lpstr>'WP B.6 F'!Print_Area</vt:lpstr>
      <vt:lpstr>'WP F.12'!Print_Area</vt:lpstr>
      <vt:lpstr>Print_Area_MI</vt:lpstr>
      <vt:lpstr>'B.1 B'!Print_Titles</vt:lpstr>
      <vt:lpstr>'B.2 B'!Print_Titles</vt:lpstr>
      <vt:lpstr>'B.2 F'!Print_Titles</vt:lpstr>
      <vt:lpstr>'B.3 B'!Print_Titles</vt:lpstr>
      <vt:lpstr>'B.3 F'!Print_Titles</vt:lpstr>
      <vt:lpstr>'B.3.1 F'!Print_Titles</vt:lpstr>
      <vt:lpstr>'B.5 B'!Print_Titles</vt:lpstr>
      <vt:lpstr>'B.5 F'!Print_Titles</vt:lpstr>
      <vt:lpstr>'B.6 B'!Print_Titles</vt:lpstr>
      <vt:lpstr>'B.6 F'!Print_Titles</vt:lpstr>
      <vt:lpstr>'C.2.1 B'!Print_Titles</vt:lpstr>
      <vt:lpstr>'C.2.1 F'!Print_Titles</vt:lpstr>
      <vt:lpstr>'C.2.2 B 02'!Print_Titles</vt:lpstr>
      <vt:lpstr>'C.2.2 B 09'!Print_Titles</vt:lpstr>
      <vt:lpstr>'C.2.2 B 12'!Print_Titles</vt:lpstr>
      <vt:lpstr>'C.2.2 B 91'!Print_Titles</vt:lpstr>
      <vt:lpstr>'C.2.2-F 02'!Print_Titles</vt:lpstr>
      <vt:lpstr>'C.2.2-F 09'!Print_Titles</vt:lpstr>
      <vt:lpstr>'C.2.2-F 12'!Print_Titles</vt:lpstr>
      <vt:lpstr>'C.2.2-F 91'!Print_Titles</vt:lpstr>
      <vt:lpstr>'C.2.3 B'!Print_Titles</vt:lpstr>
      <vt:lpstr>'C.2.3 F'!Print_Titles</vt:lpstr>
      <vt:lpstr>D.1!Print_Titles</vt:lpstr>
      <vt:lpstr>F.1!Print_Titles</vt:lpstr>
      <vt:lpstr>F.6!Print_Titles</vt:lpstr>
      <vt:lpstr>K!Print_Titles</vt:lpstr>
      <vt:lpstr>'WP B.5 B'!Print_Titles</vt:lpstr>
      <vt:lpstr>'WP B.5 F'!Print_Titles</vt:lpstr>
      <vt:lpstr>'WP B.5 F1'!Print_Titles</vt:lpstr>
      <vt:lpstr>'WP B.6 B'!Print_Titles</vt:lpstr>
      <vt:lpstr>'WP B.6 F'!Print_Titles</vt:lpstr>
      <vt:lpstr>SCHEDA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Cagle</dc:creator>
  <cp:lastModifiedBy>Thomas  Troup</cp:lastModifiedBy>
  <cp:lastPrinted>2021-06-28T13:17:58Z</cp:lastPrinted>
  <dcterms:created xsi:type="dcterms:W3CDTF">1998-03-09T18:47:56Z</dcterms:created>
  <dcterms:modified xsi:type="dcterms:W3CDTF">2021-06-28T13:21:09Z</dcterms:modified>
</cp:coreProperties>
</file>