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W:\Discovery\Kentucky\1 - Kentucky Rate Cases\2021-00214 (2021 Kentucky Rate Case)\MFR Attachments\"/>
    </mc:Choice>
  </mc:AlternateContent>
  <xr:revisionPtr revIDLastSave="0" documentId="13_ncr:1_{880DF1C8-8961-476F-96CE-F59A1CD531D0}" xr6:coauthVersionLast="47" xr6:coauthVersionMax="47" xr10:uidLastSave="{00000000-0000-0000-0000-000000000000}"/>
  <bookViews>
    <workbookView xWindow="-120" yWindow="-120" windowWidth="29040" windowHeight="15840" xr2:uid="{B6FA5BE1-B0E8-4C38-AE6D-80FC77BB9A18}"/>
  </bookViews>
  <sheets>
    <sheet name="J-1 Base" sheetId="1" r:id="rId1"/>
    <sheet name="J.1" sheetId="2" r:id="rId2"/>
    <sheet name="J-2 B" sheetId="3" r:id="rId3"/>
    <sheet name="J-3 B" sheetId="4" r:id="rId4"/>
    <sheet name="J-4" sheetId="5" r:id="rId5"/>
    <sheet name="J-1 F" sheetId="6" r:id="rId6"/>
    <sheet name="J-3 F" sheetId="7" r:id="rId7"/>
    <sheet name="J-2 F" sheetId="8" r:id="rId8"/>
  </sheets>
  <definedNames>
    <definedName name="_Div012">#REF!</definedName>
    <definedName name="_Div02">#REF!</definedName>
    <definedName name="_Div091">#REF!</definedName>
    <definedName name="Case_No._2006_00464">#REF!</definedName>
    <definedName name="csDesignMode">1</definedName>
    <definedName name="Div012Cap">#REF!</definedName>
    <definedName name="Div02Cap">#REF!</definedName>
    <definedName name="Div091Cap">#REF!</definedName>
    <definedName name="Div09cap">#REF!</definedName>
    <definedName name="kytax">#REF!</definedName>
    <definedName name="ltdrate">#REF!</definedName>
    <definedName name="_xlnm.Print_Area" localSheetId="1">J.1!$A$1:$V$54</definedName>
    <definedName name="_xlnm.Print_Area" localSheetId="0">'J-1 Base'!$A$1:$M$27</definedName>
    <definedName name="_xlnm.Print_Area" localSheetId="5">'J-1 F'!$A$1:$M$28</definedName>
    <definedName name="_xlnm.Print_Area" localSheetId="2">'J-2 B'!$A$1:$L$29</definedName>
    <definedName name="_xlnm.Print_Area" localSheetId="7">'J-2 F'!$A$1:$L$28</definedName>
    <definedName name="_xlnm.Print_Area" localSheetId="3">'J-3 B'!$A$1:$K$37</definedName>
    <definedName name="_xlnm.Print_Area" localSheetId="6">'J-3 F'!$A$1:$K$37</definedName>
    <definedName name="_xlnm.Print_Area" localSheetId="4">'J-4'!$A$1:$S$16</definedName>
    <definedName name="ROR">#REF!</definedName>
    <definedName name="stdrat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9" i="8" l="1"/>
  <c r="E33" i="7"/>
  <c r="C28" i="7"/>
  <c r="I27" i="7"/>
  <c r="C27" i="7"/>
  <c r="C26" i="7"/>
  <c r="C25" i="7"/>
  <c r="E24" i="7"/>
  <c r="C24" i="7"/>
  <c r="C23" i="7"/>
  <c r="C22" i="7"/>
  <c r="C21" i="7"/>
  <c r="C20" i="7"/>
  <c r="G19" i="7"/>
  <c r="C19" i="7"/>
  <c r="C18" i="7"/>
  <c r="A18" i="7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C17" i="7"/>
  <c r="A17" i="7"/>
  <c r="E16" i="7"/>
  <c r="C16" i="7"/>
  <c r="K9" i="7"/>
  <c r="G24" i="6"/>
  <c r="M9" i="6"/>
  <c r="S8" i="5"/>
  <c r="E32" i="7"/>
  <c r="I31" i="7"/>
  <c r="G28" i="7"/>
  <c r="I28" i="4"/>
  <c r="I27" i="4"/>
  <c r="G26" i="7"/>
  <c r="E26" i="7"/>
  <c r="G25" i="7"/>
  <c r="E25" i="7"/>
  <c r="G24" i="7"/>
  <c r="I24" i="4"/>
  <c r="G23" i="7"/>
  <c r="I23" i="4"/>
  <c r="G22" i="7"/>
  <c r="I22" i="4"/>
  <c r="G21" i="7"/>
  <c r="E21" i="7"/>
  <c r="G20" i="7"/>
  <c r="I20" i="4"/>
  <c r="E19" i="7"/>
  <c r="I19" i="7" s="1"/>
  <c r="G18" i="7"/>
  <c r="E18" i="7"/>
  <c r="G17" i="7"/>
  <c r="E17" i="7"/>
  <c r="A17" i="4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G16" i="7"/>
  <c r="I16" i="4"/>
  <c r="K8" i="4"/>
  <c r="F20" i="3"/>
  <c r="H42" i="2" s="1"/>
  <c r="J18" i="8"/>
  <c r="H16" i="8"/>
  <c r="J16" i="3"/>
  <c r="J20" i="3" s="1"/>
  <c r="L20" i="3" s="1"/>
  <c r="L9" i="3"/>
  <c r="A9" i="3"/>
  <c r="A8" i="3"/>
  <c r="A7" i="3"/>
  <c r="P50" i="2"/>
  <c r="G26" i="6"/>
  <c r="T25" i="2"/>
  <c r="V10" i="2"/>
  <c r="K25" i="1"/>
  <c r="K23" i="1"/>
  <c r="G23" i="1"/>
  <c r="I18" i="7" l="1"/>
  <c r="I26" i="7"/>
  <c r="I28" i="7"/>
  <c r="I24" i="7"/>
  <c r="L42" i="2"/>
  <c r="L17" i="2"/>
  <c r="K19" i="1" s="1"/>
  <c r="I17" i="7"/>
  <c r="I21" i="7"/>
  <c r="I25" i="7"/>
  <c r="I16" i="7"/>
  <c r="G25" i="1"/>
  <c r="E29" i="4"/>
  <c r="E37" i="4" s="1"/>
  <c r="G21" i="1" s="1"/>
  <c r="E23" i="7"/>
  <c r="I23" i="7" s="1"/>
  <c r="H50" i="2"/>
  <c r="E20" i="7"/>
  <c r="I20" i="7" s="1"/>
  <c r="F16" i="8"/>
  <c r="I17" i="4"/>
  <c r="I29" i="4" s="1"/>
  <c r="I37" i="4" s="1"/>
  <c r="K37" i="4" s="1"/>
  <c r="I19" i="4"/>
  <c r="I21" i="4"/>
  <c r="I25" i="4"/>
  <c r="H17" i="2"/>
  <c r="E22" i="7"/>
  <c r="I22" i="7" s="1"/>
  <c r="I18" i="4"/>
  <c r="I26" i="4"/>
  <c r="L19" i="2" l="1"/>
  <c r="K21" i="1" s="1"/>
  <c r="L44" i="2"/>
  <c r="G19" i="1"/>
  <c r="H19" i="2"/>
  <c r="E29" i="7"/>
  <c r="E37" i="7" s="1"/>
  <c r="I29" i="7"/>
  <c r="I37" i="7" s="1"/>
  <c r="K37" i="7" s="1"/>
  <c r="F20" i="8"/>
  <c r="J16" i="8"/>
  <c r="J20" i="8" s="1"/>
  <c r="L20" i="8" s="1"/>
  <c r="H44" i="2" l="1"/>
  <c r="T42" i="2"/>
  <c r="T17" i="2"/>
  <c r="K20" i="6"/>
  <c r="G27" i="1"/>
  <c r="P17" i="2"/>
  <c r="P42" i="2"/>
  <c r="H21" i="2"/>
  <c r="H29" i="2" s="1"/>
  <c r="K22" i="6"/>
  <c r="T44" i="2"/>
  <c r="T19" i="2"/>
  <c r="P19" i="2"/>
  <c r="P44" i="2"/>
  <c r="R27" i="2" l="1"/>
  <c r="V27" i="2" s="1"/>
  <c r="J27" i="2"/>
  <c r="N27" i="2" s="1"/>
  <c r="J52" i="2"/>
  <c r="N52" i="2" s="1"/>
  <c r="J23" i="2"/>
  <c r="N23" i="2" s="1"/>
  <c r="J25" i="2"/>
  <c r="N25" i="2" s="1"/>
  <c r="J17" i="2"/>
  <c r="J19" i="2"/>
  <c r="N19" i="2" s="1"/>
  <c r="P46" i="2"/>
  <c r="P54" i="2" s="1"/>
  <c r="H46" i="2"/>
  <c r="H54" i="2" s="1"/>
  <c r="G20" i="6"/>
  <c r="P21" i="2"/>
  <c r="P29" i="2" s="1"/>
  <c r="R17" i="2" s="1"/>
  <c r="I23" i="1"/>
  <c r="M23" i="1" s="1"/>
  <c r="I21" i="1"/>
  <c r="M21" i="1" s="1"/>
  <c r="I25" i="1"/>
  <c r="M25" i="1" s="1"/>
  <c r="R44" i="2"/>
  <c r="V44" i="2" s="1"/>
  <c r="G22" i="6"/>
  <c r="I19" i="1"/>
  <c r="V17" i="2" l="1"/>
  <c r="R52" i="2"/>
  <c r="V52" i="2" s="1"/>
  <c r="J48" i="2"/>
  <c r="N48" i="2" s="1"/>
  <c r="J42" i="2"/>
  <c r="J50" i="2"/>
  <c r="J44" i="2"/>
  <c r="N44" i="2" s="1"/>
  <c r="R48" i="2"/>
  <c r="V48" i="2" s="1"/>
  <c r="R50" i="2"/>
  <c r="I22" i="6"/>
  <c r="M22" i="6" s="1"/>
  <c r="R42" i="2"/>
  <c r="N17" i="2"/>
  <c r="N21" i="2" s="1"/>
  <c r="N29" i="2" s="1"/>
  <c r="J21" i="2"/>
  <c r="J29" i="2" s="1"/>
  <c r="R23" i="2"/>
  <c r="V23" i="2" s="1"/>
  <c r="R25" i="2"/>
  <c r="V25" i="2" s="1"/>
  <c r="M19" i="1"/>
  <c r="M27" i="1" s="1"/>
  <c r="I27" i="1"/>
  <c r="R19" i="2"/>
  <c r="V19" i="2" s="1"/>
  <c r="G28" i="6"/>
  <c r="V21" i="2" l="1"/>
  <c r="V29" i="2" s="1"/>
  <c r="R21" i="2"/>
  <c r="R29" i="2" s="1"/>
  <c r="N42" i="2"/>
  <c r="N46" i="2" s="1"/>
  <c r="N50" i="2" s="1"/>
  <c r="L50" i="2" s="1"/>
  <c r="J46" i="2"/>
  <c r="J54" i="2" s="1"/>
  <c r="I24" i="6"/>
  <c r="M24" i="6" s="1"/>
  <c r="I26" i="6"/>
  <c r="M26" i="6" s="1"/>
  <c r="I20" i="6"/>
  <c r="V42" i="2"/>
  <c r="V46" i="2" s="1"/>
  <c r="V50" i="2" s="1"/>
  <c r="T50" i="2" s="1"/>
  <c r="R46" i="2"/>
  <c r="R54" i="2" s="1"/>
  <c r="I28" i="6" l="1"/>
  <c r="M20" i="6"/>
  <c r="M28" i="6" s="1"/>
</calcChain>
</file>

<file path=xl/sharedStrings.xml><?xml version="1.0" encoding="utf-8"?>
<sst xmlns="http://schemas.openxmlformats.org/spreadsheetml/2006/main" count="369" uniqueCount="126">
  <si>
    <t>Cost of Capital Summary</t>
  </si>
  <si>
    <t>FR 16(8)(j)</t>
  </si>
  <si>
    <t>Data:__X___Base Period______Forecasted Period</t>
  </si>
  <si>
    <t>Schedule J-1</t>
  </si>
  <si>
    <t>Type of Filing:___X____Original________Updated ________Revised</t>
  </si>
  <si>
    <t>Sheet 1 of 1</t>
  </si>
  <si>
    <t>Workpaper Reference No(s).____________________</t>
  </si>
  <si>
    <t>Witness: Christian</t>
  </si>
  <si>
    <t>Line</t>
  </si>
  <si>
    <t>Workpaper</t>
  </si>
  <si>
    <t>Percent</t>
  </si>
  <si>
    <t>Weighted</t>
  </si>
  <si>
    <t>No.</t>
  </si>
  <si>
    <t>Class of Capital</t>
  </si>
  <si>
    <t>Reference</t>
  </si>
  <si>
    <t>Amount</t>
  </si>
  <si>
    <t>of Total</t>
  </si>
  <si>
    <t>Cost Rate</t>
  </si>
  <si>
    <t>Cost</t>
  </si>
  <si>
    <t>(A)</t>
  </si>
  <si>
    <t>(B)</t>
  </si>
  <si>
    <t>(C)</t>
  </si>
  <si>
    <t>(D)</t>
  </si>
  <si>
    <t>(E)</t>
  </si>
  <si>
    <t>$000</t>
  </si>
  <si>
    <t>%</t>
  </si>
  <si>
    <t>Capital Structure</t>
  </si>
  <si>
    <t>SHORT-TERM DEBT</t>
  </si>
  <si>
    <t>J-3</t>
  </si>
  <si>
    <t>LONG-TERM DEBT</t>
  </si>
  <si>
    <t>PREFERRED STOCK</t>
  </si>
  <si>
    <t>J-4</t>
  </si>
  <si>
    <t>COMMON EQUITY</t>
  </si>
  <si>
    <t>Total Capital</t>
  </si>
  <si>
    <t>13 Month Average Capital Structure</t>
  </si>
  <si>
    <t>Data:__X___Base Period___X___Forecasted Period</t>
  </si>
  <si>
    <t>PROPOSED RATES</t>
  </si>
  <si>
    <t>Base Period</t>
  </si>
  <si>
    <t>Forecasted Period</t>
  </si>
  <si>
    <t>(F)</t>
  </si>
  <si>
    <t>(G)</t>
  </si>
  <si>
    <t>(H)</t>
  </si>
  <si>
    <t>(I)</t>
  </si>
  <si>
    <t>1</t>
  </si>
  <si>
    <t>2</t>
  </si>
  <si>
    <t>3</t>
  </si>
  <si>
    <t>Total DEBT</t>
  </si>
  <si>
    <t>4</t>
  </si>
  <si>
    <t>5</t>
  </si>
  <si>
    <t>6</t>
  </si>
  <si>
    <t>Other Capital</t>
  </si>
  <si>
    <t>7</t>
  </si>
  <si>
    <t>CURRENT RATES</t>
  </si>
  <si>
    <t>ANNUALIZED SHORT-TERM DEBT</t>
  </si>
  <si>
    <t>as of March 31, 2020</t>
  </si>
  <si>
    <t>Schedule J-2</t>
  </si>
  <si>
    <t>Effective</t>
  </si>
  <si>
    <t>Composite</t>
  </si>
  <si>
    <t>Interest</t>
  </si>
  <si>
    <t>Annual</t>
  </si>
  <si>
    <t>Issue</t>
  </si>
  <si>
    <t>Outstanding</t>
  </si>
  <si>
    <t>Rate</t>
  </si>
  <si>
    <t>(E=D/B)</t>
  </si>
  <si>
    <t>AVERAGE SHORT-TERM DEBT</t>
  </si>
  <si>
    <t>COMMITMENT FEE &amp; BANK ADMIN</t>
  </si>
  <si>
    <t>TOTAL SHORT-TERM DEBT</t>
  </si>
  <si>
    <t>NOTES:</t>
  </si>
  <si>
    <t xml:space="preserve">   (1)  Interest Rate is the actual average rate for 12 Months Ended March 31, 2021</t>
  </si>
  <si>
    <t>AVERAGE ANNUALIZED LONG-TERM DEBT</t>
  </si>
  <si>
    <t>Schedule J-3</t>
  </si>
  <si>
    <t>13 Mth Avg.</t>
  </si>
  <si>
    <t>6.75% Debentures Unsecured due July 2028</t>
  </si>
  <si>
    <t>6.67% MTN A1 due Dec 2025</t>
  </si>
  <si>
    <t>5.95% Sr Note due 10/15/2034</t>
  </si>
  <si>
    <t>4.3% Sr Note due 10/1/2048</t>
  </si>
  <si>
    <t>Sr Note 5.50% Due 06/15/2041</t>
  </si>
  <si>
    <t>4.15% Sr Note due 1/15/2043</t>
  </si>
  <si>
    <t>4.125% Sr Note due 10/15/2044 (500MM(2014) &amp; 250MM(2017)</t>
  </si>
  <si>
    <t>3.00% Sr Note due 6/15/2027</t>
  </si>
  <si>
    <t>4.125% Sr Note due 3/15/49</t>
  </si>
  <si>
    <t xml:space="preserve">2.625% Sr Notes Due 2029 </t>
  </si>
  <si>
    <t xml:space="preserve">3.375% Sr Notes Due 2049 </t>
  </si>
  <si>
    <t>$200MM 3YR. Term Loan (Established 4/09/20)</t>
  </si>
  <si>
    <t xml:space="preserve">1.500% Sr Notes Due 2031 </t>
  </si>
  <si>
    <t>Total</t>
  </si>
  <si>
    <t>Annualized Amortization of Debt Exp. &amp; Debt Dsct.</t>
  </si>
  <si>
    <t>Less Unamortized Debt Discount</t>
  </si>
  <si>
    <t>Less Unamortized Debt Expenses</t>
  </si>
  <si>
    <t>Total LONG-TERM DEBT</t>
  </si>
  <si>
    <t xml:space="preserve"> </t>
  </si>
  <si>
    <t>EMBEDDED Cost of PREFERRED STOCK</t>
  </si>
  <si>
    <t>Data:__X___Base Period__X___Forecasted Period</t>
  </si>
  <si>
    <t>Schedule J-4</t>
  </si>
  <si>
    <t>Type of Filing:___X____Original________Updated</t>
  </si>
  <si>
    <t>Premium</t>
  </si>
  <si>
    <t>Gain or Loss</t>
  </si>
  <si>
    <t>Dividend Rate,</t>
  </si>
  <si>
    <t>Date</t>
  </si>
  <si>
    <t>or</t>
  </si>
  <si>
    <t>on Reacquired</t>
  </si>
  <si>
    <t>Net</t>
  </si>
  <si>
    <t>Annualized</t>
  </si>
  <si>
    <t>TYPE, PAR Amount</t>
  </si>
  <si>
    <t>Issued</t>
  </si>
  <si>
    <t>Discount</t>
  </si>
  <si>
    <t>Expense</t>
  </si>
  <si>
    <t>Stock</t>
  </si>
  <si>
    <t>Proceeds</t>
  </si>
  <si>
    <t>At Issue</t>
  </si>
  <si>
    <t>Dividends</t>
  </si>
  <si>
    <t>(F=B+C-D+E)</t>
  </si>
  <si>
    <t>(H=GXB)</t>
  </si>
  <si>
    <t>Atmos Energy Corporation has no PREFERRED STOCK OUTSTANDING at this time.</t>
  </si>
  <si>
    <t>Thirteen Month Average as of September 30, 2022</t>
  </si>
  <si>
    <t>Data:_____Base Period___X___Forecasted Period</t>
  </si>
  <si>
    <t>13 Mth Average</t>
  </si>
  <si>
    <t>For Forecast, reflects balance outstanding for 13 months in 13-month average rather than 12 months for Base; reflects last interest rate @ March 31, 2021</t>
  </si>
  <si>
    <t>For Forecast, reflects balance outstanding for 13 months in 13-month average rather than 6 months for Base</t>
  </si>
  <si>
    <t>AVERAGE ANNUALIZED SHORT-TERM DEBT</t>
  </si>
  <si>
    <t>AVERAGE SHORT-TERM DEBT (1)</t>
  </si>
  <si>
    <t>COMMITMENT FEE</t>
  </si>
  <si>
    <t>Atmos Energy Corporation, Kentucky/Mid-States Division</t>
  </si>
  <si>
    <t>Kentucky Jurisdiction Case No. 2021-00214</t>
  </si>
  <si>
    <t>Base Period: Twelve Months Ended September 30, 2021</t>
  </si>
  <si>
    <t>Forecasted Test Period: Twelve Months Ended December 31,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</si>
</sst>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_)"/>
    <numFmt numFmtId="165" formatCode="_(&quot;$&quot;* #,##0_);_(&quot;$&quot;* \(#,##0\);_(&quot;$&quot;* &quot;-&quot;??_);_(@_)"/>
    <numFmt numFmtId="166" formatCode="0.0%"/>
    <numFmt numFmtId="167" formatCode="0.000%"/>
    <numFmt numFmtId="168" formatCode="hh:mm:ss_)"/>
    <numFmt numFmtId="169" formatCode="#,##0.000000_);\(#,##0.000000\)"/>
    <numFmt numFmtId="170" formatCode="_(* #,##0_);_(* \(#,##0\);_(* &quot;-&quot;??_);_(@_)"/>
    <numFmt numFmtId="171" formatCode="0.0000%"/>
  </numFmts>
  <fonts count="17">
    <font>
      <sz val="12"/>
      <name val="Helvetica-Narrow"/>
      <family val="2"/>
    </font>
    <font>
      <sz val="12"/>
      <name val="Helvetica-Narrow"/>
      <family val="2"/>
    </font>
    <font>
      <sz val="12"/>
      <name val="Helvetica-Narrow"/>
    </font>
    <font>
      <u/>
      <sz val="12"/>
      <name val="Helvetica-Narrow"/>
      <family val="2"/>
    </font>
    <font>
      <b/>
      <u/>
      <sz val="12"/>
      <name val="Helvetica-Narrow"/>
    </font>
    <font>
      <sz val="12"/>
      <name val="Times New Roman"/>
      <family val="1"/>
    </font>
    <font>
      <u val="double"/>
      <sz val="12"/>
      <name val="Helvetica-Narrow"/>
      <family val="2"/>
    </font>
    <font>
      <b/>
      <sz val="12"/>
      <name val="Helvetica-Narrow"/>
      <family val="2"/>
    </font>
    <font>
      <b/>
      <sz val="12"/>
      <color rgb="FFFF0000"/>
      <name val="Helvetica-Narrow"/>
    </font>
    <font>
      <sz val="12"/>
      <color indexed="12"/>
      <name val="Helvetica-Narrow"/>
    </font>
    <font>
      <sz val="12"/>
      <color rgb="FFFF0000"/>
      <name val="Helvetica-Narrow"/>
      <family val="2"/>
    </font>
    <font>
      <b/>
      <sz val="12"/>
      <color indexed="14"/>
      <name val="Helvetica-Narrow"/>
    </font>
    <font>
      <sz val="12"/>
      <color indexed="10"/>
      <name val="Helvetica-Narrow"/>
    </font>
    <font>
      <sz val="12"/>
      <name val="Arial MT"/>
    </font>
    <font>
      <b/>
      <sz val="12"/>
      <name val="Helvetica-Narrow"/>
    </font>
    <font>
      <sz val="12"/>
      <color rgb="FF0000FF"/>
      <name val="Helvetica-Narrow"/>
      <family val="2"/>
    </font>
    <font>
      <sz val="10"/>
      <name val="Helvetica-Narrow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37" fontId="0" fillId="0" borderId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110">
    <xf numFmtId="37" fontId="0" fillId="0" borderId="0" xfId="0"/>
    <xf numFmtId="37" fontId="1" fillId="0" borderId="0" xfId="0" applyFont="1"/>
    <xf numFmtId="37" fontId="1" fillId="0" borderId="0" xfId="0" applyFont="1" applyAlignment="1">
      <alignment horizontal="center"/>
    </xf>
    <xf numFmtId="37" fontId="1" fillId="0" borderId="0" xfId="0" applyFont="1" applyAlignment="1" applyProtection="1">
      <alignment horizontal="left"/>
    </xf>
    <xf numFmtId="37" fontId="1" fillId="0" borderId="0" xfId="0" applyFont="1" applyAlignment="1" applyProtection="1">
      <alignment horizontal="right"/>
    </xf>
    <xf numFmtId="37" fontId="2" fillId="0" borderId="0" xfId="0" applyFont="1" applyAlignment="1" applyProtection="1">
      <alignment horizontal="left"/>
    </xf>
    <xf numFmtId="37" fontId="1" fillId="0" borderId="1" xfId="0" applyFont="1" applyBorder="1" applyAlignment="1" applyProtection="1">
      <alignment horizontal="left"/>
    </xf>
    <xf numFmtId="37" fontId="1" fillId="0" borderId="1" xfId="0" applyFont="1" applyBorder="1"/>
    <xf numFmtId="37" fontId="1" fillId="0" borderId="1" xfId="0" applyFont="1" applyBorder="1" applyAlignment="1" applyProtection="1">
      <alignment horizontal="right"/>
    </xf>
    <xf numFmtId="37" fontId="3" fillId="0" borderId="0" xfId="0" applyFont="1"/>
    <xf numFmtId="37" fontId="1" fillId="0" borderId="0" xfId="0" applyFont="1" applyAlignment="1" applyProtection="1">
      <alignment horizontal="center"/>
    </xf>
    <xf numFmtId="37" fontId="1" fillId="0" borderId="1" xfId="0" applyFont="1" applyBorder="1" applyAlignment="1" applyProtection="1">
      <alignment horizontal="center"/>
    </xf>
    <xf numFmtId="37" fontId="1" fillId="0" borderId="0" xfId="0" applyFont="1" applyProtection="1"/>
    <xf numFmtId="164" fontId="1" fillId="0" borderId="0" xfId="0" applyNumberFormat="1" applyFont="1" applyProtection="1"/>
    <xf numFmtId="37" fontId="4" fillId="0" borderId="0" xfId="0" applyFont="1" applyAlignment="1" applyProtection="1">
      <alignment horizontal="left"/>
    </xf>
    <xf numFmtId="10" fontId="1" fillId="0" borderId="0" xfId="0" applyNumberFormat="1" applyFont="1" applyProtection="1"/>
    <xf numFmtId="165" fontId="1" fillId="0" borderId="0" xfId="2" applyNumberFormat="1" applyFont="1" applyProtection="1"/>
    <xf numFmtId="10" fontId="0" fillId="0" borderId="0" xfId="0" applyNumberFormat="1" applyProtection="1"/>
    <xf numFmtId="10" fontId="1" fillId="0" borderId="0" xfId="3" applyNumberFormat="1" applyFont="1" applyProtection="1"/>
    <xf numFmtId="37" fontId="0" fillId="0" borderId="0" xfId="0" applyProtection="1"/>
    <xf numFmtId="165" fontId="1" fillId="0" borderId="1" xfId="2" applyNumberFormat="1" applyFont="1" applyBorder="1" applyProtection="1"/>
    <xf numFmtId="10" fontId="0" fillId="0" borderId="1" xfId="0" applyNumberFormat="1" applyBorder="1" applyProtection="1"/>
    <xf numFmtId="10" fontId="1" fillId="0" borderId="1" xfId="3" applyNumberFormat="1" applyFont="1" applyBorder="1" applyProtection="1"/>
    <xf numFmtId="165" fontId="1" fillId="0" borderId="2" xfId="2" applyNumberFormat="1" applyFont="1" applyBorder="1"/>
    <xf numFmtId="10" fontId="6" fillId="0" borderId="0" xfId="0" applyNumberFormat="1" applyFont="1" applyProtection="1"/>
    <xf numFmtId="10" fontId="6" fillId="0" borderId="0" xfId="3" applyNumberFormat="1" applyFont="1" applyProtection="1"/>
    <xf numFmtId="37" fontId="0" fillId="0" borderId="0" xfId="0" applyAlignment="1" applyProtection="1">
      <alignment horizontal="center"/>
    </xf>
    <xf numFmtId="37" fontId="0" fillId="0" borderId="0" xfId="0" applyAlignment="1" applyProtection="1">
      <alignment horizontal="left"/>
    </xf>
    <xf numFmtId="37" fontId="0" fillId="0" borderId="0" xfId="0" applyAlignment="1">
      <alignment horizontal="right"/>
    </xf>
    <xf numFmtId="37" fontId="0" fillId="0" borderId="0" xfId="0" applyAlignment="1" applyProtection="1">
      <alignment horizontal="right"/>
    </xf>
    <xf numFmtId="37" fontId="0" fillId="0" borderId="1" xfId="0" applyBorder="1" applyAlignment="1" applyProtection="1">
      <alignment horizontal="left"/>
    </xf>
    <xf numFmtId="37" fontId="0" fillId="0" borderId="1" xfId="0" applyBorder="1"/>
    <xf numFmtId="49" fontId="7" fillId="0" borderId="0" xfId="0" applyNumberFormat="1" applyFont="1" applyAlignment="1">
      <alignment horizontal="centerContinuous"/>
    </xf>
    <xf numFmtId="49" fontId="0" fillId="0" borderId="0" xfId="0" applyNumberFormat="1" applyAlignment="1">
      <alignment horizontal="centerContinuous"/>
    </xf>
    <xf numFmtId="37" fontId="0" fillId="0" borderId="1" xfId="0" applyBorder="1" applyAlignment="1" applyProtection="1">
      <alignment horizontal="right"/>
    </xf>
    <xf numFmtId="0" fontId="7" fillId="0" borderId="3" xfId="0" applyNumberFormat="1" applyFont="1" applyBorder="1" applyAlignment="1">
      <alignment horizontal="centerContinuous"/>
    </xf>
    <xf numFmtId="0" fontId="0" fillId="0" borderId="4" xfId="0" applyNumberFormat="1" applyBorder="1" applyAlignment="1">
      <alignment horizontal="centerContinuous"/>
    </xf>
    <xf numFmtId="0" fontId="0" fillId="0" borderId="5" xfId="0" applyNumberFormat="1" applyBorder="1" applyAlignment="1">
      <alignment horizontal="centerContinuous"/>
    </xf>
    <xf numFmtId="37" fontId="0" fillId="0" borderId="6" xfId="0" applyBorder="1"/>
    <xf numFmtId="37" fontId="0" fillId="0" borderId="7" xfId="0" applyBorder="1" applyAlignment="1" applyProtection="1">
      <alignment horizontal="center"/>
    </xf>
    <xf numFmtId="37" fontId="0" fillId="0" borderId="1" xfId="0" applyBorder="1" applyAlignment="1" applyProtection="1">
      <alignment horizontal="center"/>
    </xf>
    <xf numFmtId="37" fontId="0" fillId="0" borderId="8" xfId="0" applyBorder="1" applyAlignment="1" applyProtection="1">
      <alignment horizontal="center"/>
    </xf>
    <xf numFmtId="37" fontId="0" fillId="0" borderId="9" xfId="0" applyBorder="1"/>
    <xf numFmtId="37" fontId="0" fillId="0" borderId="9" xfId="0" applyBorder="1" applyAlignment="1" applyProtection="1">
      <alignment horizontal="center"/>
    </xf>
    <xf numFmtId="37" fontId="0" fillId="0" borderId="10" xfId="0" applyBorder="1" applyAlignment="1" applyProtection="1">
      <alignment horizontal="center"/>
    </xf>
    <xf numFmtId="10" fontId="1" fillId="0" borderId="0" xfId="3" applyNumberFormat="1" applyFont="1" applyFill="1" applyProtection="1"/>
    <xf numFmtId="10" fontId="0" fillId="0" borderId="0" xfId="3" applyNumberFormat="1" applyFont="1" applyFill="1"/>
    <xf numFmtId="10" fontId="0" fillId="0" borderId="0" xfId="3" applyNumberFormat="1" applyFont="1" applyFill="1" applyProtection="1"/>
    <xf numFmtId="37" fontId="0" fillId="0" borderId="1" xfId="0" applyBorder="1" applyProtection="1"/>
    <xf numFmtId="10" fontId="0" fillId="0" borderId="11" xfId="0" applyNumberFormat="1" applyBorder="1" applyProtection="1"/>
    <xf numFmtId="10" fontId="1" fillId="0" borderId="11" xfId="3" applyNumberFormat="1" applyFont="1" applyFill="1" applyBorder="1" applyProtection="1"/>
    <xf numFmtId="10" fontId="0" fillId="0" borderId="0" xfId="0" applyNumberFormat="1"/>
    <xf numFmtId="10" fontId="8" fillId="0" borderId="0" xfId="3" applyNumberFormat="1" applyFont="1" applyFill="1"/>
    <xf numFmtId="10" fontId="1" fillId="0" borderId="1" xfId="3" applyNumberFormat="1" applyFont="1" applyFill="1" applyBorder="1" applyProtection="1"/>
    <xf numFmtId="37" fontId="0" fillId="0" borderId="2" xfId="0" applyBorder="1" applyProtection="1"/>
    <xf numFmtId="166" fontId="0" fillId="0" borderId="2" xfId="0" applyNumberFormat="1" applyBorder="1" applyProtection="1"/>
    <xf numFmtId="164" fontId="0" fillId="0" borderId="0" xfId="0" applyNumberFormat="1" applyProtection="1"/>
    <xf numFmtId="37" fontId="0" fillId="0" borderId="11" xfId="0" applyBorder="1"/>
    <xf numFmtId="37" fontId="2" fillId="0" borderId="0" xfId="0" applyFont="1" applyAlignment="1">
      <alignment horizontal="center"/>
    </xf>
    <xf numFmtId="37" fontId="1" fillId="0" borderId="0" xfId="0" applyFont="1" applyAlignment="1">
      <alignment horizontal="right"/>
    </xf>
    <xf numFmtId="37" fontId="0" fillId="0" borderId="11" xfId="0" applyBorder="1" applyAlignment="1" applyProtection="1">
      <alignment horizontal="left"/>
    </xf>
    <xf numFmtId="37" fontId="1" fillId="0" borderId="11" xfId="0" applyFont="1" applyBorder="1"/>
    <xf numFmtId="165" fontId="2" fillId="0" borderId="0" xfId="2" applyNumberFormat="1" applyFont="1" applyFill="1" applyProtection="1"/>
    <xf numFmtId="37" fontId="9" fillId="0" borderId="0" xfId="0" applyFont="1" applyProtection="1"/>
    <xf numFmtId="167" fontId="2" fillId="0" borderId="0" xfId="0" applyNumberFormat="1" applyFont="1" applyProtection="1"/>
    <xf numFmtId="37" fontId="8" fillId="0" borderId="0" xfId="0" applyFont="1" applyProtection="1"/>
    <xf numFmtId="37" fontId="10" fillId="0" borderId="0" xfId="0" applyFont="1" applyProtection="1"/>
    <xf numFmtId="37" fontId="1" fillId="0" borderId="1" xfId="0" applyFont="1" applyBorder="1" applyProtection="1"/>
    <xf numFmtId="165" fontId="1" fillId="0" borderId="0" xfId="2" applyNumberFormat="1" applyFont="1" applyFill="1" applyProtection="1"/>
    <xf numFmtId="37" fontId="11" fillId="0" borderId="0" xfId="0" applyFont="1"/>
    <xf numFmtId="37" fontId="12" fillId="0" borderId="0" xfId="0" applyFont="1" applyAlignment="1" applyProtection="1">
      <alignment horizontal="left"/>
    </xf>
    <xf numFmtId="37" fontId="9" fillId="0" borderId="0" xfId="0" applyFont="1" applyAlignment="1" applyProtection="1">
      <alignment horizontal="left"/>
    </xf>
    <xf numFmtId="37" fontId="0" fillId="0" borderId="0" xfId="0" applyAlignment="1">
      <alignment horizontal="center"/>
    </xf>
    <xf numFmtId="167" fontId="13" fillId="0" borderId="0" xfId="3" applyNumberFormat="1" applyFont="1" applyFill="1"/>
    <xf numFmtId="5" fontId="0" fillId="0" borderId="0" xfId="0" applyNumberFormat="1" applyProtection="1"/>
    <xf numFmtId="37" fontId="2" fillId="0" borderId="0" xfId="0" applyFont="1" applyProtection="1"/>
    <xf numFmtId="37" fontId="0" fillId="0" borderId="11" xfId="0" applyBorder="1" applyProtection="1"/>
    <xf numFmtId="165" fontId="2" fillId="0" borderId="12" xfId="0" applyNumberFormat="1" applyFont="1" applyBorder="1" applyProtection="1"/>
    <xf numFmtId="10" fontId="13" fillId="0" borderId="0" xfId="3" applyNumberFormat="1" applyFont="1" applyFill="1"/>
    <xf numFmtId="5" fontId="2" fillId="0" borderId="0" xfId="0" applyNumberFormat="1" applyFont="1" applyProtection="1"/>
    <xf numFmtId="167" fontId="0" fillId="0" borderId="0" xfId="0" applyNumberFormat="1" applyProtection="1"/>
    <xf numFmtId="5" fontId="0" fillId="0" borderId="13" xfId="0" applyNumberFormat="1" applyBorder="1" applyProtection="1"/>
    <xf numFmtId="37" fontId="0" fillId="0" borderId="13" xfId="0" applyBorder="1"/>
    <xf numFmtId="10" fontId="14" fillId="0" borderId="2" xfId="3" applyNumberFormat="1" applyFont="1" applyFill="1" applyBorder="1"/>
    <xf numFmtId="168" fontId="1" fillId="0" borderId="0" xfId="0" applyNumberFormat="1" applyFont="1" applyProtection="1"/>
    <xf numFmtId="37" fontId="15" fillId="0" borderId="0" xfId="0" applyFont="1" applyProtection="1"/>
    <xf numFmtId="169" fontId="1" fillId="0" borderId="0" xfId="0" applyNumberFormat="1" applyFont="1" applyProtection="1"/>
    <xf numFmtId="9" fontId="1" fillId="0" borderId="0" xfId="3" applyFont="1" applyProtection="1"/>
    <xf numFmtId="165" fontId="2" fillId="0" borderId="0" xfId="2" applyNumberFormat="1" applyFont="1" applyProtection="1"/>
    <xf numFmtId="10" fontId="2" fillId="0" borderId="0" xfId="3" applyNumberFormat="1" applyFont="1" applyProtection="1"/>
    <xf numFmtId="165" fontId="2" fillId="0" borderId="1" xfId="2" applyNumberFormat="1" applyFont="1" applyBorder="1" applyProtection="1"/>
    <xf numFmtId="10" fontId="1" fillId="0" borderId="0" xfId="0" applyNumberFormat="1" applyFont="1"/>
    <xf numFmtId="10" fontId="1" fillId="0" borderId="0" xfId="3" applyNumberFormat="1" applyFont="1"/>
    <xf numFmtId="170" fontId="1" fillId="0" borderId="0" xfId="1" applyNumberFormat="1" applyFont="1" applyFill="1" applyProtection="1"/>
    <xf numFmtId="37" fontId="16" fillId="0" borderId="0" xfId="0" applyFont="1"/>
    <xf numFmtId="165" fontId="2" fillId="0" borderId="12" xfId="2" applyNumberFormat="1" applyFont="1" applyFill="1" applyBorder="1" applyProtection="1"/>
    <xf numFmtId="10" fontId="2" fillId="0" borderId="0" xfId="0" applyNumberFormat="1" applyFont="1" applyProtection="1"/>
    <xf numFmtId="165" fontId="1" fillId="0" borderId="12" xfId="2" applyNumberFormat="1" applyFont="1" applyFill="1" applyBorder="1" applyProtection="1"/>
    <xf numFmtId="37" fontId="2" fillId="0" borderId="0" xfId="0" applyFont="1"/>
    <xf numFmtId="170" fontId="2" fillId="0" borderId="0" xfId="1" applyNumberFormat="1" applyFont="1" applyFill="1" applyProtection="1"/>
    <xf numFmtId="37" fontId="8" fillId="0" borderId="0" xfId="0" applyFont="1"/>
    <xf numFmtId="9" fontId="0" fillId="0" borderId="0" xfId="0" applyNumberFormat="1"/>
    <xf numFmtId="165" fontId="1" fillId="0" borderId="13" xfId="2" applyNumberFormat="1" applyFont="1" applyFill="1" applyBorder="1"/>
    <xf numFmtId="10" fontId="1" fillId="0" borderId="2" xfId="3" applyNumberFormat="1" applyFont="1" applyFill="1" applyBorder="1"/>
    <xf numFmtId="171" fontId="1" fillId="0" borderId="0" xfId="3" applyNumberFormat="1" applyFont="1" applyFill="1" applyProtection="1"/>
    <xf numFmtId="37" fontId="6" fillId="0" borderId="0" xfId="0" applyFont="1" applyProtection="1"/>
    <xf numFmtId="37" fontId="7" fillId="0" borderId="0" xfId="0" applyFont="1"/>
    <xf numFmtId="37" fontId="0" fillId="0" borderId="0" xfId="0" applyAlignment="1">
      <alignment horizontal="center"/>
    </xf>
    <xf numFmtId="37" fontId="1" fillId="0" borderId="0" xfId="0" applyFont="1" applyAlignment="1">
      <alignment horizontal="center"/>
    </xf>
    <xf numFmtId="37" fontId="2" fillId="0" borderId="0" xfId="0" applyFont="1" applyAlignment="1">
      <alignment horizont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C036A9-210A-4EF8-9D6C-C71F0CE659AE}">
  <sheetPr>
    <pageSetUpPr fitToPage="1"/>
  </sheetPr>
  <dimension ref="A1:V28"/>
  <sheetViews>
    <sheetView tabSelected="1" view="pageBreakPreview" zoomScale="80" zoomScaleNormal="100" zoomScaleSheetLayoutView="80" workbookViewId="0">
      <selection activeCell="V28" sqref="V28"/>
    </sheetView>
  </sheetViews>
  <sheetFormatPr defaultColWidth="10.109375" defaultRowHeight="15"/>
  <cols>
    <col min="1" max="1" width="5" style="1" customWidth="1"/>
    <col min="2" max="2" width="4.5546875" style="1" customWidth="1"/>
    <col min="3" max="3" width="16.109375" style="1" customWidth="1"/>
    <col min="4" max="4" width="5" style="1" customWidth="1"/>
    <col min="5" max="5" width="11" style="1" customWidth="1"/>
    <col min="6" max="6" width="5" style="1" customWidth="1"/>
    <col min="7" max="7" width="14.88671875" style="1" customWidth="1"/>
    <col min="8" max="8" width="5" style="1" customWidth="1"/>
    <col min="9" max="9" width="10.109375" style="1"/>
    <col min="10" max="10" width="5" style="1" customWidth="1"/>
    <col min="11" max="11" width="10.109375" style="1"/>
    <col min="12" max="12" width="5" style="1" customWidth="1"/>
    <col min="13" max="13" width="10.109375" style="1"/>
    <col min="14" max="14" width="6.6640625" style="1" customWidth="1"/>
    <col min="15" max="16" width="8.6640625" style="1" bestFit="1" customWidth="1"/>
    <col min="17" max="17" width="7.6640625" style="1" bestFit="1" customWidth="1"/>
    <col min="18" max="18" width="2.44140625" style="1" customWidth="1"/>
    <col min="19" max="19" width="10.109375" style="1"/>
    <col min="20" max="20" width="2.44140625" style="1" customWidth="1"/>
    <col min="21" max="21" width="10.109375" style="1"/>
    <col min="22" max="22" width="6.6640625" style="1" customWidth="1"/>
    <col min="23" max="16384" width="10.109375" style="1"/>
  </cols>
  <sheetData>
    <row r="1" spans="1:22">
      <c r="A1" s="107" t="s">
        <v>122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</row>
    <row r="2" spans="1:22">
      <c r="A2" s="107" t="s">
        <v>123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</row>
    <row r="3" spans="1:22">
      <c r="A3" s="108" t="s">
        <v>0</v>
      </c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</row>
    <row r="4" spans="1:22">
      <c r="A4" s="107" t="s">
        <v>124</v>
      </c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7"/>
    </row>
    <row r="5" spans="1:2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1:22">
      <c r="M6" s="1" t="s">
        <v>1</v>
      </c>
    </row>
    <row r="7" spans="1:22">
      <c r="A7" s="3" t="s">
        <v>2</v>
      </c>
      <c r="M7" s="4" t="s">
        <v>3</v>
      </c>
    </row>
    <row r="8" spans="1:22">
      <c r="A8" s="5" t="s">
        <v>4</v>
      </c>
      <c r="M8" s="4" t="s">
        <v>5</v>
      </c>
    </row>
    <row r="9" spans="1:22">
      <c r="A9" s="6" t="s">
        <v>6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8" t="s">
        <v>7</v>
      </c>
    </row>
    <row r="10" spans="1:22">
      <c r="L10" s="9"/>
      <c r="M10" s="9"/>
      <c r="N10" s="9"/>
      <c r="S10" s="9"/>
      <c r="T10" s="9"/>
      <c r="U10" s="9"/>
      <c r="V10" s="9"/>
    </row>
    <row r="11" spans="1:22">
      <c r="A11" s="10" t="s">
        <v>8</v>
      </c>
      <c r="E11" s="10" t="s">
        <v>9</v>
      </c>
      <c r="I11" s="10" t="s">
        <v>10</v>
      </c>
      <c r="M11" s="10" t="s">
        <v>11</v>
      </c>
    </row>
    <row r="12" spans="1:22">
      <c r="A12" s="11" t="s">
        <v>12</v>
      </c>
      <c r="B12" s="7"/>
      <c r="C12" s="6" t="s">
        <v>13</v>
      </c>
      <c r="D12" s="7"/>
      <c r="E12" s="11" t="s">
        <v>14</v>
      </c>
      <c r="F12" s="7"/>
      <c r="G12" s="11" t="s">
        <v>15</v>
      </c>
      <c r="H12" s="7"/>
      <c r="I12" s="11" t="s">
        <v>16</v>
      </c>
      <c r="J12" s="7"/>
      <c r="K12" s="11" t="s">
        <v>17</v>
      </c>
      <c r="L12" s="7"/>
      <c r="M12" s="11" t="s">
        <v>18</v>
      </c>
    </row>
    <row r="13" spans="1:22">
      <c r="E13" s="10" t="s">
        <v>19</v>
      </c>
      <c r="G13" s="10" t="s">
        <v>20</v>
      </c>
      <c r="I13" s="10" t="s">
        <v>21</v>
      </c>
      <c r="K13" s="10" t="s">
        <v>22</v>
      </c>
      <c r="M13" s="10" t="s">
        <v>23</v>
      </c>
    </row>
    <row r="14" spans="1:22">
      <c r="G14" s="10" t="s">
        <v>24</v>
      </c>
      <c r="I14" s="10" t="s">
        <v>25</v>
      </c>
      <c r="K14" s="10" t="s">
        <v>25</v>
      </c>
      <c r="M14" s="10" t="s">
        <v>25</v>
      </c>
    </row>
    <row r="16" spans="1:22">
      <c r="G16" s="12"/>
      <c r="K16" s="13"/>
      <c r="O16" s="12"/>
      <c r="S16" s="13"/>
    </row>
    <row r="17" spans="1:21" ht="15.75">
      <c r="C17" s="14" t="s">
        <v>26</v>
      </c>
      <c r="G17" s="12"/>
      <c r="I17" s="15"/>
      <c r="K17" s="13"/>
      <c r="M17" s="13"/>
      <c r="O17" s="12"/>
      <c r="Q17" s="15"/>
      <c r="S17" s="13"/>
      <c r="U17" s="13"/>
    </row>
    <row r="18" spans="1:21">
      <c r="G18" s="12"/>
      <c r="K18" s="13"/>
      <c r="O18" s="12"/>
      <c r="S18" s="13"/>
    </row>
    <row r="19" spans="1:21">
      <c r="A19" s="10">
        <v>6</v>
      </c>
      <c r="C19" s="3" t="s">
        <v>27</v>
      </c>
      <c r="E19" s="10" t="s">
        <v>28</v>
      </c>
      <c r="F19" s="12"/>
      <c r="G19" s="16">
        <f>+J.1!H17</f>
        <v>21556.707437275982</v>
      </c>
      <c r="H19" s="12"/>
      <c r="I19" s="17">
        <f>+G19/G27</f>
        <v>1.853370997203249E-3</v>
      </c>
      <c r="J19" s="12"/>
      <c r="K19" s="18">
        <f>+J.1!L17</f>
        <v>0.2517316892072915</v>
      </c>
      <c r="L19" s="12"/>
      <c r="M19" s="18">
        <f>ROUND(I19*K19,4)</f>
        <v>5.0000000000000001E-4</v>
      </c>
      <c r="O19" s="12"/>
      <c r="Q19" s="12"/>
      <c r="S19" s="13"/>
      <c r="U19" s="13"/>
    </row>
    <row r="20" spans="1:21">
      <c r="E20" s="12"/>
      <c r="F20" s="12"/>
      <c r="G20" s="12"/>
      <c r="H20" s="12"/>
      <c r="I20" s="12"/>
      <c r="J20" s="12"/>
      <c r="K20" s="18"/>
      <c r="L20" s="12"/>
      <c r="M20" s="18"/>
    </row>
    <row r="21" spans="1:21">
      <c r="A21" s="10">
        <v>7</v>
      </c>
      <c r="C21" s="3" t="s">
        <v>29</v>
      </c>
      <c r="E21" s="10" t="s">
        <v>28</v>
      </c>
      <c r="F21" s="12"/>
      <c r="G21" s="19">
        <f>'J-3 B'!E37*0.001</f>
        <v>4781475.9855000013</v>
      </c>
      <c r="H21" s="12"/>
      <c r="I21" s="17">
        <f>+G21/G27</f>
        <v>0.4110947342554534</v>
      </c>
      <c r="J21" s="12"/>
      <c r="K21" s="18">
        <f>+J.1!L19</f>
        <v>4.1700000000000001E-2</v>
      </c>
      <c r="L21" s="12"/>
      <c r="M21" s="18">
        <f>ROUND(I21*K21,4)</f>
        <v>1.7100000000000001E-2</v>
      </c>
    </row>
    <row r="22" spans="1:21">
      <c r="E22" s="12"/>
      <c r="F22" s="12"/>
      <c r="G22" s="12"/>
      <c r="H22" s="12"/>
      <c r="I22" s="12"/>
      <c r="J22" s="12"/>
      <c r="K22" s="18"/>
      <c r="L22" s="12"/>
      <c r="M22" s="18"/>
    </row>
    <row r="23" spans="1:21">
      <c r="A23" s="10">
        <v>8</v>
      </c>
      <c r="C23" s="3" t="s">
        <v>30</v>
      </c>
      <c r="E23" s="10" t="s">
        <v>31</v>
      </c>
      <c r="F23" s="12"/>
      <c r="G23" s="19">
        <f>+J.1!H23</f>
        <v>0</v>
      </c>
      <c r="H23" s="12"/>
      <c r="I23" s="17">
        <f>+G23/G27</f>
        <v>0</v>
      </c>
      <c r="J23" s="12"/>
      <c r="K23" s="18">
        <f>+J.1!L23</f>
        <v>0</v>
      </c>
      <c r="L23" s="12"/>
      <c r="M23" s="18">
        <f>ROUND(I23*K23,4)</f>
        <v>0</v>
      </c>
    </row>
    <row r="24" spans="1:21">
      <c r="E24" s="12"/>
      <c r="F24" s="12"/>
      <c r="G24" s="12"/>
      <c r="H24" s="12"/>
      <c r="I24" s="12"/>
      <c r="J24" s="12"/>
      <c r="K24" s="18"/>
      <c r="L24" s="12"/>
      <c r="M24" s="18"/>
    </row>
    <row r="25" spans="1:21">
      <c r="A25" s="10">
        <v>9</v>
      </c>
      <c r="C25" s="3" t="s">
        <v>32</v>
      </c>
      <c r="E25" s="12"/>
      <c r="F25" s="12"/>
      <c r="G25" s="20">
        <f>+J.1!H25</f>
        <v>6828047.9001038456</v>
      </c>
      <c r="H25" s="12"/>
      <c r="I25" s="21">
        <f>+G25/G27</f>
        <v>0.58705189474734343</v>
      </c>
      <c r="J25" s="12"/>
      <c r="K25" s="18">
        <f>+J.1!L25</f>
        <v>0.10349999999999999</v>
      </c>
      <c r="L25" s="12"/>
      <c r="M25" s="22">
        <f>ROUND(I25*K25,4)</f>
        <v>6.08E-2</v>
      </c>
    </row>
    <row r="26" spans="1:21">
      <c r="G26" s="12"/>
      <c r="K26" s="13"/>
    </row>
    <row r="27" spans="1:21" ht="15.75" thickBot="1">
      <c r="A27" s="10">
        <v>10</v>
      </c>
      <c r="C27" s="3" t="s">
        <v>33</v>
      </c>
      <c r="G27" s="23">
        <f>SUM(G19:G25)</f>
        <v>11631080.593041122</v>
      </c>
      <c r="I27" s="24">
        <f>SUM(I19:I25)</f>
        <v>1</v>
      </c>
      <c r="K27" s="15"/>
      <c r="M27" s="25">
        <f>(+M19+M21+M23+M25)</f>
        <v>7.8399999999999997E-2</v>
      </c>
    </row>
    <row r="28" spans="1:21" ht="15.75" thickTop="1"/>
  </sheetData>
  <mergeCells count="4">
    <mergeCell ref="A1:M1"/>
    <mergeCell ref="A2:M2"/>
    <mergeCell ref="A3:M3"/>
    <mergeCell ref="A4:M4"/>
  </mergeCells>
  <printOptions horizontalCentered="1"/>
  <pageMargins left="0.67" right="0.75" top="0.75" bottom="1.26" header="0.5" footer="0.5"/>
  <pageSetup scale="96" orientation="landscape" verticalDpi="300" r:id="rId1"/>
  <headerFooter alignWithMargins="0">
    <oddHeader>&amp;RCASE NO. 2021-00214
FR 16(8)(j)
ATTACHMENT 1</oddHeader>
    <oddFooter>&amp;RSchedule &amp;A
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8C90E6-06DB-40CB-B67A-5D2C3CDF1590}">
  <sheetPr>
    <pageSetUpPr fitToPage="1"/>
  </sheetPr>
  <dimension ref="A1:X62"/>
  <sheetViews>
    <sheetView view="pageBreakPreview" zoomScale="80" zoomScaleNormal="100" zoomScaleSheetLayoutView="80" workbookViewId="0">
      <selection activeCell="V28" sqref="V28"/>
    </sheetView>
  </sheetViews>
  <sheetFormatPr defaultColWidth="10.109375" defaultRowHeight="15"/>
  <cols>
    <col min="1" max="1" width="3.77734375" customWidth="1"/>
    <col min="2" max="2" width="2.44140625" customWidth="1"/>
    <col min="3" max="3" width="13" customWidth="1"/>
    <col min="4" max="4" width="2.109375" customWidth="1"/>
    <col min="5" max="5" width="2.44140625" customWidth="1"/>
    <col min="6" max="6" width="6.77734375" customWidth="1"/>
    <col min="7" max="7" width="2.44140625" customWidth="1"/>
    <col min="8" max="8" width="14" customWidth="1"/>
    <col min="9" max="9" width="2.44140625" customWidth="1"/>
    <col min="10" max="10" width="8.33203125" customWidth="1"/>
    <col min="11" max="11" width="2.44140625" customWidth="1"/>
    <col min="12" max="12" width="8" customWidth="1"/>
    <col min="13" max="13" width="2.44140625" customWidth="1"/>
    <col min="14" max="14" width="8.6640625" customWidth="1"/>
    <col min="15" max="15" width="2.44140625" customWidth="1"/>
    <col min="16" max="16" width="13.6640625" customWidth="1"/>
    <col min="17" max="17" width="2.44140625" customWidth="1"/>
    <col min="18" max="18" width="11.33203125" customWidth="1"/>
    <col min="19" max="19" width="1.88671875" customWidth="1"/>
    <col min="20" max="20" width="9.33203125" customWidth="1"/>
    <col min="21" max="21" width="2.44140625" customWidth="1"/>
    <col min="22" max="22" width="8.44140625" customWidth="1"/>
    <col min="23" max="23" width="6.77734375" bestFit="1" customWidth="1"/>
    <col min="24" max="24" width="9.44140625" bestFit="1" customWidth="1"/>
  </cols>
  <sheetData>
    <row r="1" spans="1:23">
      <c r="A1" s="107" t="s">
        <v>122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7"/>
    </row>
    <row r="2" spans="1:23">
      <c r="A2" s="107" t="s">
        <v>123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7"/>
      <c r="V2" s="107"/>
    </row>
    <row r="3" spans="1:23">
      <c r="A3" s="107" t="s">
        <v>34</v>
      </c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107"/>
      <c r="U3" s="107"/>
      <c r="V3" s="107"/>
    </row>
    <row r="4" spans="1:23">
      <c r="A4" s="107" t="s">
        <v>124</v>
      </c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107"/>
      <c r="P4" s="107"/>
      <c r="Q4" s="107"/>
      <c r="R4" s="107"/>
      <c r="S4" s="107"/>
      <c r="T4" s="107"/>
      <c r="U4" s="107"/>
      <c r="V4" s="107"/>
    </row>
    <row r="5" spans="1:23">
      <c r="A5" s="107" t="s">
        <v>125</v>
      </c>
      <c r="B5" s="107"/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107"/>
      <c r="T5" s="107"/>
      <c r="U5" s="107"/>
      <c r="V5" s="107"/>
    </row>
    <row r="6" spans="1:23">
      <c r="L6" s="26"/>
    </row>
    <row r="8" spans="1:23">
      <c r="A8" s="27" t="s">
        <v>35</v>
      </c>
      <c r="V8" s="28" t="s">
        <v>1</v>
      </c>
    </row>
    <row r="9" spans="1:23">
      <c r="A9" s="27" t="s">
        <v>4</v>
      </c>
      <c r="T9" s="27"/>
      <c r="V9" s="29" t="s">
        <v>3</v>
      </c>
    </row>
    <row r="10" spans="1:23" ht="16.5" thickBot="1">
      <c r="A10" s="30" t="s">
        <v>6</v>
      </c>
      <c r="B10" s="31"/>
      <c r="C10" s="31"/>
      <c r="D10" s="31"/>
      <c r="E10" s="31"/>
      <c r="F10" s="31"/>
      <c r="G10" s="31"/>
      <c r="N10" s="32" t="s">
        <v>36</v>
      </c>
      <c r="O10" s="33"/>
      <c r="P10" s="33"/>
      <c r="T10" s="30"/>
      <c r="V10" s="34" t="str">
        <f>'J-1 Base'!$M$9</f>
        <v>Witness: Christian</v>
      </c>
    </row>
    <row r="11" spans="1:23" ht="15.75">
      <c r="H11" s="35" t="s">
        <v>37</v>
      </c>
      <c r="I11" s="36"/>
      <c r="J11" s="36"/>
      <c r="K11" s="36"/>
      <c r="L11" s="36"/>
      <c r="M11" s="36"/>
      <c r="N11" s="37"/>
      <c r="P11" s="35" t="s">
        <v>38</v>
      </c>
      <c r="Q11" s="36"/>
      <c r="R11" s="36"/>
      <c r="S11" s="36"/>
      <c r="T11" s="36"/>
      <c r="U11" s="36"/>
      <c r="V11" s="37"/>
      <c r="W11" s="9"/>
    </row>
    <row r="12" spans="1:23">
      <c r="A12" s="26" t="s">
        <v>8</v>
      </c>
      <c r="F12" s="26" t="s">
        <v>9</v>
      </c>
      <c r="H12" s="38"/>
      <c r="J12" s="26" t="s">
        <v>10</v>
      </c>
      <c r="N12" s="39" t="s">
        <v>11</v>
      </c>
      <c r="P12" s="38"/>
      <c r="R12" s="26" t="s">
        <v>10</v>
      </c>
      <c r="V12" s="39" t="s">
        <v>11</v>
      </c>
    </row>
    <row r="13" spans="1:23" ht="15.75" thickBot="1">
      <c r="A13" s="40" t="s">
        <v>12</v>
      </c>
      <c r="B13" s="31"/>
      <c r="C13" s="30" t="s">
        <v>13</v>
      </c>
      <c r="D13" s="31"/>
      <c r="E13" s="31"/>
      <c r="F13" s="40" t="s">
        <v>14</v>
      </c>
      <c r="G13" s="31"/>
      <c r="H13" s="41" t="s">
        <v>15</v>
      </c>
      <c r="I13" s="42"/>
      <c r="J13" s="43" t="s">
        <v>16</v>
      </c>
      <c r="K13" s="42"/>
      <c r="L13" s="43" t="s">
        <v>17</v>
      </c>
      <c r="M13" s="42"/>
      <c r="N13" s="44" t="s">
        <v>18</v>
      </c>
      <c r="P13" s="41" t="s">
        <v>15</v>
      </c>
      <c r="Q13" s="42"/>
      <c r="R13" s="43" t="s">
        <v>16</v>
      </c>
      <c r="S13" s="42"/>
      <c r="T13" s="43" t="s">
        <v>17</v>
      </c>
      <c r="U13" s="42"/>
      <c r="V13" s="44" t="s">
        <v>18</v>
      </c>
    </row>
    <row r="14" spans="1:23">
      <c r="F14" s="26" t="s">
        <v>19</v>
      </c>
      <c r="H14" s="26" t="s">
        <v>20</v>
      </c>
      <c r="J14" s="26" t="s">
        <v>21</v>
      </c>
      <c r="L14" s="26" t="s">
        <v>22</v>
      </c>
      <c r="N14" s="26" t="s">
        <v>23</v>
      </c>
      <c r="P14" s="26" t="s">
        <v>39</v>
      </c>
      <c r="R14" s="26" t="s">
        <v>40</v>
      </c>
      <c r="T14" s="26" t="s">
        <v>41</v>
      </c>
      <c r="V14" s="26" t="s">
        <v>42</v>
      </c>
    </row>
    <row r="15" spans="1:23">
      <c r="H15" s="26" t="s">
        <v>24</v>
      </c>
      <c r="J15" s="26" t="s">
        <v>25</v>
      </c>
      <c r="L15" s="26" t="s">
        <v>25</v>
      </c>
      <c r="N15" s="26" t="s">
        <v>25</v>
      </c>
      <c r="P15" s="26" t="s">
        <v>24</v>
      </c>
      <c r="R15" s="26" t="s">
        <v>25</v>
      </c>
      <c r="T15" s="26" t="s">
        <v>25</v>
      </c>
      <c r="V15" s="26" t="s">
        <v>25</v>
      </c>
    </row>
    <row r="17" spans="1:24">
      <c r="A17" s="26" t="s">
        <v>43</v>
      </c>
      <c r="C17" s="27" t="s">
        <v>27</v>
      </c>
      <c r="F17" s="19"/>
      <c r="G17" s="19"/>
      <c r="H17" s="19">
        <f>+'J-2 B'!F20</f>
        <v>21556.707437275982</v>
      </c>
      <c r="I17" s="19"/>
      <c r="J17" s="17">
        <f>ROUND(H17/$H$29,4)</f>
        <v>1.9E-3</v>
      </c>
      <c r="K17" s="19"/>
      <c r="L17" s="45">
        <f>+'J-2 B'!L20</f>
        <v>0.2517316892072915</v>
      </c>
      <c r="M17" s="19"/>
      <c r="N17" s="45">
        <f>+J17*L17</f>
        <v>4.7829020949385383E-4</v>
      </c>
      <c r="O17" s="19"/>
      <c r="P17" s="19">
        <f>+'J-2 F'!F20</f>
        <v>21556.707437275982</v>
      </c>
      <c r="Q17" s="19"/>
      <c r="R17" s="17">
        <f>ROUND(P17/$P$29,4)</f>
        <v>1.8E-3</v>
      </c>
      <c r="S17" s="19"/>
      <c r="T17" s="45">
        <f>ROUND(+'J-2 F'!L20,4)</f>
        <v>0.25169999999999998</v>
      </c>
      <c r="U17" s="17"/>
      <c r="V17" s="45">
        <f>ROUND(R17*T17,4)</f>
        <v>5.0000000000000001E-4</v>
      </c>
      <c r="W17" s="46"/>
      <c r="X17" s="46"/>
    </row>
    <row r="18" spans="1:24">
      <c r="F18" s="19"/>
      <c r="G18" s="19"/>
      <c r="H18" s="19"/>
      <c r="I18" s="19"/>
      <c r="J18" s="19"/>
      <c r="K18" s="19"/>
      <c r="L18" s="47"/>
      <c r="M18" s="19"/>
      <c r="N18" s="47"/>
      <c r="O18" s="19"/>
      <c r="P18" s="19"/>
      <c r="Q18" s="19"/>
      <c r="R18" s="17"/>
      <c r="S18" s="19"/>
      <c r="T18" s="47"/>
      <c r="U18" s="17"/>
      <c r="V18" s="47"/>
      <c r="W18" s="46"/>
    </row>
    <row r="19" spans="1:24">
      <c r="A19" s="26" t="s">
        <v>44</v>
      </c>
      <c r="C19" s="27" t="s">
        <v>29</v>
      </c>
      <c r="F19" s="19"/>
      <c r="G19" s="19"/>
      <c r="H19" s="48">
        <f>'J-1 Base'!G21</f>
        <v>4781475.9855000013</v>
      </c>
      <c r="I19" s="19"/>
      <c r="J19" s="49">
        <f>ROUND(H19/$H$29,5)</f>
        <v>0.41109000000000001</v>
      </c>
      <c r="K19" s="19"/>
      <c r="L19" s="45">
        <f>ROUND('J-3 B'!K37,4)</f>
        <v>4.1700000000000001E-2</v>
      </c>
      <c r="M19" s="19"/>
      <c r="N19" s="50">
        <f>+J19*L19</f>
        <v>1.7142453000000002E-2</v>
      </c>
      <c r="O19" s="19"/>
      <c r="P19" s="48">
        <f>+'J-3 F'!E37*0.001</f>
        <v>5119937.5239615394</v>
      </c>
      <c r="Q19" s="19"/>
      <c r="R19" s="49">
        <f>ROUND(P19/$P$29,4)</f>
        <v>0.42770000000000002</v>
      </c>
      <c r="S19" s="19"/>
      <c r="T19" s="45">
        <f>ROUND('J-3 F'!K37,4)</f>
        <v>0.04</v>
      </c>
      <c r="U19" s="17"/>
      <c r="V19" s="50">
        <f>+R19*T19</f>
        <v>1.7108000000000002E-2</v>
      </c>
      <c r="W19" s="46"/>
      <c r="X19" s="46"/>
    </row>
    <row r="20" spans="1:24">
      <c r="F20" s="19"/>
      <c r="G20" s="19"/>
      <c r="H20" s="19"/>
      <c r="I20" s="19"/>
      <c r="J20" s="19"/>
      <c r="K20" s="19"/>
      <c r="L20" s="47"/>
      <c r="M20" s="19"/>
      <c r="N20" s="47"/>
      <c r="O20" s="19"/>
      <c r="P20" s="19"/>
      <c r="Q20" s="19"/>
      <c r="R20" s="19"/>
      <c r="S20" s="19"/>
      <c r="T20" s="47"/>
      <c r="U20" s="17"/>
      <c r="V20" s="47"/>
      <c r="W20" s="46"/>
    </row>
    <row r="21" spans="1:24">
      <c r="A21" s="26" t="s">
        <v>45</v>
      </c>
      <c r="C21" s="27" t="s">
        <v>46</v>
      </c>
      <c r="F21" s="19"/>
      <c r="G21" s="19"/>
      <c r="H21" s="19">
        <f>H17+H19</f>
        <v>4803032.6929372773</v>
      </c>
      <c r="I21" s="19"/>
      <c r="J21" s="17">
        <f>J17+J19</f>
        <v>0.41299000000000002</v>
      </c>
      <c r="K21" s="19"/>
      <c r="L21" s="47"/>
      <c r="M21" s="19"/>
      <c r="N21" s="45">
        <f>N17+N19</f>
        <v>1.7620743209493854E-2</v>
      </c>
      <c r="O21" s="19"/>
      <c r="P21" s="19">
        <f>P17+P19</f>
        <v>5141494.2313988153</v>
      </c>
      <c r="Q21" s="19"/>
      <c r="R21" s="17">
        <f>R17+R19</f>
        <v>0.42950000000000005</v>
      </c>
      <c r="S21" s="19"/>
      <c r="T21" s="47"/>
      <c r="U21" s="17"/>
      <c r="V21" s="45">
        <f>V17+V19</f>
        <v>1.7608000000000002E-2</v>
      </c>
      <c r="W21" s="46"/>
      <c r="X21" s="19"/>
    </row>
    <row r="22" spans="1:24">
      <c r="F22" s="19"/>
      <c r="G22" s="19"/>
      <c r="H22" s="19"/>
      <c r="I22" s="19"/>
      <c r="J22" s="19"/>
      <c r="K22" s="19"/>
      <c r="L22" s="47"/>
      <c r="M22" s="19"/>
      <c r="N22" s="47"/>
      <c r="O22" s="19"/>
      <c r="P22" s="19"/>
      <c r="Q22" s="19"/>
      <c r="R22" s="19"/>
      <c r="S22" s="19"/>
      <c r="T22" s="47"/>
      <c r="U22" s="17"/>
      <c r="V22" s="47"/>
      <c r="W22" s="46"/>
    </row>
    <row r="23" spans="1:24">
      <c r="A23" s="26" t="s">
        <v>47</v>
      </c>
      <c r="C23" s="27" t="s">
        <v>30</v>
      </c>
      <c r="F23" s="19"/>
      <c r="G23" s="19"/>
      <c r="H23" s="19">
        <v>0</v>
      </c>
      <c r="I23" s="19"/>
      <c r="J23" s="17">
        <f>ROUND(H23/$H$29,4)</f>
        <v>0</v>
      </c>
      <c r="K23" s="19"/>
      <c r="L23" s="47">
        <v>0</v>
      </c>
      <c r="M23" s="19"/>
      <c r="N23" s="45">
        <f>+J23*L23</f>
        <v>0</v>
      </c>
      <c r="O23" s="19"/>
      <c r="P23" s="19">
        <v>0</v>
      </c>
      <c r="Q23" s="19"/>
      <c r="R23" s="17">
        <f>ROUND(P23/$P$29,4)</f>
        <v>0</v>
      </c>
      <c r="S23" s="19"/>
      <c r="T23" s="47">
        <v>0</v>
      </c>
      <c r="U23" s="17"/>
      <c r="V23" s="45">
        <f>ROUND(R23*T23,4)</f>
        <v>0</v>
      </c>
      <c r="W23" s="46"/>
    </row>
    <row r="24" spans="1:24">
      <c r="H24" s="19"/>
      <c r="L24" s="47"/>
      <c r="N24" s="46"/>
      <c r="P24" s="19"/>
      <c r="T24" s="47"/>
      <c r="U24" s="51"/>
      <c r="V24" s="46"/>
      <c r="W24" s="46"/>
    </row>
    <row r="25" spans="1:24" ht="15.75">
      <c r="A25" s="26" t="s">
        <v>48</v>
      </c>
      <c r="C25" s="27" t="s">
        <v>32</v>
      </c>
      <c r="H25" s="19">
        <v>6828047.9001038456</v>
      </c>
      <c r="J25" s="17">
        <f>ROUND(H25/$H$29,5)</f>
        <v>0.58704999999999996</v>
      </c>
      <c r="L25" s="45">
        <v>0.10349999999999999</v>
      </c>
      <c r="N25" s="45">
        <f>+J25*L25</f>
        <v>6.0759674999999992E-2</v>
      </c>
      <c r="P25" s="19">
        <v>6828047.9001038456</v>
      </c>
      <c r="R25" s="17">
        <f>+ROUND(P25/P29,5)</f>
        <v>0.57045000000000001</v>
      </c>
      <c r="T25" s="45">
        <f>L25</f>
        <v>0.10349999999999999</v>
      </c>
      <c r="U25" s="51"/>
      <c r="V25" s="45">
        <f>ROUND(R25*T25,4)</f>
        <v>5.8999999999999997E-2</v>
      </c>
      <c r="W25" s="52"/>
      <c r="X25" s="46"/>
    </row>
    <row r="26" spans="1:24">
      <c r="H26" s="19"/>
      <c r="L26" s="47"/>
      <c r="N26" s="46"/>
      <c r="P26" s="19"/>
      <c r="T26" s="47"/>
      <c r="U26" s="51"/>
      <c r="V26" s="46"/>
      <c r="W26" s="46"/>
    </row>
    <row r="27" spans="1:24">
      <c r="A27" s="26" t="s">
        <v>49</v>
      </c>
      <c r="C27" s="27" t="s">
        <v>50</v>
      </c>
      <c r="H27" s="48">
        <v>0</v>
      </c>
      <c r="J27" s="21">
        <f>ROUND(H27/$H$29,4)</f>
        <v>0</v>
      </c>
      <c r="L27" s="47">
        <v>0</v>
      </c>
      <c r="N27" s="50">
        <f>+J27*L27</f>
        <v>0</v>
      </c>
      <c r="P27" s="48">
        <v>0</v>
      </c>
      <c r="R27" s="21">
        <f>ROUND(P27/$H$29,4)</f>
        <v>0</v>
      </c>
      <c r="T27" s="47">
        <v>0</v>
      </c>
      <c r="U27" s="51"/>
      <c r="V27" s="53">
        <f>ROUND(R27*T27,4)</f>
        <v>0</v>
      </c>
      <c r="W27" s="46"/>
    </row>
    <row r="28" spans="1:24">
      <c r="H28" s="19"/>
      <c r="L28" s="47"/>
      <c r="P28" s="19"/>
      <c r="T28" s="17"/>
      <c r="U28" s="51"/>
      <c r="V28" s="51"/>
      <c r="W28" s="51"/>
    </row>
    <row r="29" spans="1:24" ht="15.75" thickBot="1">
      <c r="A29" s="26" t="s">
        <v>51</v>
      </c>
      <c r="C29" s="27" t="s">
        <v>33</v>
      </c>
      <c r="H29" s="54">
        <f>H21+H25+H27</f>
        <v>11631080.593041122</v>
      </c>
      <c r="J29" s="55">
        <f>SUM(J21:J27)</f>
        <v>1.00004</v>
      </c>
      <c r="L29" s="56"/>
      <c r="N29" s="24">
        <f>SUM(N21:N27)</f>
        <v>7.8380418209493846E-2</v>
      </c>
      <c r="P29" s="54">
        <f>SUM(P21:P27)</f>
        <v>11969542.131502662</v>
      </c>
      <c r="R29" s="55">
        <f>SUM(R21:R27)</f>
        <v>0.99995000000000012</v>
      </c>
      <c r="T29" s="17"/>
      <c r="U29" s="51"/>
      <c r="V29" s="24">
        <f>SUM(V21:V27)</f>
        <v>7.6607999999999996E-2</v>
      </c>
      <c r="W29" s="46"/>
      <c r="X29" s="24"/>
    </row>
    <row r="30" spans="1:24" ht="15.75" thickTop="1">
      <c r="H30" s="19"/>
      <c r="P30" s="19"/>
      <c r="T30" s="51"/>
      <c r="U30" s="51"/>
      <c r="V30" s="51"/>
    </row>
    <row r="35" spans="1:22" ht="16.5" thickBot="1">
      <c r="A35" s="57"/>
      <c r="B35" s="57"/>
      <c r="C35" s="57"/>
      <c r="D35" s="57"/>
      <c r="E35" s="57"/>
      <c r="F35" s="57"/>
      <c r="G35" s="57"/>
      <c r="N35" s="32" t="s">
        <v>52</v>
      </c>
      <c r="O35" s="33"/>
      <c r="P35" s="33"/>
    </row>
    <row r="36" spans="1:22" ht="15.75">
      <c r="H36" s="35" t="s">
        <v>37</v>
      </c>
      <c r="I36" s="36"/>
      <c r="J36" s="36"/>
      <c r="K36" s="36"/>
      <c r="L36" s="36"/>
      <c r="M36" s="36"/>
      <c r="N36" s="37"/>
      <c r="P36" s="35" t="s">
        <v>38</v>
      </c>
      <c r="Q36" s="36"/>
      <c r="R36" s="36"/>
      <c r="S36" s="36"/>
      <c r="T36" s="36"/>
      <c r="U36" s="36"/>
      <c r="V36" s="37"/>
    </row>
    <row r="37" spans="1:22">
      <c r="A37" s="26" t="s">
        <v>8</v>
      </c>
      <c r="F37" s="26" t="s">
        <v>9</v>
      </c>
      <c r="H37" s="38"/>
      <c r="J37" s="26" t="s">
        <v>10</v>
      </c>
      <c r="N37" s="39" t="s">
        <v>11</v>
      </c>
      <c r="P37" s="38"/>
      <c r="R37" s="26" t="s">
        <v>10</v>
      </c>
      <c r="V37" s="39" t="s">
        <v>11</v>
      </c>
    </row>
    <row r="38" spans="1:22" ht="15.75" thickBot="1">
      <c r="A38" s="40" t="s">
        <v>12</v>
      </c>
      <c r="B38" s="31"/>
      <c r="C38" s="30" t="s">
        <v>13</v>
      </c>
      <c r="D38" s="31"/>
      <c r="E38" s="31"/>
      <c r="F38" s="40" t="s">
        <v>14</v>
      </c>
      <c r="G38" s="31"/>
      <c r="H38" s="41" t="s">
        <v>15</v>
      </c>
      <c r="I38" s="42"/>
      <c r="J38" s="43" t="s">
        <v>16</v>
      </c>
      <c r="K38" s="42"/>
      <c r="L38" s="43" t="s">
        <v>17</v>
      </c>
      <c r="M38" s="42"/>
      <c r="N38" s="44" t="s">
        <v>18</v>
      </c>
      <c r="P38" s="41" t="s">
        <v>15</v>
      </c>
      <c r="Q38" s="42"/>
      <c r="R38" s="43" t="s">
        <v>16</v>
      </c>
      <c r="S38" s="42"/>
      <c r="T38" s="43" t="s">
        <v>17</v>
      </c>
      <c r="U38" s="42"/>
      <c r="V38" s="44" t="s">
        <v>18</v>
      </c>
    </row>
    <row r="39" spans="1:22">
      <c r="F39" s="26" t="s">
        <v>19</v>
      </c>
      <c r="H39" s="26" t="s">
        <v>20</v>
      </c>
      <c r="J39" s="26" t="s">
        <v>21</v>
      </c>
      <c r="L39" s="26" t="s">
        <v>22</v>
      </c>
      <c r="N39" s="26" t="s">
        <v>23</v>
      </c>
      <c r="P39" s="26" t="s">
        <v>39</v>
      </c>
      <c r="R39" s="26" t="s">
        <v>40</v>
      </c>
      <c r="T39" s="26" t="s">
        <v>41</v>
      </c>
      <c r="V39" s="26" t="s">
        <v>42</v>
      </c>
    </row>
    <row r="40" spans="1:22">
      <c r="H40" s="26" t="s">
        <v>24</v>
      </c>
      <c r="J40" s="26" t="s">
        <v>25</v>
      </c>
      <c r="L40" s="26" t="s">
        <v>25</v>
      </c>
      <c r="N40" s="26" t="s">
        <v>25</v>
      </c>
      <c r="P40" s="26" t="s">
        <v>24</v>
      </c>
      <c r="R40" s="26" t="s">
        <v>25</v>
      </c>
      <c r="T40" s="26" t="s">
        <v>25</v>
      </c>
      <c r="V40" s="26" t="s">
        <v>25</v>
      </c>
    </row>
    <row r="42" spans="1:22">
      <c r="A42" s="26">
        <v>8</v>
      </c>
      <c r="C42" s="27" t="s">
        <v>27</v>
      </c>
      <c r="F42" s="19"/>
      <c r="G42" s="19"/>
      <c r="H42" s="19">
        <f>+'J-2 B'!F20</f>
        <v>21556.707437275982</v>
      </c>
      <c r="I42" s="19"/>
      <c r="J42" s="17">
        <f>ROUND(H42/$H$54,4)</f>
        <v>1.9E-3</v>
      </c>
      <c r="K42" s="19"/>
      <c r="L42" s="45">
        <f>+'J-2 B'!L20</f>
        <v>0.2517316892072915</v>
      </c>
      <c r="M42" s="19"/>
      <c r="N42" s="45">
        <f>+J42*L42</f>
        <v>4.7829020949385383E-4</v>
      </c>
      <c r="O42" s="19"/>
      <c r="P42" s="19">
        <f>+'J-2 F'!F20</f>
        <v>21556.707437275982</v>
      </c>
      <c r="Q42" s="19"/>
      <c r="R42" s="17">
        <f>ROUND(P42/$P$54,4)</f>
        <v>1.8E-3</v>
      </c>
      <c r="S42" s="19"/>
      <c r="T42" s="45">
        <f>ROUND(+'J-2 F'!L20,4)</f>
        <v>0.25169999999999998</v>
      </c>
      <c r="U42" s="17"/>
      <c r="V42" s="45">
        <f>ROUND(R42*T42,4)</f>
        <v>5.0000000000000001E-4</v>
      </c>
    </row>
    <row r="43" spans="1:22">
      <c r="F43" s="19"/>
      <c r="G43" s="19"/>
      <c r="H43" s="19"/>
      <c r="I43" s="19"/>
      <c r="J43" s="19"/>
      <c r="K43" s="19"/>
      <c r="L43" s="47"/>
      <c r="M43" s="19"/>
      <c r="N43" s="47"/>
      <c r="O43" s="19"/>
      <c r="P43" s="19"/>
      <c r="Q43" s="19"/>
      <c r="R43" s="17"/>
      <c r="S43" s="19"/>
      <c r="T43" s="47"/>
      <c r="U43" s="17"/>
      <c r="V43" s="47"/>
    </row>
    <row r="44" spans="1:22">
      <c r="A44" s="26">
        <v>9</v>
      </c>
      <c r="C44" s="27" t="s">
        <v>29</v>
      </c>
      <c r="F44" s="19"/>
      <c r="G44" s="19"/>
      <c r="H44" s="48">
        <f>H19</f>
        <v>4781475.9855000013</v>
      </c>
      <c r="I44" s="19"/>
      <c r="J44" s="49">
        <f>ROUND(H44/$H$54,5)</f>
        <v>0.41109000000000001</v>
      </c>
      <c r="K44" s="19"/>
      <c r="L44" s="45">
        <f>ROUND('J-3 B'!K37,4)</f>
        <v>4.1700000000000001E-2</v>
      </c>
      <c r="M44" s="19"/>
      <c r="N44" s="50">
        <f>+J44*L44</f>
        <v>1.7142453000000002E-2</v>
      </c>
      <c r="O44" s="19"/>
      <c r="P44" s="48">
        <f>+'J-3 F'!E37*0.001</f>
        <v>5119937.5239615394</v>
      </c>
      <c r="Q44" s="19"/>
      <c r="R44" s="49">
        <f>ROUND(P44/$P$54,4)</f>
        <v>0.42770000000000002</v>
      </c>
      <c r="S44" s="19"/>
      <c r="T44" s="45">
        <f>ROUND('J-3 F'!K37,4)</f>
        <v>0.04</v>
      </c>
      <c r="U44" s="17"/>
      <c r="V44" s="53">
        <f>ROUND(R44*T44,4)</f>
        <v>1.7100000000000001E-2</v>
      </c>
    </row>
    <row r="45" spans="1:22">
      <c r="F45" s="19"/>
      <c r="G45" s="19"/>
      <c r="H45" s="19"/>
      <c r="I45" s="19"/>
      <c r="J45" s="19"/>
      <c r="K45" s="19"/>
      <c r="L45" s="47"/>
      <c r="M45" s="19"/>
      <c r="N45" s="47"/>
      <c r="O45" s="19"/>
      <c r="P45" s="19"/>
      <c r="Q45" s="19"/>
      <c r="R45" s="19"/>
      <c r="S45" s="19"/>
      <c r="T45" s="47"/>
      <c r="U45" s="17"/>
      <c r="V45" s="47"/>
    </row>
    <row r="46" spans="1:22">
      <c r="A46" s="26">
        <v>10</v>
      </c>
      <c r="C46" s="27" t="s">
        <v>46</v>
      </c>
      <c r="F46" s="19"/>
      <c r="G46" s="19"/>
      <c r="H46" s="19">
        <f>H42+H44</f>
        <v>4803032.6929372773</v>
      </c>
      <c r="I46" s="19"/>
      <c r="J46" s="17">
        <f>J42+J44</f>
        <v>0.41299000000000002</v>
      </c>
      <c r="K46" s="19"/>
      <c r="L46" s="47"/>
      <c r="M46" s="19"/>
      <c r="N46" s="45">
        <f>N42+N44</f>
        <v>1.7620743209493854E-2</v>
      </c>
      <c r="O46" s="19"/>
      <c r="P46" s="19">
        <f>P42+P44</f>
        <v>5141494.2313988153</v>
      </c>
      <c r="Q46" s="19"/>
      <c r="R46" s="17">
        <f>R42+R44</f>
        <v>0.42950000000000005</v>
      </c>
      <c r="S46" s="19"/>
      <c r="T46" s="47"/>
      <c r="U46" s="17"/>
      <c r="V46" s="45">
        <f>V42+V44</f>
        <v>1.7600000000000001E-2</v>
      </c>
    </row>
    <row r="47" spans="1:22">
      <c r="F47" s="19"/>
      <c r="G47" s="19"/>
      <c r="H47" s="19"/>
      <c r="I47" s="19"/>
      <c r="J47" s="19"/>
      <c r="K47" s="19"/>
      <c r="L47" s="47"/>
      <c r="M47" s="19"/>
      <c r="N47" s="47"/>
      <c r="O47" s="19"/>
      <c r="P47" s="19"/>
      <c r="Q47" s="19"/>
      <c r="R47" s="19"/>
      <c r="S47" s="19"/>
      <c r="T47" s="47"/>
      <c r="U47" s="17"/>
      <c r="V47" s="47"/>
    </row>
    <row r="48" spans="1:22">
      <c r="A48" s="26">
        <v>11</v>
      </c>
      <c r="C48" s="27" t="s">
        <v>30</v>
      </c>
      <c r="F48" s="19"/>
      <c r="G48" s="19"/>
      <c r="H48" s="19">
        <v>0</v>
      </c>
      <c r="I48" s="19"/>
      <c r="J48" s="17">
        <f>ROUND(H48/$H$54,4)</f>
        <v>0</v>
      </c>
      <c r="K48" s="19"/>
      <c r="L48" s="47">
        <v>0</v>
      </c>
      <c r="M48" s="19"/>
      <c r="N48" s="45">
        <f>+J48*L48</f>
        <v>0</v>
      </c>
      <c r="O48" s="19"/>
      <c r="P48" s="19">
        <v>0</v>
      </c>
      <c r="Q48" s="19"/>
      <c r="R48" s="17">
        <f>ROUND(P48/$P$54,4)</f>
        <v>0</v>
      </c>
      <c r="S48" s="19"/>
      <c r="T48" s="47">
        <v>0</v>
      </c>
      <c r="U48" s="17"/>
      <c r="V48" s="45">
        <f>ROUND(R48*T48,4)</f>
        <v>0</v>
      </c>
    </row>
    <row r="49" spans="1:22">
      <c r="H49" s="19"/>
      <c r="L49" s="47"/>
      <c r="N49" s="46"/>
      <c r="P49" s="19"/>
      <c r="T49" s="47"/>
      <c r="U49" s="51"/>
      <c r="V49" s="46"/>
    </row>
    <row r="50" spans="1:22">
      <c r="A50" s="26">
        <v>12</v>
      </c>
      <c r="C50" s="27" t="s">
        <v>32</v>
      </c>
      <c r="H50" s="19">
        <f>H25</f>
        <v>6828047.9001038456</v>
      </c>
      <c r="J50" s="17">
        <f>ROUND(H50/$H$54,5)</f>
        <v>0.58704999999999996</v>
      </c>
      <c r="L50" s="45">
        <f>+N50/J50</f>
        <v>6.0831052103239608E-2</v>
      </c>
      <c r="N50" s="45">
        <f>+N54-N46</f>
        <v>3.5710869137206808E-2</v>
      </c>
      <c r="P50" s="19">
        <f>P25</f>
        <v>6828047.9001038456</v>
      </c>
      <c r="R50" s="17">
        <f>+ROUND(P50/P54,5)</f>
        <v>0.57045000000000001</v>
      </c>
      <c r="T50" s="45">
        <f>+V50/R50</f>
        <v>5.5570163905688474E-2</v>
      </c>
      <c r="U50" s="51"/>
      <c r="V50" s="45">
        <f>+V54-V46</f>
        <v>3.1699999999999992E-2</v>
      </c>
    </row>
    <row r="51" spans="1:22">
      <c r="H51" s="19"/>
      <c r="L51" s="47"/>
      <c r="N51" s="46"/>
      <c r="P51" s="19"/>
      <c r="T51" s="47"/>
      <c r="U51" s="51"/>
      <c r="V51" s="46"/>
    </row>
    <row r="52" spans="1:22">
      <c r="A52" s="26">
        <v>13</v>
      </c>
      <c r="C52" s="27" t="s">
        <v>50</v>
      </c>
      <c r="H52" s="48">
        <v>0</v>
      </c>
      <c r="J52" s="21">
        <f>ROUND(H52/$H$29,4)</f>
        <v>0</v>
      </c>
      <c r="L52" s="47">
        <v>0</v>
      </c>
      <c r="N52" s="50">
        <f>+J52*L52</f>
        <v>0</v>
      </c>
      <c r="P52" s="48">
        <v>0</v>
      </c>
      <c r="R52" s="21">
        <f>ROUND(P52/$H$54,4)</f>
        <v>0</v>
      </c>
      <c r="T52" s="47">
        <v>0</v>
      </c>
      <c r="U52" s="51"/>
      <c r="V52" s="53">
        <f>ROUND(R52*T52,4)</f>
        <v>0</v>
      </c>
    </row>
    <row r="53" spans="1:22">
      <c r="H53" s="19"/>
      <c r="L53" s="47"/>
      <c r="P53" s="19"/>
      <c r="T53" s="17"/>
      <c r="U53" s="51"/>
      <c r="V53" s="51"/>
    </row>
    <row r="54" spans="1:22" ht="15.75" thickBot="1">
      <c r="A54" s="26">
        <v>14</v>
      </c>
      <c r="C54" s="27" t="s">
        <v>33</v>
      </c>
      <c r="H54" s="54">
        <f>H46+H50+H52</f>
        <v>11631080.593041122</v>
      </c>
      <c r="J54" s="55">
        <f>SUM(J46:J52)</f>
        <v>1.00004</v>
      </c>
      <c r="L54" s="56"/>
      <c r="N54" s="24">
        <v>5.3331612346700662E-2</v>
      </c>
      <c r="P54" s="54">
        <f>SUM(P46:P52)</f>
        <v>11969542.131502662</v>
      </c>
      <c r="R54" s="55">
        <f>SUM(R46:R52)</f>
        <v>0.99995000000000012</v>
      </c>
      <c r="T54" s="17"/>
      <c r="U54" s="51"/>
      <c r="V54" s="24">
        <v>4.9299999999999997E-2</v>
      </c>
    </row>
    <row r="55" spans="1:22" ht="15.75" thickTop="1">
      <c r="H55" s="19"/>
      <c r="P55" s="19"/>
      <c r="T55" s="51"/>
      <c r="U55" s="51"/>
      <c r="V55" s="51"/>
    </row>
    <row r="56" spans="1:22"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</row>
    <row r="57" spans="1:22">
      <c r="F57" s="19"/>
      <c r="G57" s="19"/>
      <c r="H57" s="19"/>
      <c r="I57" s="19"/>
      <c r="J57" s="17"/>
      <c r="K57" s="19"/>
      <c r="L57" s="56"/>
      <c r="M57" s="19"/>
      <c r="N57" s="56"/>
      <c r="O57" s="19"/>
      <c r="P57" s="19"/>
    </row>
    <row r="58" spans="1:22">
      <c r="F58" s="19"/>
      <c r="G58" s="19"/>
      <c r="H58" s="19"/>
      <c r="I58" s="19"/>
      <c r="J58" s="19"/>
      <c r="K58" s="19"/>
      <c r="L58" s="56"/>
      <c r="M58" s="19"/>
      <c r="N58" s="19"/>
      <c r="O58" s="19"/>
      <c r="P58" s="19"/>
    </row>
    <row r="59" spans="1:22">
      <c r="F59" s="19"/>
      <c r="G59" s="19"/>
      <c r="H59" s="19"/>
      <c r="I59" s="19"/>
      <c r="J59" s="17"/>
      <c r="K59" s="19"/>
      <c r="L59" s="56"/>
      <c r="M59" s="19"/>
      <c r="N59" s="56"/>
      <c r="O59" s="19"/>
      <c r="P59" s="19"/>
    </row>
    <row r="60" spans="1:22">
      <c r="F60" s="19"/>
      <c r="G60" s="19"/>
      <c r="H60" s="19"/>
      <c r="I60" s="19"/>
      <c r="J60" s="19"/>
      <c r="K60" s="19"/>
      <c r="L60" s="56"/>
      <c r="M60" s="19"/>
      <c r="N60" s="19"/>
      <c r="O60" s="19"/>
      <c r="P60" s="19"/>
    </row>
    <row r="61" spans="1:22">
      <c r="F61" s="19"/>
      <c r="G61" s="19"/>
      <c r="H61" s="19"/>
      <c r="I61" s="19"/>
      <c r="J61" s="17"/>
      <c r="K61" s="19"/>
      <c r="L61" s="56"/>
      <c r="M61" s="19"/>
      <c r="N61" s="56"/>
      <c r="O61" s="19"/>
      <c r="P61" s="19"/>
    </row>
    <row r="62" spans="1:22">
      <c r="F62" s="19"/>
      <c r="G62" s="19"/>
      <c r="H62" s="19"/>
      <c r="I62" s="19"/>
      <c r="J62" s="19"/>
      <c r="K62" s="19"/>
      <c r="L62" s="19"/>
      <c r="M62" s="19"/>
      <c r="N62" s="19"/>
      <c r="O62" s="19"/>
    </row>
  </sheetData>
  <mergeCells count="5">
    <mergeCell ref="A1:V1"/>
    <mergeCell ref="A2:V2"/>
    <mergeCell ref="A3:V3"/>
    <mergeCell ref="A4:V4"/>
    <mergeCell ref="A5:V5"/>
  </mergeCells>
  <printOptions horizontalCentered="1"/>
  <pageMargins left="0.67" right="0.75" top="0.75" bottom="1.26" header="0.5" footer="0.5"/>
  <pageSetup scale="57" orientation="landscape" verticalDpi="300" r:id="rId1"/>
  <headerFooter alignWithMargins="0">
    <oddHeader>&amp;RCASE NO. 2021-00214
FR 16(8)(j)
ATTACHMENT 1</oddHeader>
    <oddFooter>&amp;RSchedule &amp;A
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0D1A7D-658F-4992-AC2E-05E509359ED6}">
  <sheetPr>
    <pageSetUpPr fitToPage="1"/>
  </sheetPr>
  <dimension ref="A1:Q33"/>
  <sheetViews>
    <sheetView view="pageBreakPreview" zoomScale="80" zoomScaleNormal="100" zoomScaleSheetLayoutView="80" workbookViewId="0">
      <selection activeCell="V28" sqref="V28"/>
    </sheetView>
  </sheetViews>
  <sheetFormatPr defaultColWidth="10.109375" defaultRowHeight="15"/>
  <cols>
    <col min="1" max="1" width="6.5546875" style="1" customWidth="1"/>
    <col min="2" max="2" width="3.33203125" style="1" customWidth="1"/>
    <col min="3" max="3" width="16.109375" style="1" customWidth="1"/>
    <col min="4" max="4" width="11" style="1" customWidth="1"/>
    <col min="5" max="5" width="5.88671875" style="1" customWidth="1"/>
    <col min="6" max="6" width="13.109375" style="1" bestFit="1" customWidth="1"/>
    <col min="7" max="7" width="5" style="1" customWidth="1"/>
    <col min="8" max="8" width="10.109375" style="1"/>
    <col min="9" max="9" width="5" style="1" customWidth="1"/>
    <col min="10" max="10" width="10.109375" style="1" customWidth="1"/>
    <col min="11" max="11" width="6.33203125" style="1" customWidth="1"/>
    <col min="12" max="12" width="11.88671875" style="1" customWidth="1"/>
    <col min="13" max="16384" width="10.109375" style="1"/>
  </cols>
  <sheetData>
    <row r="1" spans="1:17">
      <c r="A1" s="109" t="s">
        <v>122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</row>
    <row r="2" spans="1:17">
      <c r="A2" s="109" t="s">
        <v>123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</row>
    <row r="3" spans="1:17">
      <c r="A3" s="109" t="s">
        <v>53</v>
      </c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</row>
    <row r="4" spans="1:17">
      <c r="A4" s="109" t="s">
        <v>54</v>
      </c>
      <c r="B4" s="109"/>
      <c r="C4" s="109"/>
      <c r="D4" s="109"/>
      <c r="E4" s="109"/>
      <c r="F4" s="109"/>
      <c r="G4" s="109"/>
      <c r="H4" s="109"/>
      <c r="I4" s="109"/>
      <c r="J4" s="109"/>
      <c r="K4" s="109"/>
      <c r="L4" s="109"/>
    </row>
    <row r="5" spans="1:17">
      <c r="A5" s="58"/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</row>
    <row r="6" spans="1:17">
      <c r="L6" s="59" t="s">
        <v>1</v>
      </c>
    </row>
    <row r="7" spans="1:17">
      <c r="A7" s="27" t="str">
        <f>'J-1 Base'!A7</f>
        <v>Data:__X___Base Period______Forecasted Period</v>
      </c>
      <c r="L7" s="4" t="s">
        <v>55</v>
      </c>
    </row>
    <row r="8" spans="1:17">
      <c r="A8" s="27" t="str">
        <f>'J-1 Base'!A8</f>
        <v>Type of Filing:___X____Original________Updated ________Revised</v>
      </c>
      <c r="L8" s="4" t="s">
        <v>5</v>
      </c>
    </row>
    <row r="9" spans="1:17">
      <c r="A9" s="60" t="str">
        <f>'J-1 Base'!A9</f>
        <v>Workpaper Reference No(s).____________________</v>
      </c>
      <c r="B9" s="7"/>
      <c r="C9" s="7"/>
      <c r="D9" s="7"/>
      <c r="E9" s="7"/>
      <c r="F9" s="7"/>
      <c r="G9" s="7"/>
      <c r="H9" s="7"/>
      <c r="I9" s="7"/>
      <c r="J9" s="7"/>
      <c r="K9" s="61"/>
      <c r="L9" s="34" t="str">
        <f>'J-1 Base'!M9</f>
        <v>Witness: Christian</v>
      </c>
    </row>
    <row r="10" spans="1:17">
      <c r="H10" s="2">
        <v>-1</v>
      </c>
      <c r="J10" s="10" t="s">
        <v>56</v>
      </c>
      <c r="L10" s="10" t="s">
        <v>57</v>
      </c>
    </row>
    <row r="11" spans="1:17">
      <c r="A11" s="10" t="s">
        <v>8</v>
      </c>
      <c r="F11" s="10" t="s">
        <v>15</v>
      </c>
      <c r="H11" s="10" t="s">
        <v>58</v>
      </c>
      <c r="J11" s="10" t="s">
        <v>59</v>
      </c>
      <c r="L11" s="10" t="s">
        <v>58</v>
      </c>
    </row>
    <row r="12" spans="1:17">
      <c r="A12" s="11" t="s">
        <v>12</v>
      </c>
      <c r="B12" s="7"/>
      <c r="C12" s="11" t="s">
        <v>60</v>
      </c>
      <c r="D12" s="7"/>
      <c r="E12" s="7"/>
      <c r="F12" s="11" t="s">
        <v>61</v>
      </c>
      <c r="G12" s="7"/>
      <c r="H12" s="11" t="s">
        <v>62</v>
      </c>
      <c r="I12" s="7"/>
      <c r="J12" s="11" t="s">
        <v>18</v>
      </c>
      <c r="K12" s="7"/>
      <c r="L12" s="11" t="s">
        <v>62</v>
      </c>
    </row>
    <row r="13" spans="1:17">
      <c r="C13" s="10" t="s">
        <v>19</v>
      </c>
      <c r="F13" s="10" t="s">
        <v>20</v>
      </c>
      <c r="H13" s="10" t="s">
        <v>21</v>
      </c>
      <c r="J13" s="10" t="s">
        <v>22</v>
      </c>
      <c r="L13" s="10" t="s">
        <v>63</v>
      </c>
    </row>
    <row r="14" spans="1:17">
      <c r="F14" s="10" t="s">
        <v>24</v>
      </c>
      <c r="J14" s="10" t="s">
        <v>24</v>
      </c>
    </row>
    <row r="16" spans="1:17" ht="15.75">
      <c r="A16" s="10" t="s">
        <v>43</v>
      </c>
      <c r="C16" s="3" t="s">
        <v>64</v>
      </c>
      <c r="F16" s="62">
        <v>21556.707437275982</v>
      </c>
      <c r="G16" s="63"/>
      <c r="H16" s="64">
        <v>5.6591759488858039E-3</v>
      </c>
      <c r="I16" s="13"/>
      <c r="J16" s="62">
        <f>F16*H16</f>
        <v>121.99320026619996</v>
      </c>
      <c r="K16" s="12"/>
      <c r="L16" s="12"/>
      <c r="M16" s="65"/>
      <c r="N16" s="66"/>
      <c r="O16" s="12"/>
      <c r="P16" s="12"/>
      <c r="Q16" s="12"/>
    </row>
    <row r="18" spans="1:17">
      <c r="A18" s="10">
        <v>2</v>
      </c>
      <c r="C18" s="3" t="s">
        <v>65</v>
      </c>
      <c r="F18" s="67"/>
      <c r="G18" s="12"/>
      <c r="H18" s="12"/>
      <c r="I18" s="13"/>
      <c r="J18" s="62">
        <v>5304.5131766666664</v>
      </c>
      <c r="K18" s="12"/>
      <c r="L18" s="12"/>
      <c r="M18" s="12"/>
      <c r="N18" s="66"/>
      <c r="O18" s="12"/>
      <c r="P18" s="12"/>
      <c r="Q18" s="12"/>
    </row>
    <row r="19" spans="1:17">
      <c r="F19" s="12"/>
      <c r="G19" s="12"/>
      <c r="H19" s="15"/>
      <c r="I19" s="12"/>
      <c r="J19" s="12"/>
      <c r="K19" s="12"/>
      <c r="L19" s="12"/>
      <c r="M19" s="12"/>
      <c r="N19" s="12"/>
      <c r="O19" s="12"/>
      <c r="P19" s="12"/>
      <c r="Q19" s="12"/>
    </row>
    <row r="20" spans="1:17">
      <c r="A20" s="10">
        <v>3</v>
      </c>
      <c r="C20" s="3" t="s">
        <v>66</v>
      </c>
      <c r="F20" s="68">
        <f>SUM(F16:F18)</f>
        <v>21556.707437275982</v>
      </c>
      <c r="G20" s="12"/>
      <c r="H20" s="12"/>
      <c r="I20" s="13"/>
      <c r="J20" s="68">
        <f>SUM(J16:J18)</f>
        <v>5426.5063769328663</v>
      </c>
      <c r="K20" s="12"/>
      <c r="L20" s="17">
        <f>(J20/F20)</f>
        <v>0.2517316892072915</v>
      </c>
      <c r="M20" s="12"/>
      <c r="N20" s="12"/>
      <c r="O20" s="12"/>
      <c r="P20" s="12"/>
      <c r="Q20" s="12"/>
    </row>
    <row r="21" spans="1:17">
      <c r="F21" s="12"/>
      <c r="G21" s="12"/>
      <c r="H21" s="15"/>
      <c r="I21" s="13"/>
      <c r="J21" s="13"/>
      <c r="K21" s="12"/>
      <c r="L21" s="12"/>
      <c r="M21" s="12"/>
      <c r="N21" s="12"/>
      <c r="O21" s="12"/>
      <c r="P21" s="12"/>
      <c r="Q21" s="12"/>
    </row>
    <row r="22" spans="1:17">
      <c r="F22" s="12"/>
      <c r="G22" s="12"/>
      <c r="H22" s="15"/>
      <c r="I22" s="13"/>
      <c r="J22" s="13"/>
      <c r="K22" s="12"/>
      <c r="L22" s="12"/>
      <c r="M22" s="12"/>
      <c r="N22" s="12"/>
      <c r="O22" s="12"/>
      <c r="P22" s="12"/>
      <c r="Q22" s="12"/>
    </row>
    <row r="23" spans="1:17">
      <c r="F23" s="12"/>
      <c r="G23" s="12"/>
      <c r="H23" s="15"/>
      <c r="I23" s="13"/>
      <c r="J23" s="13"/>
      <c r="K23" s="12"/>
      <c r="L23" s="12"/>
      <c r="M23" s="12"/>
      <c r="N23" s="12"/>
      <c r="O23" s="12"/>
      <c r="P23" s="12"/>
      <c r="Q23" s="12"/>
    </row>
    <row r="24" spans="1:17" ht="15.75">
      <c r="B24" s="69"/>
      <c r="G24" s="12"/>
      <c r="I24" s="13"/>
    </row>
    <row r="25" spans="1:17">
      <c r="C25" s="3" t="s">
        <v>67</v>
      </c>
      <c r="G25" s="12"/>
      <c r="H25" s="15"/>
      <c r="I25" s="13"/>
      <c r="J25" s="13"/>
    </row>
    <row r="26" spans="1:17">
      <c r="C26" s="3"/>
      <c r="G26" s="12"/>
      <c r="H26" s="15"/>
      <c r="I26" s="13"/>
      <c r="J26" s="13"/>
    </row>
    <row r="27" spans="1:17">
      <c r="C27" s="5" t="s">
        <v>68</v>
      </c>
      <c r="D27"/>
      <c r="E27"/>
      <c r="F27"/>
      <c r="G27"/>
      <c r="H27"/>
      <c r="I27"/>
      <c r="J27"/>
      <c r="K27"/>
    </row>
    <row r="28" spans="1:17">
      <c r="C28" s="70"/>
      <c r="D28"/>
      <c r="E28"/>
      <c r="F28"/>
      <c r="G28"/>
      <c r="H28"/>
      <c r="I28"/>
      <c r="J28"/>
      <c r="K28"/>
    </row>
    <row r="29" spans="1:17">
      <c r="C29" s="71"/>
      <c r="D29"/>
      <c r="E29"/>
      <c r="F29"/>
      <c r="G29"/>
      <c r="H29"/>
      <c r="I29"/>
      <c r="J29"/>
      <c r="K29"/>
    </row>
    <row r="30" spans="1:17">
      <c r="C30" s="71"/>
      <c r="D30"/>
      <c r="E30"/>
      <c r="F30"/>
      <c r="G30" s="19"/>
      <c r="H30"/>
      <c r="I30" s="56"/>
      <c r="J30"/>
      <c r="K30"/>
    </row>
    <row r="31" spans="1:17">
      <c r="C31"/>
      <c r="D31"/>
      <c r="E31"/>
      <c r="F31"/>
      <c r="G31" s="19"/>
      <c r="H31" s="19"/>
      <c r="I31" s="56"/>
      <c r="J31" s="56"/>
      <c r="K31"/>
    </row>
    <row r="32" spans="1:17">
      <c r="C32" s="71"/>
      <c r="D32"/>
      <c r="E32"/>
      <c r="F32"/>
      <c r="G32" s="19"/>
      <c r="H32"/>
      <c r="I32"/>
      <c r="J32"/>
      <c r="K32"/>
    </row>
    <row r="33" spans="3:11">
      <c r="C33" s="71"/>
      <c r="D33"/>
      <c r="E33"/>
      <c r="F33"/>
      <c r="G33"/>
      <c r="H33"/>
      <c r="I33"/>
      <c r="J33"/>
      <c r="K33"/>
    </row>
  </sheetData>
  <mergeCells count="4">
    <mergeCell ref="A1:L1"/>
    <mergeCell ref="A2:L2"/>
    <mergeCell ref="A3:L3"/>
    <mergeCell ref="A4:L4"/>
  </mergeCells>
  <printOptions horizontalCentered="1"/>
  <pageMargins left="0.67" right="0.75" top="0.75" bottom="1.26" header="0.5" footer="0.5"/>
  <pageSetup scale="97" orientation="landscape" verticalDpi="300" r:id="rId1"/>
  <headerFooter alignWithMargins="0">
    <oddHeader>&amp;RCASE NO. 2021-00214
FR 16(8)(j)
ATTACHMENT 1</oddHeader>
    <oddFooter>&amp;RSchedule &amp;A
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D393CD-AD2F-4C22-9522-9817C4521FB9}">
  <sheetPr>
    <pageSetUpPr fitToPage="1"/>
  </sheetPr>
  <dimension ref="A1:P45"/>
  <sheetViews>
    <sheetView view="pageBreakPreview" zoomScale="80" zoomScaleNormal="100" zoomScaleSheetLayoutView="80" workbookViewId="0">
      <selection activeCell="V28" sqref="V28"/>
    </sheetView>
  </sheetViews>
  <sheetFormatPr defaultColWidth="8.5546875" defaultRowHeight="15"/>
  <cols>
    <col min="1" max="1" width="4.21875" customWidth="1"/>
    <col min="2" max="2" width="1.88671875" customWidth="1"/>
    <col min="3" max="3" width="52.21875" bestFit="1" customWidth="1"/>
    <col min="4" max="4" width="3" customWidth="1"/>
    <col min="5" max="5" width="17.109375" customWidth="1"/>
    <col min="6" max="6" width="2.77734375" customWidth="1"/>
    <col min="7" max="7" width="7.5546875" customWidth="1"/>
    <col min="8" max="8" width="2.33203125" customWidth="1"/>
    <col min="9" max="9" width="14.77734375" customWidth="1"/>
    <col min="10" max="10" width="2" customWidth="1"/>
    <col min="11" max="11" width="9.21875" customWidth="1"/>
    <col min="13" max="13" width="9.44140625" customWidth="1"/>
    <col min="14" max="14" width="11.44140625" bestFit="1" customWidth="1"/>
    <col min="16" max="16" width="11.109375" customWidth="1"/>
  </cols>
  <sheetData>
    <row r="1" spans="1:12">
      <c r="A1" s="107" t="s">
        <v>122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</row>
    <row r="2" spans="1:12">
      <c r="A2" s="107" t="s">
        <v>123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</row>
    <row r="3" spans="1:12">
      <c r="A3" s="107" t="s">
        <v>69</v>
      </c>
      <c r="B3" s="107"/>
      <c r="C3" s="107"/>
      <c r="D3" s="107"/>
      <c r="E3" s="107"/>
      <c r="F3" s="107"/>
      <c r="G3" s="107"/>
      <c r="H3" s="107"/>
      <c r="I3" s="107"/>
      <c r="J3" s="107"/>
      <c r="K3" s="107"/>
    </row>
    <row r="4" spans="1:12">
      <c r="A4" s="107" t="s">
        <v>124</v>
      </c>
      <c r="B4" s="107"/>
      <c r="C4" s="107"/>
      <c r="D4" s="107"/>
      <c r="E4" s="107"/>
      <c r="F4" s="107"/>
      <c r="G4" s="107"/>
      <c r="H4" s="107"/>
      <c r="I4" s="107"/>
      <c r="J4" s="107"/>
      <c r="K4" s="107"/>
    </row>
    <row r="6" spans="1:12">
      <c r="A6" s="27" t="s">
        <v>2</v>
      </c>
      <c r="K6" s="28" t="s">
        <v>1</v>
      </c>
    </row>
    <row r="7" spans="1:12">
      <c r="A7" s="5" t="s">
        <v>4</v>
      </c>
      <c r="K7" s="29" t="s">
        <v>70</v>
      </c>
    </row>
    <row r="8" spans="1:12">
      <c r="A8" s="30" t="s">
        <v>6</v>
      </c>
      <c r="B8" s="31"/>
      <c r="C8" s="31"/>
      <c r="D8" s="31"/>
      <c r="E8" s="31"/>
      <c r="F8" s="31"/>
      <c r="G8" s="31"/>
      <c r="H8" s="31"/>
      <c r="I8" s="31"/>
      <c r="J8" s="57"/>
      <c r="K8" s="34" t="str">
        <f>'J-1 Base'!$M$9</f>
        <v>Witness: Christian</v>
      </c>
    </row>
    <row r="9" spans="1:12">
      <c r="A9" s="27"/>
      <c r="K9" s="29"/>
    </row>
    <row r="10" spans="1:12">
      <c r="E10" s="72" t="s">
        <v>71</v>
      </c>
      <c r="I10" s="26" t="s">
        <v>56</v>
      </c>
      <c r="K10" s="26" t="s">
        <v>57</v>
      </c>
    </row>
    <row r="11" spans="1:12">
      <c r="A11" s="26" t="s">
        <v>8</v>
      </c>
      <c r="E11" s="26" t="s">
        <v>15</v>
      </c>
      <c r="G11" s="26" t="s">
        <v>58</v>
      </c>
      <c r="I11" s="26" t="s">
        <v>59</v>
      </c>
      <c r="K11" s="26" t="s">
        <v>58</v>
      </c>
    </row>
    <row r="12" spans="1:12">
      <c r="A12" s="40" t="s">
        <v>12</v>
      </c>
      <c r="B12" s="31"/>
      <c r="C12" s="40" t="s">
        <v>60</v>
      </c>
      <c r="D12" s="31"/>
      <c r="E12" s="40" t="s">
        <v>61</v>
      </c>
      <c r="F12" s="31"/>
      <c r="G12" s="40" t="s">
        <v>62</v>
      </c>
      <c r="H12" s="31"/>
      <c r="I12" s="40" t="s">
        <v>18</v>
      </c>
      <c r="J12" s="31"/>
      <c r="K12" s="40" t="s">
        <v>62</v>
      </c>
    </row>
    <row r="13" spans="1:12">
      <c r="C13" s="26" t="s">
        <v>19</v>
      </c>
      <c r="E13" s="26" t="s">
        <v>20</v>
      </c>
      <c r="G13" s="26" t="s">
        <v>21</v>
      </c>
      <c r="I13" s="26" t="s">
        <v>22</v>
      </c>
      <c r="K13" s="26" t="s">
        <v>63</v>
      </c>
    </row>
    <row r="14" spans="1:12">
      <c r="E14" s="26"/>
      <c r="I14" s="26"/>
    </row>
    <row r="16" spans="1:12" ht="15.75">
      <c r="A16" s="26">
        <v>1</v>
      </c>
      <c r="C16" s="27" t="s">
        <v>72</v>
      </c>
      <c r="E16" s="62">
        <v>150000000</v>
      </c>
      <c r="F16" s="19"/>
      <c r="G16" s="73">
        <v>6.7500000000000004E-2</v>
      </c>
      <c r="H16" s="56"/>
      <c r="I16" s="74">
        <f t="shared" ref="I16:I28" si="0">(E16*G16)</f>
        <v>10125000</v>
      </c>
      <c r="J16" s="19"/>
      <c r="K16" s="19"/>
      <c r="L16" s="65"/>
    </row>
    <row r="17" spans="1:16">
      <c r="A17" s="26">
        <f t="shared" ref="A17:A37" si="1">A16+1</f>
        <v>2</v>
      </c>
      <c r="C17" s="27" t="s">
        <v>73</v>
      </c>
      <c r="E17" s="75">
        <v>10000000</v>
      </c>
      <c r="F17" s="19"/>
      <c r="G17" s="73">
        <v>6.6699999999999995E-2</v>
      </c>
      <c r="H17" s="56"/>
      <c r="I17" s="19">
        <f>(E17*G17)</f>
        <v>667000</v>
      </c>
    </row>
    <row r="18" spans="1:16">
      <c r="A18" s="26">
        <f t="shared" si="1"/>
        <v>3</v>
      </c>
      <c r="C18" s="27" t="s">
        <v>74</v>
      </c>
      <c r="E18" s="75">
        <v>200000000</v>
      </c>
      <c r="F18" s="19"/>
      <c r="G18" s="73">
        <v>5.9499999999999997E-2</v>
      </c>
      <c r="H18" s="19"/>
      <c r="I18" s="19">
        <f>(E18*G18)</f>
        <v>11900000</v>
      </c>
      <c r="J18" s="19"/>
      <c r="K18" s="19"/>
      <c r="L18" s="19"/>
    </row>
    <row r="19" spans="1:16">
      <c r="A19" s="26">
        <f t="shared" si="1"/>
        <v>4</v>
      </c>
      <c r="C19" s="27" t="s">
        <v>75</v>
      </c>
      <c r="E19" s="75">
        <v>600000000</v>
      </c>
      <c r="F19" s="19"/>
      <c r="G19" s="73">
        <v>4.2999999999999997E-2</v>
      </c>
      <c r="H19" s="56"/>
      <c r="I19" s="19">
        <f>(E19*G19)</f>
        <v>25799999.999999996</v>
      </c>
      <c r="J19" s="19"/>
      <c r="K19" s="17"/>
      <c r="L19" s="19"/>
    </row>
    <row r="20" spans="1:16">
      <c r="A20" s="26">
        <f t="shared" si="1"/>
        <v>5</v>
      </c>
      <c r="C20" s="27" t="s">
        <v>76</v>
      </c>
      <c r="E20" s="75">
        <v>400000000</v>
      </c>
      <c r="F20" s="19"/>
      <c r="G20" s="73">
        <v>5.5E-2</v>
      </c>
      <c r="H20" s="56"/>
      <c r="I20" s="19">
        <f t="shared" ref="I20:I23" si="2">(E20*G20)</f>
        <v>22000000</v>
      </c>
      <c r="J20" s="19"/>
      <c r="K20" s="17"/>
      <c r="L20" s="19"/>
    </row>
    <row r="21" spans="1:16">
      <c r="A21" s="26">
        <f t="shared" si="1"/>
        <v>6</v>
      </c>
      <c r="C21" s="27" t="s">
        <v>77</v>
      </c>
      <c r="E21" s="75">
        <v>500000000</v>
      </c>
      <c r="F21" s="19"/>
      <c r="G21" s="73">
        <v>4.1500000000000002E-2</v>
      </c>
      <c r="H21" s="56"/>
      <c r="I21" s="19">
        <f t="shared" si="2"/>
        <v>20750000</v>
      </c>
      <c r="J21" s="19"/>
      <c r="K21" s="17"/>
      <c r="L21" s="19"/>
    </row>
    <row r="22" spans="1:16">
      <c r="A22" s="26">
        <f t="shared" si="1"/>
        <v>7</v>
      </c>
      <c r="C22" s="27" t="s">
        <v>78</v>
      </c>
      <c r="E22" s="75">
        <v>750000000</v>
      </c>
      <c r="F22" s="19"/>
      <c r="G22" s="73">
        <v>4.1250000000000002E-2</v>
      </c>
      <c r="H22" s="56"/>
      <c r="I22" s="19">
        <f t="shared" si="2"/>
        <v>30937500</v>
      </c>
      <c r="J22" s="19"/>
      <c r="K22" s="17"/>
      <c r="L22" s="19"/>
    </row>
    <row r="23" spans="1:16">
      <c r="A23" s="26">
        <f t="shared" si="1"/>
        <v>8</v>
      </c>
      <c r="C23" s="27" t="s">
        <v>79</v>
      </c>
      <c r="E23" s="75">
        <v>500000000</v>
      </c>
      <c r="F23" s="19"/>
      <c r="G23" s="73">
        <v>0.03</v>
      </c>
      <c r="H23" s="56"/>
      <c r="I23" s="19">
        <f t="shared" si="2"/>
        <v>15000000</v>
      </c>
      <c r="J23" s="19"/>
      <c r="K23" s="17"/>
      <c r="L23" s="19"/>
    </row>
    <row r="24" spans="1:16">
      <c r="A24" s="26">
        <f t="shared" si="1"/>
        <v>9</v>
      </c>
      <c r="C24" s="27" t="s">
        <v>80</v>
      </c>
      <c r="E24" s="75">
        <v>450000000</v>
      </c>
      <c r="F24" s="19"/>
      <c r="G24" s="73">
        <v>4.1250000000000002E-2</v>
      </c>
      <c r="H24" s="56"/>
      <c r="I24" s="19">
        <f t="shared" si="0"/>
        <v>18562500</v>
      </c>
      <c r="J24" s="19"/>
      <c r="K24" s="19"/>
      <c r="L24" s="19"/>
    </row>
    <row r="25" spans="1:16">
      <c r="A25" s="26">
        <f t="shared" si="1"/>
        <v>10</v>
      </c>
      <c r="C25" s="27" t="s">
        <v>81</v>
      </c>
      <c r="E25" s="75">
        <v>300000000</v>
      </c>
      <c r="F25" s="19"/>
      <c r="G25" s="73">
        <v>2.6249999999999999E-2</v>
      </c>
      <c r="H25" s="56"/>
      <c r="I25" s="19">
        <f t="shared" si="0"/>
        <v>7875000</v>
      </c>
    </row>
    <row r="26" spans="1:16">
      <c r="A26" s="26">
        <f t="shared" si="1"/>
        <v>11</v>
      </c>
      <c r="C26" s="27" t="s">
        <v>82</v>
      </c>
      <c r="E26" s="75">
        <v>500000000</v>
      </c>
      <c r="F26" s="19"/>
      <c r="G26" s="73">
        <v>3.3750000000000002E-2</v>
      </c>
      <c r="H26" s="56"/>
      <c r="I26" s="19">
        <f t="shared" si="0"/>
        <v>16875000</v>
      </c>
    </row>
    <row r="27" spans="1:16">
      <c r="A27" s="26">
        <f t="shared" si="1"/>
        <v>12</v>
      </c>
      <c r="C27" s="27" t="s">
        <v>83</v>
      </c>
      <c r="E27" s="75">
        <v>184615384.61538461</v>
      </c>
      <c r="F27" s="19"/>
      <c r="G27" s="73">
        <v>2.3195208333333335E-2</v>
      </c>
      <c r="H27" s="56"/>
      <c r="I27" s="19">
        <f t="shared" si="0"/>
        <v>4282192.307692308</v>
      </c>
    </row>
    <row r="28" spans="1:16">
      <c r="A28" s="26">
        <f t="shared" si="1"/>
        <v>13</v>
      </c>
      <c r="C28" s="27" t="s">
        <v>84</v>
      </c>
      <c r="E28" s="75">
        <v>276923076.92307693</v>
      </c>
      <c r="F28" s="19"/>
      <c r="G28" s="73">
        <v>1.4999999999999999E-2</v>
      </c>
      <c r="H28" s="56"/>
      <c r="I28" s="76">
        <f t="shared" si="0"/>
        <v>4153846.153846154</v>
      </c>
    </row>
    <row r="29" spans="1:16">
      <c r="A29" s="26">
        <f t="shared" si="1"/>
        <v>14</v>
      </c>
      <c r="C29" s="27" t="s">
        <v>85</v>
      </c>
      <c r="E29" s="77">
        <f>SUM(E16:E28)</f>
        <v>4821538461.5384617</v>
      </c>
      <c r="F29" s="19"/>
      <c r="G29" s="78"/>
      <c r="I29" s="79">
        <f>SUM(I16:I28)</f>
        <v>188928038.46153846</v>
      </c>
    </row>
    <row r="30" spans="1:16">
      <c r="A30" s="26">
        <f t="shared" si="1"/>
        <v>15</v>
      </c>
      <c r="C30" s="27"/>
      <c r="E30" s="79"/>
      <c r="F30" s="19"/>
      <c r="G30" s="78"/>
      <c r="I30" s="19"/>
      <c r="M30" s="19"/>
      <c r="N30" s="19"/>
      <c r="O30" s="78"/>
      <c r="P30" s="19"/>
    </row>
    <row r="31" spans="1:16">
      <c r="A31" s="26">
        <f t="shared" si="1"/>
        <v>16</v>
      </c>
      <c r="C31" s="27" t="s">
        <v>86</v>
      </c>
      <c r="E31" s="79"/>
      <c r="F31" s="19"/>
      <c r="G31" s="78"/>
      <c r="I31" s="79">
        <v>10293599.423859153</v>
      </c>
      <c r="O31" s="78"/>
    </row>
    <row r="32" spans="1:16">
      <c r="A32" s="26">
        <f t="shared" si="1"/>
        <v>17</v>
      </c>
      <c r="C32" s="27" t="s">
        <v>87</v>
      </c>
      <c r="E32" s="79">
        <v>-1754949.4361538463</v>
      </c>
      <c r="G32" s="17"/>
      <c r="I32" s="75"/>
      <c r="M32" s="19"/>
      <c r="N32" s="19"/>
      <c r="O32" s="78"/>
      <c r="P32" s="19"/>
    </row>
    <row r="33" spans="1:16">
      <c r="A33" s="26">
        <f t="shared" si="1"/>
        <v>18</v>
      </c>
      <c r="C33" s="27" t="s">
        <v>88</v>
      </c>
      <c r="E33" s="79">
        <v>-38307526.602307692</v>
      </c>
      <c r="G33" s="80"/>
      <c r="I33" s="19"/>
      <c r="M33" s="19"/>
      <c r="N33" s="19"/>
      <c r="O33" s="78"/>
      <c r="P33" s="19"/>
    </row>
    <row r="34" spans="1:16">
      <c r="A34" s="26">
        <f t="shared" si="1"/>
        <v>19</v>
      </c>
      <c r="C34" s="27"/>
      <c r="E34" s="75"/>
      <c r="G34" s="80"/>
      <c r="I34" s="19"/>
      <c r="M34" s="19"/>
      <c r="N34" s="19"/>
      <c r="O34" s="78"/>
      <c r="P34" s="19"/>
    </row>
    <row r="35" spans="1:16">
      <c r="A35" s="26">
        <f t="shared" si="1"/>
        <v>20</v>
      </c>
      <c r="C35" s="27"/>
      <c r="E35" s="75"/>
      <c r="G35" s="17"/>
      <c r="I35" s="19"/>
      <c r="M35" s="19"/>
      <c r="N35" s="19"/>
      <c r="O35" s="78"/>
      <c r="P35" s="19"/>
    </row>
    <row r="36" spans="1:16">
      <c r="A36" s="26">
        <f t="shared" si="1"/>
        <v>21</v>
      </c>
      <c r="E36" s="76"/>
      <c r="M36" s="19"/>
      <c r="N36" s="19"/>
      <c r="O36" s="78"/>
      <c r="P36" s="19"/>
    </row>
    <row r="37" spans="1:16" ht="16.5" thickBot="1">
      <c r="A37" s="26">
        <f t="shared" si="1"/>
        <v>22</v>
      </c>
      <c r="C37" s="27" t="s">
        <v>89</v>
      </c>
      <c r="E37" s="81">
        <f>+E29+E32+E33</f>
        <v>4781475985.500001</v>
      </c>
      <c r="I37" s="82">
        <f>+I29+I31</f>
        <v>199221637.88539761</v>
      </c>
      <c r="K37" s="83">
        <f>+I37/E37</f>
        <v>4.1665301360823401E-2</v>
      </c>
      <c r="O37" s="78"/>
    </row>
    <row r="38" spans="1:16" ht="15.75" thickTop="1">
      <c r="E38" s="19"/>
      <c r="O38" s="78"/>
    </row>
    <row r="40" spans="1:16">
      <c r="A40" s="26"/>
      <c r="C40" s="27"/>
    </row>
    <row r="41" spans="1:16">
      <c r="C41" s="27" t="s">
        <v>90</v>
      </c>
      <c r="E41" s="19"/>
    </row>
    <row r="42" spans="1:16">
      <c r="E42" s="19"/>
    </row>
    <row r="43" spans="1:16">
      <c r="E43" s="19"/>
      <c r="F43" s="19"/>
      <c r="G43" s="80"/>
      <c r="H43" s="56"/>
      <c r="I43" s="19"/>
      <c r="J43" s="19"/>
      <c r="K43" s="19"/>
      <c r="L43" s="19"/>
    </row>
    <row r="44" spans="1:16">
      <c r="E44" s="19"/>
    </row>
    <row r="45" spans="1:16">
      <c r="E45" s="19"/>
      <c r="F45" s="19"/>
      <c r="G45" s="19"/>
      <c r="H45" s="56"/>
      <c r="I45" s="19"/>
      <c r="J45" s="19"/>
      <c r="K45" s="19"/>
      <c r="L45" s="19"/>
    </row>
  </sheetData>
  <mergeCells count="4">
    <mergeCell ref="A1:K1"/>
    <mergeCell ref="A2:K2"/>
    <mergeCell ref="A3:K3"/>
    <mergeCell ref="A4:K4"/>
  </mergeCells>
  <printOptions horizontalCentered="1"/>
  <pageMargins left="0.67" right="0.75" top="0.75" bottom="1.26" header="0.5" footer="0.5"/>
  <pageSetup scale="84" orientation="landscape" verticalDpi="300" r:id="rId1"/>
  <headerFooter alignWithMargins="0">
    <oddHeader>&amp;RCASE NO. 2021-00214
FR 16(8)(j)
ATTACHMENT 1</oddHeader>
    <oddFooter>&amp;RSchedule &amp;A
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25C982-1C43-4D49-A9A7-C8430FC76F8F}">
  <sheetPr>
    <pageSetUpPr fitToPage="1"/>
  </sheetPr>
  <dimension ref="A1:S17"/>
  <sheetViews>
    <sheetView view="pageBreakPreview" zoomScale="80" zoomScaleNormal="100" zoomScaleSheetLayoutView="80" workbookViewId="0">
      <selection activeCell="V28" sqref="V28"/>
    </sheetView>
  </sheetViews>
  <sheetFormatPr defaultColWidth="10.109375" defaultRowHeight="15"/>
  <cols>
    <col min="1" max="1" width="5.77734375" style="1" customWidth="1"/>
    <col min="2" max="2" width="3.33203125" style="1" customWidth="1"/>
    <col min="3" max="3" width="14.44140625" style="1" customWidth="1"/>
    <col min="4" max="4" width="3.33203125" style="1" customWidth="1"/>
    <col min="5" max="5" width="6.6640625" style="1" customWidth="1"/>
    <col min="6" max="6" width="3.33203125" style="1" customWidth="1"/>
    <col min="7" max="7" width="11.88671875" style="1" customWidth="1"/>
    <col min="8" max="8" width="3.33203125" style="1" customWidth="1"/>
    <col min="9" max="9" width="13.5546875" style="1" customWidth="1"/>
    <col min="10" max="10" width="1.5546875" style="1" customWidth="1"/>
    <col min="11" max="11" width="8" style="1" customWidth="1"/>
    <col min="12" max="12" width="3.33203125" style="1" customWidth="1"/>
    <col min="13" max="13" width="11" style="1" customWidth="1"/>
    <col min="14" max="14" width="3.33203125" style="1" customWidth="1"/>
    <col min="15" max="15" width="11" style="1" customWidth="1"/>
    <col min="16" max="16" width="3.33203125" style="1" customWidth="1"/>
    <col min="17" max="17" width="12.6640625" style="1" customWidth="1"/>
    <col min="18" max="18" width="2.33203125" style="1" customWidth="1"/>
    <col min="19" max="19" width="12.6640625" style="1" customWidth="1"/>
    <col min="20" max="26" width="10.109375" style="1"/>
    <col min="27" max="27" width="12.6640625" style="1" customWidth="1"/>
    <col min="28" max="16384" width="10.109375" style="1"/>
  </cols>
  <sheetData>
    <row r="1" spans="1:19">
      <c r="J1" s="26" t="s">
        <v>122</v>
      </c>
    </row>
    <row r="2" spans="1:19">
      <c r="J2" s="26" t="s">
        <v>123</v>
      </c>
    </row>
    <row r="3" spans="1:19">
      <c r="A3" s="84"/>
      <c r="J3" s="10" t="s">
        <v>91</v>
      </c>
    </row>
    <row r="4" spans="1:19">
      <c r="A4" s="84"/>
      <c r="J4" s="10"/>
    </row>
    <row r="5" spans="1:19">
      <c r="Q5" s="59"/>
      <c r="S5" s="59" t="s">
        <v>1</v>
      </c>
    </row>
    <row r="6" spans="1:19">
      <c r="A6" s="3" t="s">
        <v>92</v>
      </c>
      <c r="Q6" s="3"/>
      <c r="S6" s="4" t="s">
        <v>93</v>
      </c>
    </row>
    <row r="7" spans="1:19">
      <c r="A7" s="3" t="s">
        <v>94</v>
      </c>
      <c r="Q7" s="3"/>
      <c r="S7" s="4" t="s">
        <v>5</v>
      </c>
    </row>
    <row r="8" spans="1:19">
      <c r="A8" s="6" t="s">
        <v>6</v>
      </c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6"/>
      <c r="R8" s="7"/>
      <c r="S8" s="34" t="str">
        <f>'J-1 Base'!$M$9</f>
        <v>Witness: Christian</v>
      </c>
    </row>
    <row r="10" spans="1:19">
      <c r="I10" s="10" t="s">
        <v>95</v>
      </c>
      <c r="M10" s="10" t="s">
        <v>96</v>
      </c>
    </row>
    <row r="11" spans="1:19">
      <c r="A11" s="10" t="s">
        <v>8</v>
      </c>
      <c r="C11" s="10" t="s">
        <v>97</v>
      </c>
      <c r="E11" s="10" t="s">
        <v>98</v>
      </c>
      <c r="G11" s="10" t="s">
        <v>15</v>
      </c>
      <c r="I11" s="10" t="s">
        <v>99</v>
      </c>
      <c r="K11" s="10" t="s">
        <v>60</v>
      </c>
      <c r="M11" s="10" t="s">
        <v>100</v>
      </c>
      <c r="O11" s="10" t="s">
        <v>101</v>
      </c>
      <c r="Q11" s="10" t="s">
        <v>17</v>
      </c>
      <c r="S11" s="10" t="s">
        <v>102</v>
      </c>
    </row>
    <row r="12" spans="1:19">
      <c r="A12" s="10" t="s">
        <v>12</v>
      </c>
      <c r="C12" s="10" t="s">
        <v>103</v>
      </c>
      <c r="E12" s="10" t="s">
        <v>104</v>
      </c>
      <c r="G12" s="10" t="s">
        <v>61</v>
      </c>
      <c r="I12" s="10" t="s">
        <v>105</v>
      </c>
      <c r="K12" s="10" t="s">
        <v>106</v>
      </c>
      <c r="L12" s="9"/>
      <c r="M12" s="10" t="s">
        <v>107</v>
      </c>
      <c r="O12" s="10" t="s">
        <v>108</v>
      </c>
      <c r="Q12" s="10" t="s">
        <v>109</v>
      </c>
      <c r="S12" s="10" t="s">
        <v>110</v>
      </c>
    </row>
    <row r="13" spans="1:19">
      <c r="A13" s="7"/>
      <c r="B13" s="7"/>
      <c r="C13" s="7"/>
      <c r="D13" s="7"/>
      <c r="E13" s="11" t="s">
        <v>19</v>
      </c>
      <c r="F13" s="7"/>
      <c r="G13" s="11" t="s">
        <v>20</v>
      </c>
      <c r="H13" s="7"/>
      <c r="I13" s="11" t="s">
        <v>21</v>
      </c>
      <c r="J13" s="7"/>
      <c r="K13" s="11" t="s">
        <v>22</v>
      </c>
      <c r="L13" s="7"/>
      <c r="M13" s="11" t="s">
        <v>23</v>
      </c>
      <c r="N13" s="7"/>
      <c r="O13" s="11" t="s">
        <v>111</v>
      </c>
      <c r="P13" s="7"/>
      <c r="Q13" s="11" t="s">
        <v>40</v>
      </c>
      <c r="R13" s="7"/>
      <c r="S13" s="11" t="s">
        <v>112</v>
      </c>
    </row>
    <row r="15" spans="1:19">
      <c r="F15" s="12"/>
      <c r="G15" s="12"/>
      <c r="H15" s="15"/>
      <c r="I15" s="13"/>
      <c r="J15" s="13"/>
      <c r="K15" s="10" t="s">
        <v>113</v>
      </c>
      <c r="L15" s="12"/>
      <c r="M15" s="12"/>
      <c r="N15" s="12"/>
      <c r="O15" s="12"/>
      <c r="P15" s="12"/>
      <c r="Q15" s="12"/>
    </row>
    <row r="16" spans="1:19">
      <c r="F16" s="12"/>
      <c r="G16" s="12"/>
      <c r="H16" s="12"/>
      <c r="I16" s="13"/>
      <c r="J16" s="12"/>
      <c r="K16" s="12"/>
      <c r="L16" s="12"/>
      <c r="M16" s="12"/>
      <c r="N16" s="12"/>
      <c r="O16" s="12"/>
      <c r="P16" s="12"/>
      <c r="Q16" s="12"/>
    </row>
    <row r="17" spans="6:17">
      <c r="F17" s="12"/>
      <c r="G17" s="12"/>
      <c r="H17" s="15"/>
      <c r="I17" s="13"/>
      <c r="J17" s="13"/>
      <c r="K17" s="12"/>
      <c r="L17" s="12"/>
      <c r="M17" s="12"/>
      <c r="N17" s="12"/>
      <c r="O17" s="12"/>
      <c r="P17" s="12"/>
      <c r="Q17" s="12"/>
    </row>
  </sheetData>
  <printOptions horizontalCentered="1"/>
  <pageMargins left="0.67" right="0.75" top="0.75" bottom="1.26" header="0.5" footer="0.5"/>
  <pageSetup scale="76" orientation="landscape" verticalDpi="300" r:id="rId1"/>
  <headerFooter alignWithMargins="0">
    <oddHeader>&amp;RCASE NO. 2021-00214
FR 16(8)(j)
ATTACHMENT 1</oddHeader>
    <oddFooter>&amp;RSchedule &amp;A
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1AC683-ED94-47DC-AD8C-9985A9F3D12F}">
  <sheetPr>
    <pageSetUpPr fitToPage="1"/>
  </sheetPr>
  <dimension ref="A1:T29"/>
  <sheetViews>
    <sheetView view="pageBreakPreview" topLeftCell="B1" zoomScale="80" zoomScaleNormal="100" zoomScaleSheetLayoutView="80" workbookViewId="0">
      <selection activeCell="V28" sqref="V28"/>
    </sheetView>
  </sheetViews>
  <sheetFormatPr defaultColWidth="10.109375" defaultRowHeight="15"/>
  <cols>
    <col min="1" max="1" width="5" style="1" customWidth="1"/>
    <col min="2" max="2" width="4.77734375" style="1" customWidth="1"/>
    <col min="3" max="3" width="16.109375" style="1" customWidth="1"/>
    <col min="4" max="4" width="5" style="1" customWidth="1"/>
    <col min="5" max="5" width="11" style="1" customWidth="1"/>
    <col min="6" max="6" width="5" style="1" customWidth="1"/>
    <col min="7" max="7" width="16.21875" style="1" customWidth="1"/>
    <col min="8" max="8" width="5" style="1" customWidth="1"/>
    <col min="9" max="9" width="10.109375" style="1"/>
    <col min="10" max="10" width="5" style="1" customWidth="1"/>
    <col min="11" max="11" width="10.109375" style="1"/>
    <col min="12" max="12" width="5" style="1" customWidth="1"/>
    <col min="13" max="13" width="10.6640625" style="1" customWidth="1"/>
    <col min="14" max="14" width="6.6640625" style="1" customWidth="1"/>
    <col min="15" max="15" width="12.5546875" style="1" customWidth="1"/>
    <col min="16" max="16" width="2.44140625" style="1" customWidth="1"/>
    <col min="17" max="17" width="10.109375" style="1"/>
    <col min="18" max="18" width="2.44140625" style="1" customWidth="1"/>
    <col min="19" max="19" width="10.109375" style="1"/>
    <col min="20" max="20" width="2.44140625" style="1" customWidth="1"/>
    <col min="21" max="21" width="10.109375" style="1"/>
    <col min="22" max="22" width="6.6640625" style="1" customWidth="1"/>
    <col min="23" max="16384" width="10.109375" style="1"/>
  </cols>
  <sheetData>
    <row r="1" spans="1:20">
      <c r="A1" s="107" t="s">
        <v>122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O1" s="12"/>
    </row>
    <row r="2" spans="1:20">
      <c r="A2" s="107" t="s">
        <v>123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</row>
    <row r="3" spans="1:20">
      <c r="A3" s="108" t="s">
        <v>0</v>
      </c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</row>
    <row r="4" spans="1:20">
      <c r="A4" s="108" t="s">
        <v>114</v>
      </c>
      <c r="B4" s="108"/>
      <c r="C4" s="108"/>
      <c r="D4" s="108"/>
      <c r="E4" s="108"/>
      <c r="F4" s="108"/>
      <c r="G4" s="108"/>
      <c r="H4" s="108"/>
      <c r="I4" s="108"/>
      <c r="J4" s="108"/>
      <c r="K4" s="108"/>
      <c r="L4" s="108"/>
      <c r="M4" s="108"/>
    </row>
    <row r="7" spans="1:20">
      <c r="A7" s="3" t="s">
        <v>115</v>
      </c>
      <c r="M7" s="59" t="s">
        <v>1</v>
      </c>
    </row>
    <row r="8" spans="1:20">
      <c r="A8" s="5" t="s">
        <v>4</v>
      </c>
      <c r="K8" s="3"/>
      <c r="M8" s="4" t="s">
        <v>3</v>
      </c>
    </row>
    <row r="9" spans="1:20">
      <c r="A9" s="6" t="s">
        <v>6</v>
      </c>
      <c r="B9" s="7"/>
      <c r="C9" s="7"/>
      <c r="D9" s="7"/>
      <c r="E9" s="7"/>
      <c r="F9" s="7"/>
      <c r="G9" s="7"/>
      <c r="H9" s="7"/>
      <c r="I9" s="7"/>
      <c r="J9" s="7"/>
      <c r="K9" s="6"/>
      <c r="L9" s="7"/>
      <c r="M9" s="34" t="str">
        <f>'J-1 Base'!$M$9</f>
        <v>Witness: Christian</v>
      </c>
    </row>
    <row r="10" spans="1:20">
      <c r="L10" s="9"/>
      <c r="M10" s="9"/>
      <c r="N10" s="9"/>
    </row>
    <row r="11" spans="1:20">
      <c r="A11" s="10" t="s">
        <v>8</v>
      </c>
      <c r="E11" s="10" t="s">
        <v>9</v>
      </c>
      <c r="I11" s="10" t="s">
        <v>10</v>
      </c>
      <c r="M11" s="10" t="s">
        <v>11</v>
      </c>
    </row>
    <row r="12" spans="1:20">
      <c r="A12" s="11" t="s">
        <v>12</v>
      </c>
      <c r="B12" s="7"/>
      <c r="C12" s="6" t="s">
        <v>13</v>
      </c>
      <c r="D12" s="7"/>
      <c r="E12" s="11" t="s">
        <v>14</v>
      </c>
      <c r="F12" s="7"/>
      <c r="G12" s="11" t="s">
        <v>15</v>
      </c>
      <c r="H12" s="7"/>
      <c r="I12" s="11" t="s">
        <v>16</v>
      </c>
      <c r="J12" s="7"/>
      <c r="K12" s="11" t="s">
        <v>17</v>
      </c>
      <c r="L12" s="7"/>
      <c r="M12" s="11" t="s">
        <v>18</v>
      </c>
      <c r="O12" s="66"/>
      <c r="P12" s="12"/>
      <c r="Q12" s="12"/>
      <c r="R12" s="12"/>
      <c r="S12" s="12"/>
      <c r="T12" s="12"/>
    </row>
    <row r="13" spans="1:20">
      <c r="E13" s="10" t="s">
        <v>19</v>
      </c>
      <c r="G13" s="10" t="s">
        <v>20</v>
      </c>
      <c r="I13" s="10" t="s">
        <v>21</v>
      </c>
      <c r="K13" s="10" t="s">
        <v>22</v>
      </c>
      <c r="M13" s="10" t="s">
        <v>23</v>
      </c>
      <c r="O13" s="85"/>
      <c r="P13" s="12"/>
      <c r="Q13" s="12"/>
      <c r="R13" s="12"/>
      <c r="S13" s="12"/>
      <c r="T13" s="12"/>
    </row>
    <row r="14" spans="1:20">
      <c r="G14" s="10" t="s">
        <v>24</v>
      </c>
      <c r="K14" s="10" t="s">
        <v>25</v>
      </c>
      <c r="M14" s="10" t="s">
        <v>25</v>
      </c>
      <c r="O14" s="12"/>
      <c r="P14" s="12"/>
      <c r="R14" s="12"/>
      <c r="S14" s="12"/>
      <c r="T14" s="12"/>
    </row>
    <row r="15" spans="1:20">
      <c r="O15" s="12"/>
      <c r="P15" s="12"/>
      <c r="R15" s="12"/>
      <c r="S15" s="12"/>
      <c r="T15" s="12"/>
    </row>
    <row r="16" spans="1:20">
      <c r="E16" s="12"/>
      <c r="F16" s="12"/>
      <c r="G16" s="12"/>
      <c r="H16" s="12"/>
      <c r="I16" s="15"/>
      <c r="J16" s="12"/>
      <c r="K16" s="13"/>
      <c r="L16" s="12"/>
      <c r="M16" s="13"/>
      <c r="N16" s="12"/>
      <c r="O16"/>
    </row>
    <row r="17" spans="1:20">
      <c r="E17" s="12"/>
      <c r="F17" s="12"/>
      <c r="G17" s="12"/>
      <c r="H17" s="12"/>
      <c r="I17" s="86"/>
      <c r="J17" s="12"/>
      <c r="K17" s="12"/>
      <c r="L17" s="12"/>
      <c r="M17" s="12"/>
      <c r="N17" s="12"/>
      <c r="O17"/>
    </row>
    <row r="18" spans="1:20" ht="15.75">
      <c r="C18" s="14" t="s">
        <v>26</v>
      </c>
      <c r="E18" s="12"/>
      <c r="F18" s="12"/>
      <c r="G18" s="87"/>
      <c r="H18" s="12"/>
      <c r="I18" s="15"/>
      <c r="J18" s="12"/>
      <c r="K18" s="13"/>
      <c r="L18" s="12"/>
      <c r="M18" s="13"/>
      <c r="N18" s="12"/>
      <c r="O18"/>
    </row>
    <row r="19" spans="1:20">
      <c r="A19" s="3"/>
      <c r="C19" s="3"/>
      <c r="E19" s="12"/>
      <c r="F19" s="12"/>
      <c r="G19" s="12"/>
      <c r="H19" s="12"/>
      <c r="I19" s="12"/>
      <c r="J19" s="12"/>
      <c r="K19" s="13"/>
      <c r="L19" s="12"/>
      <c r="M19" s="12"/>
      <c r="N19" s="12"/>
      <c r="O19"/>
    </row>
    <row r="20" spans="1:20">
      <c r="A20" s="10">
        <v>6</v>
      </c>
      <c r="C20" s="3" t="s">
        <v>27</v>
      </c>
      <c r="E20" s="10"/>
      <c r="F20" s="12"/>
      <c r="G20" s="88">
        <f>J.1!P17</f>
        <v>21556.707437275982</v>
      </c>
      <c r="H20" s="12"/>
      <c r="I20" s="17">
        <f>G20/$G$28</f>
        <v>1.8009634120039429E-3</v>
      </c>
      <c r="J20" s="12"/>
      <c r="K20" s="89">
        <f>ROUND(+'J-2 F'!L20,4)</f>
        <v>0.25169999999999998</v>
      </c>
      <c r="L20" s="12"/>
      <c r="M20" s="18">
        <f>ROUND(I20*K20,4)</f>
        <v>5.0000000000000001E-4</v>
      </c>
      <c r="N20" s="12"/>
      <c r="O20"/>
      <c r="P20" s="12"/>
      <c r="Q20" s="12"/>
      <c r="R20" s="12"/>
      <c r="S20" s="12"/>
      <c r="T20" s="12"/>
    </row>
    <row r="21" spans="1:20">
      <c r="E21" s="12"/>
      <c r="F21" s="12"/>
      <c r="G21" s="63"/>
      <c r="H21" s="12"/>
      <c r="I21" s="15"/>
      <c r="J21" s="12"/>
      <c r="K21" s="89"/>
      <c r="L21" s="12"/>
      <c r="M21" s="18"/>
      <c r="N21" s="12"/>
      <c r="O21"/>
      <c r="P21" s="12"/>
      <c r="Q21" s="12"/>
      <c r="R21" s="12"/>
      <c r="S21" s="12"/>
      <c r="T21" s="12"/>
    </row>
    <row r="22" spans="1:20">
      <c r="A22" s="10">
        <v>7</v>
      </c>
      <c r="C22" s="3" t="s">
        <v>29</v>
      </c>
      <c r="E22" s="10" t="s">
        <v>28</v>
      </c>
      <c r="F22" s="12"/>
      <c r="G22" s="75">
        <f>+J.1!P19</f>
        <v>5119937.5239615394</v>
      </c>
      <c r="H22" s="12"/>
      <c r="I22" s="17">
        <f>G22/$G$28</f>
        <v>0.42774714919849488</v>
      </c>
      <c r="J22" s="12"/>
      <c r="K22" s="89">
        <f>ROUND('J-3 F'!K37,4)</f>
        <v>0.04</v>
      </c>
      <c r="L22" s="12"/>
      <c r="M22" s="18">
        <f>ROUND(I22*K22,4)</f>
        <v>1.7100000000000001E-2</v>
      </c>
      <c r="N22" s="12"/>
      <c r="O22"/>
    </row>
    <row r="23" spans="1:20">
      <c r="E23" s="12"/>
      <c r="F23" s="12"/>
      <c r="G23" s="75"/>
      <c r="H23" s="12"/>
      <c r="I23" s="15"/>
      <c r="J23" s="12"/>
      <c r="K23" s="18"/>
      <c r="L23" s="12"/>
      <c r="M23" s="18"/>
      <c r="N23" s="12"/>
      <c r="O23"/>
    </row>
    <row r="24" spans="1:20">
      <c r="A24" s="10">
        <v>8</v>
      </c>
      <c r="C24" s="3" t="s">
        <v>30</v>
      </c>
      <c r="E24" s="10" t="s">
        <v>31</v>
      </c>
      <c r="F24" s="12"/>
      <c r="G24" s="75">
        <f>+J.1!P23</f>
        <v>0</v>
      </c>
      <c r="H24" s="12"/>
      <c r="I24" s="17">
        <f>G24/$G$28</f>
        <v>0</v>
      </c>
      <c r="J24" s="12"/>
      <c r="K24" s="18">
        <v>0</v>
      </c>
      <c r="L24" s="12"/>
      <c r="M24" s="18">
        <f>ROUND(I24*K24,4)</f>
        <v>0</v>
      </c>
      <c r="N24" s="12"/>
      <c r="O24"/>
    </row>
    <row r="25" spans="1:20">
      <c r="E25" s="12"/>
      <c r="F25" s="12"/>
      <c r="G25" s="75"/>
      <c r="H25" s="12"/>
      <c r="I25" s="15"/>
      <c r="J25" s="12"/>
      <c r="K25" s="18"/>
      <c r="L25" s="12"/>
      <c r="M25" s="18"/>
      <c r="N25" s="12"/>
      <c r="O25"/>
    </row>
    <row r="26" spans="1:20">
      <c r="A26" s="10">
        <v>9</v>
      </c>
      <c r="C26" s="3" t="s">
        <v>32</v>
      </c>
      <c r="E26" s="12"/>
      <c r="F26" s="12"/>
      <c r="G26" s="90">
        <f>+J.1!P25</f>
        <v>6828047.9001038456</v>
      </c>
      <c r="H26" s="12"/>
      <c r="I26" s="49">
        <f>G26/$G$28</f>
        <v>0.57045188738950114</v>
      </c>
      <c r="J26" s="12"/>
      <c r="K26" s="18">
        <v>0.10349999999999999</v>
      </c>
      <c r="L26" s="12"/>
      <c r="M26" s="22">
        <f>ROUND(I26*K26,4)</f>
        <v>5.8999999999999997E-2</v>
      </c>
      <c r="N26" s="12"/>
      <c r="O26"/>
    </row>
    <row r="27" spans="1:20">
      <c r="G27" s="12"/>
      <c r="I27" s="91"/>
      <c r="K27" s="13"/>
      <c r="M27" s="92"/>
      <c r="O27"/>
    </row>
    <row r="28" spans="1:20" ht="15.75" thickBot="1">
      <c r="A28" s="10">
        <v>10</v>
      </c>
      <c r="C28" s="3" t="s">
        <v>33</v>
      </c>
      <c r="G28" s="23">
        <f>SUM(G20:G26)</f>
        <v>11969542.131502662</v>
      </c>
      <c r="I28" s="24">
        <f>SUM(I20:I26)</f>
        <v>1</v>
      </c>
      <c r="K28" s="15"/>
      <c r="M28" s="25">
        <f>(+M20+M22+M24+M26)</f>
        <v>7.6600000000000001E-2</v>
      </c>
      <c r="O28"/>
    </row>
    <row r="29" spans="1:20" ht="15.75" thickTop="1"/>
  </sheetData>
  <mergeCells count="4">
    <mergeCell ref="A1:M1"/>
    <mergeCell ref="A2:M2"/>
    <mergeCell ref="A3:M3"/>
    <mergeCell ref="A4:M4"/>
  </mergeCells>
  <printOptions horizontalCentered="1"/>
  <pageMargins left="0.67" right="0.75" top="0.75" bottom="1.26" header="0.5" footer="0.5"/>
  <pageSetup scale="94" orientation="landscape" verticalDpi="300" r:id="rId1"/>
  <headerFooter alignWithMargins="0">
    <oddHeader>&amp;RCASE NO. 2021-00214
FR 16(8)(j)
ATTACHMENT 1</oddHeader>
    <oddFooter>&amp;RSchedule &amp;A
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472F14-46AB-4201-8EC8-3C9FB1822599}">
  <sheetPr>
    <pageSetUpPr fitToPage="1"/>
  </sheetPr>
  <dimension ref="A1:N50"/>
  <sheetViews>
    <sheetView view="pageBreakPreview" zoomScale="80" zoomScaleNormal="100" zoomScaleSheetLayoutView="80" workbookViewId="0">
      <selection activeCell="V28" sqref="V28"/>
    </sheetView>
  </sheetViews>
  <sheetFormatPr defaultColWidth="8.5546875" defaultRowHeight="15"/>
  <cols>
    <col min="1" max="1" width="3.88671875" customWidth="1"/>
    <col min="2" max="2" width="1" customWidth="1"/>
    <col min="3" max="3" width="53.5546875" bestFit="1" customWidth="1"/>
    <col min="4" max="4" width="4.109375" customWidth="1"/>
    <col min="5" max="5" width="14.88671875" customWidth="1"/>
    <col min="6" max="6" width="1.6640625" customWidth="1"/>
    <col min="7" max="7" width="6.44140625" customWidth="1"/>
    <col min="8" max="8" width="2" customWidth="1"/>
    <col min="9" max="9" width="13.33203125" customWidth="1"/>
    <col min="10" max="10" width="2.109375" customWidth="1"/>
    <col min="11" max="11" width="8.5546875" customWidth="1"/>
    <col min="13" max="13" width="12.6640625" customWidth="1"/>
  </cols>
  <sheetData>
    <row r="1" spans="1:12">
      <c r="A1" s="107" t="s">
        <v>122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</row>
    <row r="2" spans="1:12">
      <c r="A2" s="107" t="s">
        <v>123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</row>
    <row r="3" spans="1:12">
      <c r="A3" s="107" t="s">
        <v>69</v>
      </c>
      <c r="B3" s="107"/>
      <c r="C3" s="107"/>
      <c r="D3" s="107"/>
      <c r="E3" s="107"/>
      <c r="F3" s="107"/>
      <c r="G3" s="107"/>
      <c r="H3" s="107"/>
      <c r="I3" s="107"/>
      <c r="J3" s="107"/>
      <c r="K3" s="107"/>
    </row>
    <row r="4" spans="1:12">
      <c r="A4" s="107" t="s">
        <v>125</v>
      </c>
      <c r="B4" s="107"/>
      <c r="C4" s="107"/>
      <c r="D4" s="107"/>
      <c r="E4" s="107"/>
      <c r="F4" s="107"/>
      <c r="G4" s="107"/>
      <c r="H4" s="107"/>
      <c r="I4" s="107"/>
      <c r="J4" s="107"/>
      <c r="K4" s="107"/>
    </row>
    <row r="5" spans="1:12">
      <c r="A5" s="72"/>
      <c r="B5" s="72"/>
      <c r="C5" s="72"/>
      <c r="D5" s="72"/>
      <c r="E5" s="72"/>
      <c r="F5" s="72"/>
      <c r="G5" s="72"/>
      <c r="H5" s="72"/>
      <c r="I5" s="72"/>
      <c r="J5" s="72"/>
      <c r="K5" s="72"/>
    </row>
    <row r="6" spans="1:12">
      <c r="K6" s="28" t="s">
        <v>1</v>
      </c>
    </row>
    <row r="7" spans="1:12">
      <c r="A7" s="27" t="s">
        <v>115</v>
      </c>
      <c r="K7" s="29" t="s">
        <v>70</v>
      </c>
    </row>
    <row r="8" spans="1:12">
      <c r="A8" s="5" t="s">
        <v>4</v>
      </c>
      <c r="K8" s="29" t="s">
        <v>5</v>
      </c>
    </row>
    <row r="9" spans="1:12">
      <c r="A9" s="30" t="s">
        <v>6</v>
      </c>
      <c r="B9" s="31"/>
      <c r="C9" s="31"/>
      <c r="D9" s="31"/>
      <c r="E9" s="31"/>
      <c r="F9" s="31"/>
      <c r="G9" s="31"/>
      <c r="H9" s="31"/>
      <c r="I9" s="31"/>
      <c r="J9" s="57"/>
      <c r="K9" s="34" t="str">
        <f>'J-1 Base'!$M$9</f>
        <v>Witness: Christian</v>
      </c>
    </row>
    <row r="10" spans="1:12">
      <c r="E10" s="72" t="s">
        <v>116</v>
      </c>
      <c r="I10" s="26" t="s">
        <v>56</v>
      </c>
      <c r="K10" s="26" t="s">
        <v>57</v>
      </c>
    </row>
    <row r="11" spans="1:12">
      <c r="A11" s="26" t="s">
        <v>8</v>
      </c>
      <c r="E11" s="26" t="s">
        <v>15</v>
      </c>
      <c r="G11" s="26" t="s">
        <v>58</v>
      </c>
      <c r="I11" s="26" t="s">
        <v>59</v>
      </c>
      <c r="K11" s="26" t="s">
        <v>58</v>
      </c>
    </row>
    <row r="12" spans="1:12">
      <c r="A12" s="40" t="s">
        <v>12</v>
      </c>
      <c r="B12" s="31"/>
      <c r="C12" s="40" t="s">
        <v>60</v>
      </c>
      <c r="D12" s="31"/>
      <c r="E12" s="40" t="s">
        <v>61</v>
      </c>
      <c r="F12" s="31"/>
      <c r="G12" s="40" t="s">
        <v>62</v>
      </c>
      <c r="H12" s="31"/>
      <c r="I12" s="40" t="s">
        <v>18</v>
      </c>
      <c r="J12" s="31"/>
      <c r="K12" s="40" t="s">
        <v>62</v>
      </c>
    </row>
    <row r="13" spans="1:12">
      <c r="C13" s="26" t="s">
        <v>19</v>
      </c>
      <c r="E13" s="26" t="s">
        <v>20</v>
      </c>
      <c r="G13" s="26" t="s">
        <v>21</v>
      </c>
      <c r="I13" s="26" t="s">
        <v>22</v>
      </c>
      <c r="K13" s="26" t="s">
        <v>63</v>
      </c>
    </row>
    <row r="14" spans="1:12">
      <c r="E14" s="26"/>
      <c r="I14" s="26"/>
    </row>
    <row r="16" spans="1:12">
      <c r="A16" s="26">
        <v>1</v>
      </c>
      <c r="C16" s="27" t="str">
        <f>'J-3 B'!C16</f>
        <v>6.75% Debentures Unsecured due July 2028</v>
      </c>
      <c r="E16" s="62">
        <f>'J-3 B'!E16</f>
        <v>150000000</v>
      </c>
      <c r="F16" s="19"/>
      <c r="G16" s="78">
        <f>'J-3 B'!G16</f>
        <v>6.7500000000000004E-2</v>
      </c>
      <c r="H16" s="56"/>
      <c r="I16" s="68">
        <f t="shared" ref="I16:I28" si="0">(E16*G16)</f>
        <v>10125000</v>
      </c>
      <c r="J16" s="19"/>
      <c r="K16" s="47"/>
      <c r="L16" s="19"/>
    </row>
    <row r="17" spans="1:14">
      <c r="A17" s="26">
        <f>A16+1</f>
        <v>2</v>
      </c>
      <c r="C17" s="27" t="str">
        <f>'J-3 B'!C17</f>
        <v>6.67% MTN A1 due Dec 2025</v>
      </c>
      <c r="E17" s="75">
        <f>'J-3 B'!E17</f>
        <v>10000000</v>
      </c>
      <c r="F17" s="19"/>
      <c r="G17" s="78">
        <f>'J-3 B'!G17</f>
        <v>6.6699999999999995E-2</v>
      </c>
      <c r="H17" s="56"/>
      <c r="I17" s="93">
        <f t="shared" si="0"/>
        <v>667000</v>
      </c>
    </row>
    <row r="18" spans="1:14">
      <c r="A18" s="26">
        <f t="shared" ref="A18:A37" si="1">A17+1</f>
        <v>3</v>
      </c>
      <c r="C18" s="27" t="str">
        <f>'J-3 B'!C18</f>
        <v>5.95% Sr Note due 10/15/2034</v>
      </c>
      <c r="E18" s="75">
        <f>'J-3 B'!E18</f>
        <v>200000000</v>
      </c>
      <c r="G18" s="78">
        <f>'J-3 B'!G18</f>
        <v>5.9499999999999997E-2</v>
      </c>
      <c r="H18" s="19"/>
      <c r="I18" s="93">
        <f t="shared" si="0"/>
        <v>11900000</v>
      </c>
      <c r="J18" s="19"/>
      <c r="K18" s="47"/>
      <c r="L18" s="19"/>
    </row>
    <row r="19" spans="1:14">
      <c r="A19" s="26">
        <f t="shared" si="1"/>
        <v>4</v>
      </c>
      <c r="C19" s="27" t="str">
        <f>'J-3 B'!C19</f>
        <v>4.3% Sr Note due 10/1/2048</v>
      </c>
      <c r="E19" s="75">
        <f>'J-3 B'!E19</f>
        <v>600000000</v>
      </c>
      <c r="G19" s="78">
        <f>'J-3 B'!G19</f>
        <v>4.2999999999999997E-2</v>
      </c>
      <c r="H19" s="56"/>
      <c r="I19" s="93">
        <f t="shared" si="0"/>
        <v>25799999.999999996</v>
      </c>
      <c r="J19" s="19"/>
      <c r="K19" s="47"/>
      <c r="L19" s="19"/>
    </row>
    <row r="20" spans="1:14">
      <c r="A20" s="26">
        <f t="shared" si="1"/>
        <v>5</v>
      </c>
      <c r="C20" s="27" t="str">
        <f>'J-3 B'!C20</f>
        <v>Sr Note 5.50% Due 06/15/2041</v>
      </c>
      <c r="E20" s="75">
        <f>'J-3 B'!E20</f>
        <v>400000000</v>
      </c>
      <c r="G20" s="78">
        <f>'J-3 B'!G20</f>
        <v>5.5E-2</v>
      </c>
      <c r="H20" s="56"/>
      <c r="I20" s="93">
        <f t="shared" si="0"/>
        <v>22000000</v>
      </c>
      <c r="J20" s="19"/>
      <c r="K20" s="47"/>
      <c r="L20" s="19"/>
    </row>
    <row r="21" spans="1:14">
      <c r="A21" s="26">
        <f t="shared" si="1"/>
        <v>6</v>
      </c>
      <c r="C21" s="27" t="str">
        <f>'J-3 B'!C21</f>
        <v>4.15% Sr Note due 1/15/2043</v>
      </c>
      <c r="E21" s="75">
        <f>'J-3 B'!E21</f>
        <v>500000000</v>
      </c>
      <c r="G21" s="78">
        <f>'J-3 B'!G21</f>
        <v>4.1500000000000002E-2</v>
      </c>
      <c r="H21" s="56"/>
      <c r="I21" s="93">
        <f t="shared" si="0"/>
        <v>20750000</v>
      </c>
      <c r="J21" s="19"/>
      <c r="K21" s="47"/>
      <c r="L21" s="19"/>
    </row>
    <row r="22" spans="1:14">
      <c r="A22" s="26">
        <f t="shared" si="1"/>
        <v>7</v>
      </c>
      <c r="C22" s="27" t="str">
        <f>'J-3 B'!C22</f>
        <v>4.125% Sr Note due 10/15/2044 (500MM(2014) &amp; 250MM(2017)</v>
      </c>
      <c r="E22" s="75">
        <f>'J-3 B'!E22</f>
        <v>750000000</v>
      </c>
      <c r="G22" s="78">
        <f>'J-3 B'!G22</f>
        <v>4.1250000000000002E-2</v>
      </c>
      <c r="H22" s="56"/>
      <c r="I22" s="93">
        <f t="shared" si="0"/>
        <v>30937500</v>
      </c>
      <c r="J22" s="19"/>
      <c r="K22" s="47"/>
      <c r="L22" s="19"/>
    </row>
    <row r="23" spans="1:14">
      <c r="A23" s="26">
        <f t="shared" si="1"/>
        <v>8</v>
      </c>
      <c r="C23" s="27" t="str">
        <f>'J-3 B'!C23</f>
        <v>3.00% Sr Note due 6/15/2027</v>
      </c>
      <c r="E23" s="75">
        <f>'J-3 B'!E23</f>
        <v>500000000</v>
      </c>
      <c r="G23" s="78">
        <f>'J-3 B'!G23</f>
        <v>0.03</v>
      </c>
      <c r="H23" s="56"/>
      <c r="I23" s="93">
        <f t="shared" si="0"/>
        <v>15000000</v>
      </c>
      <c r="J23" s="19"/>
      <c r="K23" s="47"/>
      <c r="L23" s="19"/>
    </row>
    <row r="24" spans="1:14">
      <c r="A24" s="26">
        <f t="shared" si="1"/>
        <v>9</v>
      </c>
      <c r="C24" s="27" t="str">
        <f>'J-3 B'!C24</f>
        <v>4.125% Sr Note due 3/15/49</v>
      </c>
      <c r="E24" s="75">
        <f>'J-3 B'!E24</f>
        <v>450000000</v>
      </c>
      <c r="G24" s="78">
        <f>'J-3 B'!G24</f>
        <v>4.1250000000000002E-2</v>
      </c>
      <c r="H24" s="56"/>
      <c r="I24" s="93">
        <f t="shared" si="0"/>
        <v>18562500</v>
      </c>
      <c r="J24" s="19"/>
      <c r="K24" s="47"/>
      <c r="L24" s="19"/>
    </row>
    <row r="25" spans="1:14">
      <c r="A25" s="26">
        <f t="shared" si="1"/>
        <v>10</v>
      </c>
      <c r="C25" s="27" t="str">
        <f>'J-3 B'!C25</f>
        <v xml:space="preserve">2.625% Sr Notes Due 2029 </v>
      </c>
      <c r="E25" s="75">
        <f>'J-3 B'!E25</f>
        <v>300000000</v>
      </c>
      <c r="G25" s="78">
        <f>'J-3 B'!G25</f>
        <v>2.6249999999999999E-2</v>
      </c>
      <c r="H25" s="56"/>
      <c r="I25" s="93">
        <f t="shared" si="0"/>
        <v>7875000</v>
      </c>
      <c r="J25" s="19"/>
      <c r="K25" s="47"/>
    </row>
    <row r="26" spans="1:14">
      <c r="A26" s="26">
        <f t="shared" si="1"/>
        <v>11</v>
      </c>
      <c r="C26" s="27" t="str">
        <f>'J-3 B'!C26</f>
        <v xml:space="preserve">3.375% Sr Notes Due 2049 </v>
      </c>
      <c r="E26" s="75">
        <f>'J-3 B'!E26</f>
        <v>500000000</v>
      </c>
      <c r="G26" s="78">
        <f>'J-3 B'!G26</f>
        <v>3.3750000000000002E-2</v>
      </c>
      <c r="H26" s="56"/>
      <c r="I26" s="93">
        <f t="shared" si="0"/>
        <v>16875000</v>
      </c>
      <c r="K26" s="46"/>
    </row>
    <row r="27" spans="1:14">
      <c r="A27" s="26">
        <f t="shared" si="1"/>
        <v>12</v>
      </c>
      <c r="C27" s="27" t="str">
        <f>'J-3 B'!C27</f>
        <v>$200MM 3YR. Term Loan (Established 4/09/20)</v>
      </c>
      <c r="E27" s="75">
        <v>200000000</v>
      </c>
      <c r="G27" s="78">
        <v>2.4250000000000001E-2</v>
      </c>
      <c r="H27" s="56"/>
      <c r="I27" s="93">
        <f t="shared" si="0"/>
        <v>4850000</v>
      </c>
      <c r="K27" s="46"/>
      <c r="L27" s="94" t="s">
        <v>117</v>
      </c>
    </row>
    <row r="28" spans="1:14">
      <c r="A28" s="26">
        <f t="shared" si="1"/>
        <v>13</v>
      </c>
      <c r="C28" s="27" t="str">
        <f>'J-3 B'!C28</f>
        <v xml:space="preserve">1.500% Sr Notes Due 2031 </v>
      </c>
      <c r="E28" s="75">
        <v>600000000</v>
      </c>
      <c r="F28" s="19"/>
      <c r="G28" s="78">
        <f>'J-3 B'!G28</f>
        <v>1.4999999999999999E-2</v>
      </c>
      <c r="H28" s="56"/>
      <c r="I28" s="76">
        <f t="shared" si="0"/>
        <v>9000000</v>
      </c>
      <c r="K28" s="46"/>
      <c r="L28" s="94" t="s">
        <v>118</v>
      </c>
    </row>
    <row r="29" spans="1:14">
      <c r="A29" s="26">
        <f t="shared" si="1"/>
        <v>14</v>
      </c>
      <c r="C29" s="27" t="s">
        <v>85</v>
      </c>
      <c r="E29" s="95">
        <f>SUM(E16:E28)</f>
        <v>5160000000</v>
      </c>
      <c r="F29" s="19"/>
      <c r="G29" s="96"/>
      <c r="I29" s="97">
        <f>SUM(I16:I28)</f>
        <v>194342000</v>
      </c>
    </row>
    <row r="30" spans="1:14">
      <c r="A30" s="26">
        <f t="shared" si="1"/>
        <v>15</v>
      </c>
      <c r="C30" s="27"/>
      <c r="E30" s="75"/>
      <c r="G30" s="96"/>
      <c r="I30" s="19"/>
    </row>
    <row r="31" spans="1:14" ht="15.75">
      <c r="A31" s="26">
        <f t="shared" si="1"/>
        <v>16</v>
      </c>
      <c r="C31" s="27" t="s">
        <v>86</v>
      </c>
      <c r="E31" s="98"/>
      <c r="G31" s="96"/>
      <c r="I31" s="99">
        <f>'J-3 B'!I31</f>
        <v>10293599.423859153</v>
      </c>
      <c r="L31" s="100"/>
    </row>
    <row r="32" spans="1:14" ht="15.75">
      <c r="A32" s="26">
        <f t="shared" si="1"/>
        <v>17</v>
      </c>
      <c r="C32" s="27" t="s">
        <v>87</v>
      </c>
      <c r="E32" s="79">
        <f>'J-3 B'!E32</f>
        <v>-1754949.4361538463</v>
      </c>
      <c r="F32" s="19"/>
      <c r="G32" s="96"/>
      <c r="H32" s="56"/>
      <c r="I32" s="19"/>
      <c r="L32" s="100"/>
      <c r="N32" s="5"/>
    </row>
    <row r="33" spans="1:12" ht="15.75">
      <c r="A33" s="26">
        <f t="shared" si="1"/>
        <v>18</v>
      </c>
      <c r="C33" s="27" t="s">
        <v>88</v>
      </c>
      <c r="E33" s="79">
        <f>'J-3 B'!E33</f>
        <v>-38307526.602307692</v>
      </c>
      <c r="G33" s="101"/>
      <c r="L33" s="100"/>
    </row>
    <row r="34" spans="1:12">
      <c r="A34" s="26">
        <f t="shared" si="1"/>
        <v>19</v>
      </c>
    </row>
    <row r="35" spans="1:12">
      <c r="A35" s="26">
        <f t="shared" si="1"/>
        <v>20</v>
      </c>
      <c r="E35" s="19"/>
      <c r="G35" s="101"/>
    </row>
    <row r="36" spans="1:12">
      <c r="A36" s="26">
        <f t="shared" si="1"/>
        <v>21</v>
      </c>
    </row>
    <row r="37" spans="1:12" ht="15.75" thickBot="1">
      <c r="A37" s="26">
        <f t="shared" si="1"/>
        <v>22</v>
      </c>
      <c r="C37" s="27" t="s">
        <v>89</v>
      </c>
      <c r="E37" s="102">
        <f>+E29+E32+E33</f>
        <v>5119937523.9615393</v>
      </c>
      <c r="G37" s="101"/>
      <c r="I37" s="102">
        <f>+I29+I31</f>
        <v>204635599.42385915</v>
      </c>
      <c r="K37" s="103">
        <f>+I37/E37</f>
        <v>3.9968378220662903E-2</v>
      </c>
    </row>
    <row r="38" spans="1:12" ht="15.75" thickTop="1"/>
    <row r="39" spans="1:12">
      <c r="A39" s="27"/>
      <c r="C39" s="27"/>
    </row>
    <row r="40" spans="1:12">
      <c r="C40" s="27"/>
    </row>
    <row r="41" spans="1:12">
      <c r="C41" s="27"/>
    </row>
    <row r="43" spans="1:12">
      <c r="G43" s="78"/>
    </row>
    <row r="44" spans="1:12">
      <c r="G44" s="78"/>
    </row>
    <row r="45" spans="1:12">
      <c r="G45" s="78"/>
    </row>
    <row r="46" spans="1:12">
      <c r="G46" s="78"/>
    </row>
    <row r="47" spans="1:12">
      <c r="G47" s="78"/>
    </row>
    <row r="48" spans="1:12">
      <c r="G48" s="78"/>
    </row>
    <row r="49" spans="7:7">
      <c r="G49" s="78"/>
    </row>
    <row r="50" spans="7:7">
      <c r="G50" s="78"/>
    </row>
  </sheetData>
  <mergeCells count="4">
    <mergeCell ref="A1:K1"/>
    <mergeCell ref="A2:K2"/>
    <mergeCell ref="A3:K3"/>
    <mergeCell ref="A4:K4"/>
  </mergeCells>
  <printOptions horizontalCentered="1"/>
  <pageMargins left="0.67" right="0.75" top="0.75" bottom="1.26" header="0.5" footer="0.5"/>
  <pageSetup scale="84" orientation="landscape" verticalDpi="300" r:id="rId1"/>
  <headerFooter alignWithMargins="0">
    <oddHeader>&amp;RCASE NO. 2021-00214
FR 16(8)(j)
ATTACHMENT 1</oddHeader>
    <oddFooter>&amp;RSchedule &amp;A
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C164D8-A279-4D77-8C43-485F47A2B0F7}">
  <sheetPr>
    <pageSetUpPr fitToPage="1"/>
  </sheetPr>
  <dimension ref="A1:Q43"/>
  <sheetViews>
    <sheetView view="pageBreakPreview" zoomScale="80" zoomScaleNormal="100" zoomScaleSheetLayoutView="80" workbookViewId="0">
      <selection activeCell="V28" sqref="V28"/>
    </sheetView>
  </sheetViews>
  <sheetFormatPr defaultColWidth="10.109375" defaultRowHeight="15"/>
  <cols>
    <col min="1" max="1" width="5.88671875" customWidth="1"/>
    <col min="2" max="2" width="2.109375" customWidth="1"/>
    <col min="3" max="3" width="16.109375" customWidth="1"/>
    <col min="4" max="4" width="11" customWidth="1"/>
    <col min="5" max="5" width="5.109375" customWidth="1"/>
    <col min="6" max="6" width="11.6640625" customWidth="1"/>
    <col min="7" max="7" width="4.21875" customWidth="1"/>
    <col min="9" max="9" width="4.21875" customWidth="1"/>
    <col min="11" max="11" width="5.77734375" customWidth="1"/>
    <col min="12" max="12" width="12.6640625" customWidth="1"/>
  </cols>
  <sheetData>
    <row r="1" spans="1:17">
      <c r="A1" s="107" t="s">
        <v>122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</row>
    <row r="2" spans="1:17">
      <c r="A2" s="107" t="s">
        <v>123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</row>
    <row r="3" spans="1:17">
      <c r="A3" s="107" t="s">
        <v>119</v>
      </c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</row>
    <row r="4" spans="1:17">
      <c r="A4" s="107" t="s">
        <v>125</v>
      </c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107"/>
      <c r="N4" s="19"/>
      <c r="O4" s="19"/>
      <c r="P4" s="19"/>
      <c r="Q4" s="19"/>
    </row>
    <row r="5" spans="1:17">
      <c r="N5" s="19"/>
      <c r="O5" s="19"/>
      <c r="P5" s="19"/>
      <c r="Q5" s="19"/>
    </row>
    <row r="6" spans="1:17">
      <c r="N6" s="19"/>
      <c r="O6" s="19"/>
      <c r="P6" s="19"/>
      <c r="Q6" s="19"/>
    </row>
    <row r="7" spans="1:17">
      <c r="A7" s="27" t="s">
        <v>115</v>
      </c>
      <c r="L7" s="28" t="s">
        <v>1</v>
      </c>
      <c r="N7" s="19"/>
      <c r="O7" s="19"/>
      <c r="P7" s="19"/>
      <c r="Q7" s="19"/>
    </row>
    <row r="8" spans="1:17">
      <c r="A8" s="27" t="s">
        <v>4</v>
      </c>
      <c r="K8" s="27"/>
      <c r="L8" s="29" t="s">
        <v>55</v>
      </c>
      <c r="N8" s="19"/>
      <c r="O8" s="19"/>
      <c r="P8" s="19"/>
      <c r="Q8" s="19"/>
    </row>
    <row r="9" spans="1:17">
      <c r="A9" s="30" t="s">
        <v>6</v>
      </c>
      <c r="B9" s="31"/>
      <c r="C9" s="31"/>
      <c r="D9" s="31"/>
      <c r="E9" s="31"/>
      <c r="F9" s="31"/>
      <c r="G9" s="31"/>
      <c r="H9" s="31"/>
      <c r="I9" s="31"/>
      <c r="J9" s="31"/>
      <c r="K9" s="30"/>
      <c r="L9" s="34" t="str">
        <f>'J-1 Base'!$M$9</f>
        <v>Witness: Christian</v>
      </c>
      <c r="N9" s="19"/>
      <c r="O9" s="19"/>
      <c r="P9" s="19"/>
      <c r="Q9" s="19"/>
    </row>
    <row r="10" spans="1:17">
      <c r="J10" s="26" t="s">
        <v>56</v>
      </c>
      <c r="L10" s="26" t="s">
        <v>57</v>
      </c>
    </row>
    <row r="11" spans="1:17">
      <c r="A11" s="26"/>
      <c r="F11" s="26" t="s">
        <v>15</v>
      </c>
      <c r="H11" s="26" t="s">
        <v>58</v>
      </c>
      <c r="J11" s="26" t="s">
        <v>59</v>
      </c>
      <c r="L11" s="26" t="s">
        <v>58</v>
      </c>
    </row>
    <row r="12" spans="1:17">
      <c r="A12" s="40"/>
      <c r="B12" s="31"/>
      <c r="C12" s="40" t="s">
        <v>60</v>
      </c>
      <c r="D12" s="31"/>
      <c r="E12" s="31"/>
      <c r="F12" s="40" t="s">
        <v>61</v>
      </c>
      <c r="G12" s="31"/>
      <c r="H12" s="40" t="s">
        <v>62</v>
      </c>
      <c r="I12" s="31"/>
      <c r="J12" s="40" t="s">
        <v>18</v>
      </c>
      <c r="K12" s="31"/>
      <c r="L12" s="40" t="s">
        <v>62</v>
      </c>
    </row>
    <row r="13" spans="1:17">
      <c r="C13" s="26" t="s">
        <v>19</v>
      </c>
      <c r="F13" s="26" t="s">
        <v>20</v>
      </c>
      <c r="H13" s="26" t="s">
        <v>21</v>
      </c>
      <c r="J13" s="26" t="s">
        <v>22</v>
      </c>
      <c r="L13" s="26" t="s">
        <v>63</v>
      </c>
    </row>
    <row r="14" spans="1:17">
      <c r="F14" s="26" t="s">
        <v>24</v>
      </c>
      <c r="J14" s="26" t="s">
        <v>24</v>
      </c>
    </row>
    <row r="16" spans="1:17">
      <c r="A16" s="26">
        <v>1</v>
      </c>
      <c r="C16" s="27" t="s">
        <v>120</v>
      </c>
      <c r="F16" s="19">
        <f>'J-2 B'!F16</f>
        <v>21556.707437275982</v>
      </c>
      <c r="G16" s="19"/>
      <c r="H16" s="104">
        <f>'J-2 B'!H16</f>
        <v>5.6591759488858039E-3</v>
      </c>
      <c r="I16" s="56"/>
      <c r="J16" s="19">
        <f>(F16*H16)</f>
        <v>121.99320026619996</v>
      </c>
      <c r="K16" s="19"/>
      <c r="L16" s="19"/>
      <c r="M16" s="19"/>
    </row>
    <row r="17" spans="1:13">
      <c r="L17" s="19"/>
    </row>
    <row r="18" spans="1:13">
      <c r="A18" s="26">
        <v>2</v>
      </c>
      <c r="C18" s="27" t="s">
        <v>121</v>
      </c>
      <c r="F18" s="19"/>
      <c r="G18" s="19"/>
      <c r="H18" s="19"/>
      <c r="I18" s="56"/>
      <c r="J18" s="19">
        <f>'J-2 B'!J18</f>
        <v>5304.5131766666664</v>
      </c>
      <c r="K18" s="19"/>
      <c r="L18" s="19"/>
      <c r="M18" s="19"/>
    </row>
    <row r="19" spans="1:13">
      <c r="F19" s="19"/>
      <c r="G19" s="19"/>
      <c r="H19" s="17"/>
      <c r="I19" s="19"/>
      <c r="J19" s="19"/>
      <c r="K19" s="19"/>
      <c r="L19" s="19"/>
      <c r="M19" s="19"/>
    </row>
    <row r="20" spans="1:13">
      <c r="A20" s="26">
        <v>3</v>
      </c>
      <c r="C20" s="27" t="s">
        <v>66</v>
      </c>
      <c r="F20" s="105">
        <f>SUM(F16:F18)</f>
        <v>21556.707437275982</v>
      </c>
      <c r="G20" s="19"/>
      <c r="H20" s="19"/>
      <c r="I20" s="56"/>
      <c r="J20" s="105">
        <f>SUM(J16:J18)</f>
        <v>5426.5063769328663</v>
      </c>
      <c r="K20" s="19"/>
      <c r="L20" s="24">
        <f>(J20/F20)</f>
        <v>0.2517316892072915</v>
      </c>
      <c r="M20" s="19"/>
    </row>
    <row r="21" spans="1:13">
      <c r="F21" s="19"/>
      <c r="G21" s="19"/>
      <c r="H21" s="17"/>
      <c r="I21" s="56"/>
      <c r="J21" s="56"/>
      <c r="K21" s="19"/>
      <c r="L21" s="19"/>
      <c r="M21" s="19"/>
    </row>
    <row r="22" spans="1:13">
      <c r="F22" s="19"/>
      <c r="G22" s="19"/>
      <c r="H22" s="17"/>
      <c r="I22" s="56"/>
      <c r="J22" s="56"/>
      <c r="K22" s="19"/>
      <c r="L22" s="19"/>
      <c r="M22" s="19"/>
    </row>
    <row r="23" spans="1:13">
      <c r="F23" s="19"/>
      <c r="G23" s="19"/>
      <c r="H23" s="17"/>
      <c r="I23" s="56"/>
      <c r="J23" s="56"/>
      <c r="K23" s="19"/>
      <c r="L23" s="19"/>
      <c r="M23" s="19"/>
    </row>
    <row r="24" spans="1:13" ht="15.75">
      <c r="A24" s="106"/>
      <c r="G24" s="19"/>
      <c r="I24" s="56"/>
      <c r="L24" s="19"/>
    </row>
    <row r="25" spans="1:13">
      <c r="C25" s="27" t="s">
        <v>67</v>
      </c>
      <c r="G25" s="19"/>
      <c r="H25" s="17"/>
      <c r="I25" s="56"/>
      <c r="J25" s="56"/>
      <c r="L25" s="19"/>
    </row>
    <row r="26" spans="1:13">
      <c r="C26" s="27"/>
      <c r="G26" s="19"/>
      <c r="H26" s="17"/>
      <c r="I26" s="56"/>
      <c r="J26" s="56"/>
      <c r="L26" s="19"/>
    </row>
    <row r="27" spans="1:13">
      <c r="C27" s="5" t="s">
        <v>68</v>
      </c>
    </row>
    <row r="28" spans="1:13">
      <c r="C28" s="27"/>
    </row>
    <row r="29" spans="1:13">
      <c r="C29" s="27"/>
    </row>
    <row r="30" spans="1:13">
      <c r="C30" s="27"/>
      <c r="G30" s="19"/>
      <c r="I30" s="56"/>
    </row>
    <row r="31" spans="1:13">
      <c r="G31" s="19"/>
      <c r="H31" s="19"/>
      <c r="I31" s="56"/>
      <c r="J31" s="56"/>
    </row>
    <row r="32" spans="1:13">
      <c r="C32" s="27"/>
      <c r="G32" s="19"/>
    </row>
    <row r="33" spans="1:3">
      <c r="C33" s="27"/>
    </row>
    <row r="35" spans="1:3">
      <c r="C35" s="27"/>
    </row>
    <row r="40" spans="1:3">
      <c r="A40" s="27"/>
      <c r="C40" s="27"/>
    </row>
    <row r="41" spans="1:3">
      <c r="C41" s="27"/>
    </row>
    <row r="42" spans="1:3">
      <c r="C42" s="27"/>
    </row>
    <row r="43" spans="1:3">
      <c r="C43" s="27"/>
    </row>
  </sheetData>
  <mergeCells count="4">
    <mergeCell ref="A1:L1"/>
    <mergeCell ref="A2:L2"/>
    <mergeCell ref="A3:L3"/>
    <mergeCell ref="A4:L4"/>
  </mergeCells>
  <printOptions horizontalCentered="1"/>
  <pageMargins left="0.67" right="0.75" top="0.75" bottom="1.26" header="0.5" footer="0.5"/>
  <pageSetup orientation="landscape" verticalDpi="300" r:id="rId1"/>
  <headerFooter alignWithMargins="0">
    <oddHeader>&amp;RCASE NO. 2021-00214
FR 16(8)(j)
ATTACHMENT 1</oddHeader>
    <oddFooter>&amp;RSchedule &amp;A
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8</vt:i4>
      </vt:variant>
    </vt:vector>
  </HeadingPairs>
  <TitlesOfParts>
    <vt:vector size="16" baseType="lpstr">
      <vt:lpstr>J-1 Base</vt:lpstr>
      <vt:lpstr>J.1</vt:lpstr>
      <vt:lpstr>J-2 B</vt:lpstr>
      <vt:lpstr>J-3 B</vt:lpstr>
      <vt:lpstr>J-4</vt:lpstr>
      <vt:lpstr>J-1 F</vt:lpstr>
      <vt:lpstr>J-3 F</vt:lpstr>
      <vt:lpstr>J-2 F</vt:lpstr>
      <vt:lpstr>J.1!Print_Area</vt:lpstr>
      <vt:lpstr>'J-1 Base'!Print_Area</vt:lpstr>
      <vt:lpstr>'J-1 F'!Print_Area</vt:lpstr>
      <vt:lpstr>'J-2 B'!Print_Area</vt:lpstr>
      <vt:lpstr>'J-2 F'!Print_Area</vt:lpstr>
      <vt:lpstr>'J-3 B'!Print_Area</vt:lpstr>
      <vt:lpstr>'J-3 F'!Print_Area</vt:lpstr>
      <vt:lpstr>'J-4'!Print_Area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 Troup</dc:creator>
  <cp:lastModifiedBy>Eric J Wilen</cp:lastModifiedBy>
  <cp:lastPrinted>2021-06-29T20:54:30Z</cp:lastPrinted>
  <dcterms:created xsi:type="dcterms:W3CDTF">2021-06-22T15:30:19Z</dcterms:created>
  <dcterms:modified xsi:type="dcterms:W3CDTF">2021-06-29T20:54:38Z</dcterms:modified>
</cp:coreProperties>
</file>